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EXT-BAT\"/>
    </mc:Choice>
  </mc:AlternateContent>
  <xr:revisionPtr revIDLastSave="0" documentId="13_ncr:1_{8A4D6072-582B-4AC9-A0CA-C2A7DB1BE47F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Test_Data!$A$1:$V$623</definedName>
    <definedName name="Z_04B88E7A_4E98_44D0_B91D_FC6F59E8959D_.wvu.FilterData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7E98DBA_6364_4822_A0AE_E977665C517C_.wvu.FilterData" localSheetId="0" hidden="1">Test_Data!$A$1:$V$623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DBB7621_0788_43E6_B678_952C62B68E0C_.wvu.FilterData" localSheetId="0" hidden="1">Test_Data!$A$1:$V$623</definedName>
    <definedName name="Z_0E284557_D30A_4452_AA3B_2DD98A7F5D93_.wvu.Cols" localSheetId="0" hidden="1">Test_Data!$D:$G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0F22BE39_845A_4074_8E7E_27AB0E1C4575_.wvu.FilterData" localSheetId="0" hidden="1">Test_Data!$A$1:$V$623</definedName>
    <definedName name="Z_10A6F697_CA73_442F_AEEC_2509936F07BB_.wvu.FilterData" localSheetId="0" hidden="1">Test_Data!$A$1:$V$623</definedName>
    <definedName name="Z_113E286A_EFD5_404A_BF98_7DC89374C752_.wvu.FilterData" localSheetId="0" hidden="1">Test_Data!$A$1:$V$623</definedName>
    <definedName name="Z_1365760F_2D02_4F6C_AB93_7ACB9D9BC737_.wvu.FilterData" localSheetId="0" hidden="1">Test_Data!$A$1:$V$623</definedName>
    <definedName name="Z_13CF9871_72DE_4009_A39E_DE0C174251AF_.wvu.FilterData" localSheetId="0" hidden="1">Test_Data!$A$1:$V$623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44CE524_C0BB_4F2B_90EA_FD75EE2179F3_.wvu.FilterData" localSheetId="0" hidden="1">Test_Data!$A$1:$V$623</definedName>
    <definedName name="Z_24AFBD97_C13A_4101_A02C_7D6FA41684D8_.wvu.FilterData" localSheetId="0" hidden="1">Test_Data!$A$1:$V$623</definedName>
    <definedName name="Z_24CDAF39_CAF2_4897_89C9_F954F7C0A283_.wvu.FilterData" localSheetId="0" hidden="1">Test_Data!$A$1:$V$623</definedName>
    <definedName name="Z_26319569_620D_4B60_957B_CEDAB9F55691_.wvu.FilterData" localSheetId="0" hidden="1">Test_Data!$A$1:$V$624</definedName>
    <definedName name="Z_26CEA509_35C9_4D9A_8062_9BA4946A6F6A_.wvu.FilterData" localSheetId="0" hidden="1">Test_Data!$A$1:$V$623</definedName>
    <definedName name="Z_27D779C7_4C40_4E23_89F9_C8A8A0FE0AE2_.wvu.FilterData" localSheetId="0" hidden="1">Test_Data!$A$1:$V$623</definedName>
    <definedName name="Z_2C2C003D_5C9C_4566_A112_55E3A5AEB4A9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63D88_002B_4469_A33D_E325A58FD456_.wvu.FilterData" localSheetId="0" hidden="1">Test_Data!$A$1:$V$623</definedName>
    <definedName name="Z_2E001B6A_8C12_458C_BB77_3E46618932D9_.wvu.FilterData" localSheetId="0" hidden="1">Test_Data!$A$1:$V$623</definedName>
    <definedName name="Z_311E46D8_1A46_4E7A_9A8B_5BF978EF222A_.wvu.Cols" localSheetId="0" hidden="1">Test_Data!$D:$G</definedName>
    <definedName name="Z_311E46D8_1A46_4E7A_9A8B_5BF978EF222A_.wvu.FilterData" localSheetId="0" hidden="1">Test_Data!$A$1:$V$623</definedName>
    <definedName name="Z_316A4F8E_24AE_49F2_AC69_8F98D5AE0A05_.wvu.FilterData" localSheetId="0" hidden="1">Test_Data!$A$1:$V$623</definedName>
    <definedName name="Z_33FEF4B8_A4F6_4C17_95C7_F53D1DD83903_.wvu.FilterData" localSheetId="0" hidden="1">Test_Data!$A$1:$V$623</definedName>
    <definedName name="Z_37FCAC4C_208A_40E0_BC54_1DFD9A9523FB_.wvu.FilterData" localSheetId="0" hidden="1">Test_Data!$A$1:$V$623</definedName>
    <definedName name="Z_388ADD8F_6D00_42DB_A23A_86082557FF8D_.wvu.FilterData" localSheetId="0" hidden="1">Test_Data!$A$1:$V$623</definedName>
    <definedName name="Z_3A824742_974E_4BE0_837E_5FBEB0DFB1C5_.wvu.FilterData" localSheetId="0" hidden="1">Test_Data!$A$1:$V$623</definedName>
    <definedName name="Z_3B7D6E58_6069_4288_A9DA_FCAF3DE281CE_.wvu.FilterData" localSheetId="0" hidden="1">Test_Data!$A$1:$V$623</definedName>
    <definedName name="Z_3C740534_7636_4C29_84BD_2CA69AC54058_.wvu.FilterData" localSheetId="0" hidden="1">Test_Data!$A$1:$V$623</definedName>
    <definedName name="Z_3CE7EF66_06CE_41D0_A250_4B41CDC0C5CA_.wvu.FilterData" localSheetId="0" hidden="1">Test_Data!$A$1:$V$623</definedName>
    <definedName name="Z_3D5D09E8_5E67_40DB_B923_ECC647462D2C_.wvu.FilterData" localSheetId="0" hidden="1">Test_Data!$A$1:$V$623</definedName>
    <definedName name="Z_3FCA958A_D432_4E14_9673_FA44062D0AE9_.wvu.FilterData" localSheetId="0" hidden="1">Test_Data!$A$1:$V$623</definedName>
    <definedName name="Z_400FC409_914C_4D31_96BF_EA4732DEC3AF_.wvu.FilterData" localSheetId="0" hidden="1">Test_Data!$A$1:$V$623</definedName>
    <definedName name="Z_40BBFCA9_849D_410C_AE4B_2C2C1981A31A_.wvu.FilterData" localSheetId="0" hidden="1">Test_Data!$A$1:$V$623</definedName>
    <definedName name="Z_40E1DE02_392B_40D3_8592_4ACAC0738FFE_.wvu.FilterData" localSheetId="0" hidden="1">Test_Data!$A$1:$V$623</definedName>
    <definedName name="Z_410DDE3B_27BA_4A27_90A7_BCB9B02A5211_.wvu.FilterData" localSheetId="0" hidden="1">Test_Data!$A$1:$V$623</definedName>
    <definedName name="Z_4173B519_832A_4EBD_87FE_0A5B6C8520D4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2E46218_039E_44BE_B566_ADE5BE3D2F2B_.wvu.FilterData" localSheetId="0" hidden="1">Test_Data!$A$1:$V$623</definedName>
    <definedName name="Z_4419A8BE_AD24_411A_9FA6_B2F9BFA0CD18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C27BF77_C08B_4754_8368_E0D1A863D733_.wvu.FilterData" localSheetId="0" hidden="1">Test_Data!$A$1:$V$623</definedName>
    <definedName name="Z_4ED93494_1A5C_4BAD_B685_4992D98EDB04_.wvu.FilterData" localSheetId="0" hidden="1">Test_Data!$A$1:$V$623</definedName>
    <definedName name="Z_502D0BDD_A606_49F8_AD88_C89F1241A119_.wvu.FilterData" localSheetId="0" hidden="1">Test_Data!$A$1:$V$623</definedName>
    <definedName name="Z_51114A19_44DA_410C_B9E9_5D4F98E2DB24_.wvu.FilterData" localSheetId="0" hidden="1">Test_Data!$A$1:$V$623</definedName>
    <definedName name="Z_520BDC2D_43FD_41C3_AC57_BB9E89D3DC06_.wvu.FilterData" localSheetId="0" hidden="1">Test_Data!$A$1:$V$623</definedName>
    <definedName name="Z_5229D2ED_8920_475D_9940_762E8742FED3_.wvu.Cols" localSheetId="0" hidden="1">Test_Data!$D:$G</definedName>
    <definedName name="Z_5229D2ED_8920_475D_9940_762E8742FED3_.wvu.FilterData" localSheetId="0" hidden="1">Test_Data!$L$15:$M$30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926AEF7_A950_473D_9B5C_E6BA2BE8B67B_.wvu.FilterData" localSheetId="0" hidden="1">Test_Data!$A$1:$V$623</definedName>
    <definedName name="Z_5935CDEB_6250_4AC2_AA46_1DEBB6240EEC_.wvu.FilterData" localSheetId="0" hidden="1">Test_Data!$A$1:$V$623</definedName>
    <definedName name="Z_5E70BA07_ED2D_4F35_98E3_F1EB97389ACC_.wvu.FilterData" localSheetId="0" hidden="1">Test_Data!$A$1:$V$623</definedName>
    <definedName name="Z_5F40A1B4_D66A_4014_8CB7_BEA65665EBD0_.wvu.Cols" localSheetId="0" hidden="1">Test_Data!$D:$H</definedName>
    <definedName name="Z_5F40A1B4_D66A_4014_8CB7_BEA65665EBD0_.wvu.FilterData" localSheetId="0" hidden="1">Test_Data!$A$1:$V$623</definedName>
    <definedName name="Z_5F473E33_9028_4406_A11A_973C396C330F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B89A16B_7B6F_442D_B564_B1373ABD7E86_.wvu.FilterData" localSheetId="0" hidden="1">Test_Data!$A$1:$V$623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D63726_7133_4179_B8F1_EED49D3B2F15_.wvu.FilterData" localSheetId="0" hidden="1">Test_Data!$A$1:$V$623</definedName>
    <definedName name="Z_6D59DFE1_C248_4C94_B4B2_C0A74C538780_.wvu.FilterData" localSheetId="0" hidden="1">Test_Data!$A$1:$V$623</definedName>
    <definedName name="Z_6E5C8ED8_E7C9_4DC6_A676_1F570718A54E_.wvu.FilterData" localSheetId="0" hidden="1">Test_Data!$A$1:$V$624</definedName>
    <definedName name="Z_7163E122_1EB4_4217_9506_32ED417EE494_.wvu.FilterData" localSheetId="0" hidden="1">Test_Data!$A$1:$V$623</definedName>
    <definedName name="Z_74D57BAF_6E41_425C_B011_4D28570196D1_.wvu.FilterData" localSheetId="0" hidden="1">Test_Data!$A$1:$V$623</definedName>
    <definedName name="Z_762A36F6_6F8D_4FFE_BC97_8DCE6B0126AA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11743D_FB52_4C3E_97CB_C9A517D1E985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976975_EF0D_4C81_ACDE_4E5BFF1995A7_.wvu.FilterData" localSheetId="0" hidden="1">Test_Data!$A$1:$V$623</definedName>
    <definedName name="Z_7B5F80D9_001B_4621_95E1_E8E90E16D58D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8143C4FB_234C_4AB6_B3B8_B936D6BE9839_.wvu.FilterData" localSheetId="0" hidden="1">Test_Data!$A$1:$V$623</definedName>
    <definedName name="Z_840FBFB2_2C83_405C_84E7_6D4C0A97AF44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Test_Data!$C$1:$P$624</definedName>
    <definedName name="Z_881EF052_7B9E_4A69_9ABF_0FDCD0256E1A_.wvu.FilterData" localSheetId="0" hidden="1">Test_Data!$A$1:$V$623</definedName>
    <definedName name="Z_8860D786_E9F2_40C3_8B3F_329A3D577968_.wvu.FilterData" localSheetId="0" hidden="1">Test_Data!$A$1:$V$623</definedName>
    <definedName name="Z_8BBCE9DF_4E9A_4002_A3C2_D4DB4FACD5C3_.wvu.FilterData" localSheetId="0" hidden="1">Test_Data!$A$1:$V$623</definedName>
    <definedName name="Z_8E603122_F7E7_46B8_BE15_C1A12B23B3F0_.wvu.FilterData" localSheetId="0" hidden="1">Test_Data!$A$1:$V$623</definedName>
    <definedName name="Z_8F9C2AAE_366B_487E_83A4_4EDA0110E647_.wvu.FilterData" localSheetId="0" hidden="1">Test_Data!$A$1:$V$623</definedName>
    <definedName name="Z_911B9E06_9BD4_40F2_863A_4AAEED8E33CA_.wvu.FilterData" localSheetId="0" hidden="1">Test_Data!$A$1:$V$624</definedName>
    <definedName name="Z_91E0CCE6_8E05_4E36_BF4D_A32998376E1D_.wvu.FilterData" localSheetId="0" hidden="1">Test_Data!$A$1:$V$623</definedName>
    <definedName name="Z_93A4F446_17FE_4D6A_97B9_AA3AF74AC076_.wvu.FilterData" localSheetId="0" hidden="1">Test_Data!$A$1:$V$623</definedName>
    <definedName name="Z_94A634D1_10AB_4AA6_A170_5CCCBD20195D_.wvu.FilterData" localSheetId="0" hidden="1">Test_Data!$C$574:$J$594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0FC3F4_7759_4EB5_B918_372E8A378DA0_.wvu.FilterData" localSheetId="0" hidden="1">Test_Data!$A$1:$V$623</definedName>
    <definedName name="Z_9DF66130_C3C8_451B_B4FF_84B409CA959A_.wvu.FilterData" localSheetId="0" hidden="1">Test_Data!$A$1:$V$623</definedName>
    <definedName name="Z_A007C864_38EB_41F2_BAE0_0AEE23A3F9F0_.wvu.FilterData" localSheetId="0" hidden="1">Test_Data!$A$1:$V$623</definedName>
    <definedName name="Z_A08B5E52_6071_42AE_A0C4_B4A2244EA079_.wvu.FilterData" localSheetId="0" hidden="1">Test_Data!$A$1:$V$623</definedName>
    <definedName name="Z_A1D68129_8278_465B_9330_76350BF80FE8_.wvu.FilterData" localSheetId="0" hidden="1">Test_Data!$A$1:$V$624</definedName>
    <definedName name="Z_A2383E87_E74C_42FD_8284_09537673E8EA_.wvu.FilterData" localSheetId="0" hidden="1">Test_Data!$J$349:$J$491</definedName>
    <definedName name="Z_A2AC6AB4_294F_45BB_8264_0A3C2169AFF5_.wvu.FilterData" localSheetId="0" hidden="1">Test_Data!$A$1:$V$623</definedName>
    <definedName name="Z_A52A3904_96A0_4079_B0EA_8B13662E18F3_.wvu.FilterData" localSheetId="0" hidden="1">Test_Data!$A$1:$V$623</definedName>
    <definedName name="Z_A70AE5B0_7EBA_423F_ACD1_DBB5F7971C8A_.wvu.FilterData" localSheetId="0" hidden="1">Test_Data!$A$1:$V$623</definedName>
    <definedName name="Z_A931AC15_E9C2_4819_91DA_EE134E6F33A5_.wvu.FilterData" localSheetId="0" hidden="1">Test_Data!$A$1:$V$623</definedName>
    <definedName name="Z_AC442C51_187E_4B6E_9B0E_A2B7B9636CFF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3FE629A_C947_4CD7_9D16_54E9047D0C44_.wvu.FilterData" localSheetId="0" hidden="1">Test_Data!$A$1:$V$623</definedName>
    <definedName name="Z_B67A4CA0_D96F_4DBE_9678_DC73E7FC3E90_.wvu.FilterData" localSheetId="0" hidden="1">Test_Data!$A$1:$V$624</definedName>
    <definedName name="Z_B9A5F8FB_BA62_4791_A52F_2BE2D8FB8A41_.wvu.FilterData" localSheetId="0" hidden="1">Test_Data!$A$1:$V$623</definedName>
    <definedName name="Z_BA2511A9_E04B_45A8_A457_3A26D2414F1C_.wvu.FilterData" localSheetId="0" hidden="1">Test_Data!$A$1:$V$623</definedName>
    <definedName name="Z_BB341E84_60C4_42EF_BBC7_A53C37F42B25_.wvu.FilterData" localSheetId="0" hidden="1">Test_Data!$A$1:$V$623</definedName>
    <definedName name="Z_C0237100_6D99_4F58_BDFB_BEFD7CB55803_.wvu.FilterData" localSheetId="0" hidden="1">Test_Data!$A$1:$V$624</definedName>
    <definedName name="Z_C4595D9B_1EC9_4D77_8D30_B578AC26A1B0_.wvu.FilterData" localSheetId="0" hidden="1">Test_Data!$A$1:$V$623</definedName>
    <definedName name="Z_C4EDA206_ED85_4128_B8CD_2C3A2E4C63D7_.wvu.FilterData" localSheetId="0" hidden="1">Test_Data!$A$1:$V$623</definedName>
    <definedName name="Z_C85915A8_1FBE_4373_946B_5E8F41D7E882_.wvu.FilterData" localSheetId="0" hidden="1">Test_Data!$A$1:$V$624</definedName>
    <definedName name="Z_CAA4AFE8_F0BD_4D60_8F7C_619343B5CD7C_.wvu.FilterData" localSheetId="0" hidden="1">Test_Data!$A$1:$V$623</definedName>
    <definedName name="Z_CC083D8C_0339_40BA_8F36_2CDBF579F308_.wvu.FilterData" localSheetId="0" hidden="1">Test_Data!$A$1:$V$623</definedName>
    <definedName name="Z_CDAFADC1_FCFE_47F4_93E4_2B9DC26A4C4C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19388D4_7EF1_4141_8A19_1EDB9A880864_.wvu.FilterData" localSheetId="0" hidden="1">Test_Data!$A$1:$V$623</definedName>
    <definedName name="Z_D2A976C8_19BD_4B3D_B033_A769E012A2B3_.wvu.FilterData" localSheetId="0" hidden="1">Test_Data!$A$1:$V$623</definedName>
    <definedName name="Z_D4D63953_3B56_411B_A21A_4D0F19E93F77_.wvu.FilterData" localSheetId="0" hidden="1">Test_Data!$A$1:$V$623</definedName>
    <definedName name="Z_D4F796F6_D3E6_418F_A7A5_1B3B521A9331_.wvu.Cols" localSheetId="0" hidden="1">Test_Data!$D:$H</definedName>
    <definedName name="Z_D4F796F6_D3E6_418F_A7A5_1B3B521A9331_.wvu.FilterData" localSheetId="0" hidden="1">Test_Data!$A$1:$V$623</definedName>
    <definedName name="Z_D55F1401_8D85_4ACC_83DF_C2FBCB8DBD69_.wvu.FilterData" localSheetId="0" hidden="1">Test_Data!$A$1:$V$624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A9E9245_BDDA_4B1B_BD00_480293A333B0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D4DD406_39A9_498C_9375_3402E4D2BFE8_.wvu.FilterData" localSheetId="0" hidden="1">Test_Data!$A$1:$V$623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D72722_9290_47A4_AB1A_4BE8EA62E5BE_.wvu.FilterData" localSheetId="0" hidden="1">Test_Data!$A$1:$V$623</definedName>
    <definedName name="Z_E0F5602B_F3A6_4F5F_9C03_79ACF8D98C87_.wvu.FilterData" localSheetId="0" hidden="1">Test_Data!$A$1:$V$623</definedName>
    <definedName name="Z_E3198798_B0A2_4813_AF3C_A61DE37C933F_.wvu.FilterData" localSheetId="0" hidden="1">Test_Data!$A$1:$V$623</definedName>
    <definedName name="Z_E3E9D4BE_5F85_4911_94F3_DF7DBFC9E144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Test_Data!$A$1:$V$624</definedName>
    <definedName name="Z_E94BBFC0_9E32_4F7D_85A1_8873595A75E2_.wvu.FilterData" localSheetId="0" hidden="1">Test_Data!$A$1:$V$623</definedName>
    <definedName name="Z_ECB11C9C_E06B_4C7A_817F_D0D9DCAE9ACE_.wvu.FilterData" localSheetId="0" hidden="1">Test_Data!$A$1:$V$623</definedName>
    <definedName name="Z_EECEBB57_22C1_4802_9E51_F8484C5B54CB_.wvu.Cols" localSheetId="0" hidden="1">Test_Data!$D:$H</definedName>
    <definedName name="Z_EECEBB57_22C1_4802_9E51_F8484C5B54CB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5B09C7_2095_4A0F_B307_01D4CC51A72E_.wvu.FilterData" localSheetId="0" hidden="1">Test_Data!$A$1:$V$623</definedName>
    <definedName name="Z_F3E9639D_86F5_41FD_881B_B3EB16D7F473_.wvu.FilterData" localSheetId="0" hidden="1">Test_Data!$A$1:$V$623</definedName>
    <definedName name="Z_F5D5C762_9CBA_4C6B_A303_A2EA3FCEAB53_.wvu.FilterData" localSheetId="0" hidden="1">Test_Data!$A$1:$V$623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</definedName>
    <definedName name="Z_FDA3B1A3_2C76_4BC6_B707_CA925330FB51_.wvu.FilterData" localSheetId="0" hidden="1">Test_Data!$A$1:$V$623</definedName>
    <definedName name="Z_FDB3C0E1_F2F3_41B7_9E4E_9E3D57A37C98_.wvu.FilterData" localSheetId="0" hidden="1">Test_Data!$A$1:$V$623</definedName>
    <definedName name="Z_FE2AFF96_FDDB_4836_844F_C57CF22424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U, SavithaX B - Personal View" guid="{5229D2ED-8920-475D-9940-762E8742FED3}" mergeInterval="0" personalView="1" maximized="1" xWindow="-9" yWindow="-9" windowWidth="1938" windowHeight="1048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Vijayan, AiswaryaX - Personal View" guid="{EECEBB57-22C1-4802-9E51-F8484C5B54CB}" mergeInterval="0" personalView="1" maximized="1" xWindow="-9" yWindow="-9" windowWidth="1938" windowHeight="1048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Marikanti, PriyankaX B - Personal View" guid="{E918F75E-0689-4737-8892-4BA5FF22256D}" mergeInterval="0" personalView="1" maximized="1" xWindow="-9" yWindow="-9" windowWidth="1938" windowHeight="1048" activeSheetId="2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Nanjundaswamy, HarshithaX - Personal View" guid="{D4F796F6-D3E6-418F-A7A5-1B3B521A9331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8" i="2" l="1"/>
  <c r="X58" i="2" l="1"/>
  <c r="A354" i="2"/>
  <c r="A331" i="2"/>
  <c r="A363" i="2"/>
  <c r="A307" i="2"/>
  <c r="A384" i="2"/>
  <c r="A268" i="2"/>
  <c r="A612" i="2"/>
  <c r="A611" i="2"/>
  <c r="A595" i="2"/>
  <c r="A573" i="2"/>
  <c r="A555" i="2"/>
  <c r="A548" i="2"/>
  <c r="A546" i="2"/>
  <c r="A545" i="2"/>
  <c r="A544" i="2"/>
  <c r="A535" i="2"/>
  <c r="A530" i="2"/>
  <c r="A527" i="2"/>
  <c r="A526" i="2"/>
  <c r="A302" i="2"/>
  <c r="A291" i="2"/>
  <c r="A304" i="2"/>
  <c r="A463" i="2"/>
  <c r="A457" i="2"/>
  <c r="A525" i="2"/>
  <c r="A524" i="2"/>
  <c r="A583" i="2"/>
  <c r="A575" i="2" l="1"/>
  <c r="A564" i="2"/>
  <c r="A559" i="2"/>
  <c r="A522" i="2"/>
  <c r="A574" i="2"/>
  <c r="A563" i="2"/>
  <c r="A565" i="2"/>
  <c r="A566" i="2"/>
  <c r="A567" i="2"/>
  <c r="A578" i="2"/>
  <c r="A579" i="2"/>
  <c r="A582" i="2"/>
  <c r="A445" i="2"/>
  <c r="A328" i="2"/>
  <c r="X377" i="2"/>
  <c r="X172" i="2" l="1"/>
  <c r="X334" i="2"/>
  <c r="X289" i="2"/>
  <c r="X247" i="2"/>
  <c r="X142" i="2"/>
  <c r="X317" i="2" l="1"/>
  <c r="X319" i="2"/>
  <c r="X263" i="2"/>
  <c r="X262" i="2"/>
  <c r="A25" i="2"/>
  <c r="A247" i="2"/>
  <c r="A221" i="2"/>
  <c r="A176" i="2"/>
  <c r="A110" i="2"/>
  <c r="X303" i="2"/>
  <c r="X302" i="2"/>
  <c r="X304" i="2"/>
  <c r="A300" i="2"/>
  <c r="A293" i="2"/>
  <c r="A277" i="2"/>
  <c r="A117" i="2"/>
  <c r="A59" i="2"/>
  <c r="A33" i="2"/>
  <c r="X324" i="2"/>
  <c r="X328" i="2"/>
  <c r="X347" i="2"/>
  <c r="A218" i="2"/>
  <c r="A217" i="2"/>
  <c r="A142" i="2"/>
  <c r="A70" i="2"/>
  <c r="A13" i="2"/>
  <c r="X20" i="2"/>
  <c r="X206" i="2"/>
  <c r="A188" i="2"/>
  <c r="A336" i="2"/>
  <c r="A334" i="2"/>
  <c r="A281" i="2"/>
  <c r="A282" i="2"/>
  <c r="A103" i="2"/>
  <c r="X261" i="2"/>
  <c r="A187" i="2"/>
  <c r="A223" i="2"/>
  <c r="A228" i="2"/>
  <c r="A58" i="2"/>
  <c r="A63" i="2"/>
  <c r="A57" i="2"/>
  <c r="A340" i="2"/>
  <c r="A318" i="2"/>
  <c r="A261" i="2"/>
  <c r="X348" i="2"/>
  <c r="A346" i="2"/>
  <c r="A114" i="2"/>
  <c r="A113" i="2"/>
  <c r="A324" i="2"/>
  <c r="A444" i="2"/>
  <c r="A429" i="2"/>
  <c r="A275" i="2"/>
  <c r="A175" i="2"/>
  <c r="A172" i="2"/>
  <c r="A167" i="2"/>
  <c r="X344" i="2"/>
  <c r="A343" i="2"/>
  <c r="X425" i="2"/>
  <c r="A418" i="2"/>
  <c r="A414" i="2"/>
  <c r="A377" i="2"/>
  <c r="A348" i="2"/>
  <c r="A290" i="2"/>
  <c r="A280" i="2"/>
  <c r="A470" i="2"/>
  <c r="X423" i="2"/>
  <c r="X422" i="2"/>
  <c r="X421" i="2"/>
  <c r="X346" i="2"/>
  <c r="X301" i="2"/>
  <c r="X300" i="2"/>
  <c r="A296" i="2"/>
  <c r="A297" i="2"/>
  <c r="A295" i="2"/>
  <c r="A264" i="2"/>
  <c r="A467" i="2"/>
  <c r="A157" i="2"/>
  <c r="A135" i="2"/>
  <c r="A465" i="2"/>
  <c r="A464" i="2"/>
  <c r="A461" i="2"/>
  <c r="A460" i="2"/>
  <c r="A459" i="2"/>
  <c r="X486" i="2" l="1"/>
  <c r="X383" i="2" l="1"/>
  <c r="X176" i="2"/>
  <c r="X480" i="2" l="1"/>
  <c r="A619" i="2"/>
  <c r="A299" i="2"/>
  <c r="X95" i="2"/>
  <c r="A427" i="2"/>
  <c r="A458" i="2"/>
  <c r="X266" i="2"/>
  <c r="X501" i="2"/>
  <c r="A119" i="2" l="1"/>
  <c r="A400" i="2" l="1"/>
  <c r="A428" i="2"/>
  <c r="A617" i="2"/>
  <c r="A201" i="2"/>
  <c r="A183" i="2"/>
  <c r="X409" i="2"/>
  <c r="A238" i="2"/>
  <c r="A61" i="2"/>
  <c r="X623" i="2" l="1"/>
  <c r="A623" i="2"/>
  <c r="X622" i="2"/>
  <c r="A622" i="2"/>
  <c r="X621" i="2"/>
  <c r="A621" i="2"/>
  <c r="X620" i="2"/>
  <c r="A620" i="2"/>
  <c r="X619" i="2"/>
  <c r="X618" i="2"/>
  <c r="A618" i="2"/>
  <c r="X617" i="2"/>
  <c r="X616" i="2"/>
  <c r="A616" i="2"/>
  <c r="X615" i="2"/>
  <c r="A615" i="2"/>
  <c r="X614" i="2"/>
  <c r="A614" i="2"/>
  <c r="X613" i="2"/>
  <c r="A613" i="2"/>
  <c r="X612" i="2"/>
  <c r="X611" i="2"/>
  <c r="X610" i="2"/>
  <c r="A610" i="2"/>
  <c r="X609" i="2"/>
  <c r="A609" i="2"/>
  <c r="X608" i="2"/>
  <c r="A608" i="2"/>
  <c r="X607" i="2"/>
  <c r="A607" i="2"/>
  <c r="X606" i="2"/>
  <c r="A606" i="2"/>
  <c r="X605" i="2"/>
  <c r="A605" i="2"/>
  <c r="X604" i="2"/>
  <c r="A604" i="2"/>
  <c r="X603" i="2"/>
  <c r="A603" i="2"/>
  <c r="X602" i="2"/>
  <c r="A602" i="2"/>
  <c r="X601" i="2"/>
  <c r="A601" i="2"/>
  <c r="X600" i="2"/>
  <c r="A600" i="2"/>
  <c r="X599" i="2"/>
  <c r="A599" i="2"/>
  <c r="X598" i="2"/>
  <c r="A598" i="2"/>
  <c r="X597" i="2"/>
  <c r="A597" i="2"/>
  <c r="X596" i="2"/>
  <c r="A596" i="2"/>
  <c r="X595" i="2"/>
  <c r="X594" i="2"/>
  <c r="A594" i="2"/>
  <c r="X593" i="2"/>
  <c r="A593" i="2"/>
  <c r="X592" i="2"/>
  <c r="A592" i="2"/>
  <c r="X591" i="2"/>
  <c r="A591" i="2"/>
  <c r="X590" i="2"/>
  <c r="A590" i="2"/>
  <c r="X589" i="2"/>
  <c r="A589" i="2"/>
  <c r="X588" i="2"/>
  <c r="A588" i="2"/>
  <c r="X587" i="2"/>
  <c r="A587" i="2"/>
  <c r="X586" i="2"/>
  <c r="A586" i="2"/>
  <c r="X585" i="2"/>
  <c r="A585" i="2"/>
  <c r="X584" i="2"/>
  <c r="A584" i="2"/>
  <c r="X583" i="2"/>
  <c r="X582" i="2"/>
  <c r="X581" i="2"/>
  <c r="A581" i="2"/>
  <c r="X580" i="2"/>
  <c r="A580" i="2"/>
  <c r="X579" i="2"/>
  <c r="X578" i="2"/>
  <c r="X577" i="2"/>
  <c r="A577" i="2"/>
  <c r="X576" i="2"/>
  <c r="A576" i="2"/>
  <c r="X575" i="2"/>
  <c r="X574" i="2"/>
  <c r="X573" i="2"/>
  <c r="X572" i="2"/>
  <c r="A572" i="2"/>
  <c r="X571" i="2"/>
  <c r="A571" i="2"/>
  <c r="X570" i="2"/>
  <c r="A570" i="2"/>
  <c r="X569" i="2"/>
  <c r="A569" i="2"/>
  <c r="X568" i="2"/>
  <c r="A568" i="2"/>
  <c r="X567" i="2"/>
  <c r="X566" i="2"/>
  <c r="X565" i="2"/>
  <c r="X564" i="2"/>
  <c r="X563" i="2"/>
  <c r="X562" i="2"/>
  <c r="A562" i="2"/>
  <c r="X561" i="2"/>
  <c r="A561" i="2"/>
  <c r="X560" i="2"/>
  <c r="A560" i="2"/>
  <c r="X559" i="2"/>
  <c r="X558" i="2"/>
  <c r="A558" i="2"/>
  <c r="X557" i="2"/>
  <c r="A557" i="2"/>
  <c r="X556" i="2"/>
  <c r="A556" i="2"/>
  <c r="X555" i="2"/>
  <c r="X554" i="2"/>
  <c r="A554" i="2"/>
  <c r="X553" i="2"/>
  <c r="A553" i="2"/>
  <c r="X552" i="2"/>
  <c r="A552" i="2"/>
  <c r="X551" i="2"/>
  <c r="A551" i="2"/>
  <c r="X550" i="2"/>
  <c r="A550" i="2"/>
  <c r="X549" i="2"/>
  <c r="A549" i="2"/>
  <c r="X548" i="2"/>
  <c r="X547" i="2"/>
  <c r="A547" i="2"/>
  <c r="X546" i="2"/>
  <c r="X545" i="2"/>
  <c r="X544" i="2"/>
  <c r="X543" i="2"/>
  <c r="A543" i="2"/>
  <c r="X542" i="2"/>
  <c r="A542" i="2"/>
  <c r="X541" i="2"/>
  <c r="A541" i="2"/>
  <c r="X540" i="2"/>
  <c r="A540" i="2"/>
  <c r="X539" i="2"/>
  <c r="A539" i="2"/>
  <c r="X538" i="2"/>
  <c r="A538" i="2"/>
  <c r="X537" i="2"/>
  <c r="A537" i="2"/>
  <c r="X536" i="2"/>
  <c r="A536" i="2"/>
  <c r="X535" i="2"/>
  <c r="X534" i="2"/>
  <c r="A534" i="2"/>
  <c r="X533" i="2"/>
  <c r="A533" i="2"/>
  <c r="X532" i="2"/>
  <c r="A532" i="2"/>
  <c r="X531" i="2"/>
  <c r="A531" i="2"/>
  <c r="X530" i="2"/>
  <c r="X529" i="2"/>
  <c r="A529" i="2"/>
  <c r="X528" i="2"/>
  <c r="A528" i="2"/>
  <c r="X527" i="2"/>
  <c r="X526" i="2"/>
  <c r="X525" i="2"/>
  <c r="X524" i="2"/>
  <c r="X523" i="2"/>
  <c r="A523" i="2"/>
  <c r="X522" i="2"/>
  <c r="X521" i="2"/>
  <c r="A521" i="2"/>
  <c r="X520" i="2"/>
  <c r="A520" i="2"/>
  <c r="X519" i="2"/>
  <c r="A519" i="2"/>
  <c r="X518" i="2"/>
  <c r="A518" i="2"/>
  <c r="X517" i="2"/>
  <c r="A517" i="2"/>
  <c r="X516" i="2"/>
  <c r="A516" i="2"/>
  <c r="X515" i="2"/>
  <c r="A515" i="2"/>
  <c r="X514" i="2"/>
  <c r="A514" i="2"/>
  <c r="X513" i="2"/>
  <c r="A513" i="2"/>
  <c r="X512" i="2"/>
  <c r="A512" i="2"/>
  <c r="X511" i="2"/>
  <c r="A511" i="2"/>
  <c r="X510" i="2"/>
  <c r="A510" i="2"/>
  <c r="X509" i="2"/>
  <c r="A509" i="2"/>
  <c r="X508" i="2"/>
  <c r="A508" i="2"/>
  <c r="X507" i="2"/>
  <c r="A507" i="2"/>
  <c r="X506" i="2"/>
  <c r="A506" i="2"/>
  <c r="X505" i="2"/>
  <c r="A505" i="2"/>
  <c r="X504" i="2"/>
  <c r="A504" i="2"/>
  <c r="X503" i="2"/>
  <c r="A503" i="2"/>
  <c r="X502" i="2"/>
  <c r="A502" i="2"/>
  <c r="A501" i="2"/>
  <c r="X500" i="2"/>
  <c r="A500" i="2"/>
  <c r="X499" i="2"/>
  <c r="A499" i="2"/>
  <c r="X498" i="2"/>
  <c r="A498" i="2"/>
  <c r="X497" i="2"/>
  <c r="A497" i="2"/>
  <c r="X496" i="2"/>
  <c r="A496" i="2"/>
  <c r="X495" i="2"/>
  <c r="A495" i="2"/>
  <c r="X494" i="2"/>
  <c r="A494" i="2"/>
  <c r="X493" i="2"/>
  <c r="A493" i="2"/>
  <c r="X492" i="2"/>
  <c r="A492" i="2"/>
  <c r="X491" i="2"/>
  <c r="A491" i="2"/>
  <c r="X490" i="2"/>
  <c r="A490" i="2"/>
  <c r="X489" i="2"/>
  <c r="A489" i="2"/>
  <c r="X488" i="2"/>
  <c r="A488" i="2"/>
  <c r="X487" i="2"/>
  <c r="A487" i="2"/>
  <c r="A486" i="2"/>
  <c r="X485" i="2"/>
  <c r="A485" i="2"/>
  <c r="X484" i="2"/>
  <c r="A484" i="2"/>
  <c r="X483" i="2"/>
  <c r="A483" i="2"/>
  <c r="X482" i="2"/>
  <c r="A482" i="2"/>
  <c r="X481" i="2"/>
  <c r="A481" i="2"/>
  <c r="A480" i="2"/>
  <c r="X479" i="2"/>
  <c r="A479" i="2"/>
  <c r="X478" i="2"/>
  <c r="A478" i="2"/>
  <c r="X477" i="2"/>
  <c r="A477" i="2"/>
  <c r="X476" i="2"/>
  <c r="A476" i="2"/>
  <c r="X475" i="2"/>
  <c r="A475" i="2"/>
  <c r="X474" i="2"/>
  <c r="A474" i="2"/>
  <c r="X473" i="2"/>
  <c r="A473" i="2"/>
  <c r="A472" i="2"/>
  <c r="X471" i="2"/>
  <c r="A471" i="2"/>
  <c r="X470" i="2"/>
  <c r="X469" i="2"/>
  <c r="A469" i="2"/>
  <c r="X468" i="2"/>
  <c r="A468" i="2"/>
  <c r="X467" i="2"/>
  <c r="X466" i="2"/>
  <c r="A466" i="2"/>
  <c r="X465" i="2"/>
  <c r="X464" i="2"/>
  <c r="X463" i="2"/>
  <c r="X462" i="2"/>
  <c r="A462" i="2"/>
  <c r="X461" i="2"/>
  <c r="X460" i="2"/>
  <c r="X459" i="2"/>
  <c r="X457" i="2"/>
  <c r="X456" i="2"/>
  <c r="A456" i="2"/>
  <c r="X455" i="2"/>
  <c r="A455" i="2"/>
  <c r="X454" i="2"/>
  <c r="A454" i="2"/>
  <c r="X453" i="2"/>
  <c r="A453" i="2"/>
  <c r="X452" i="2"/>
  <c r="A452" i="2"/>
  <c r="X451" i="2"/>
  <c r="A451" i="2"/>
  <c r="X450" i="2"/>
  <c r="A450" i="2"/>
  <c r="X449" i="2"/>
  <c r="A449" i="2"/>
  <c r="X448" i="2"/>
  <c r="A448" i="2"/>
  <c r="X447" i="2"/>
  <c r="A447" i="2"/>
  <c r="X446" i="2"/>
  <c r="A446" i="2"/>
  <c r="X445" i="2"/>
  <c r="X444" i="2"/>
  <c r="X443" i="2"/>
  <c r="A443" i="2"/>
  <c r="X442" i="2"/>
  <c r="A442" i="2"/>
  <c r="X441" i="2"/>
  <c r="A441" i="2"/>
  <c r="X440" i="2"/>
  <c r="A440" i="2"/>
  <c r="X439" i="2"/>
  <c r="A439" i="2"/>
  <c r="X438" i="2"/>
  <c r="A438" i="2"/>
  <c r="X437" i="2"/>
  <c r="A437" i="2"/>
  <c r="X436" i="2"/>
  <c r="A436" i="2"/>
  <c r="X435" i="2"/>
  <c r="A435" i="2"/>
  <c r="X434" i="2"/>
  <c r="A434" i="2"/>
  <c r="X433" i="2"/>
  <c r="A433" i="2"/>
  <c r="X432" i="2"/>
  <c r="A432" i="2"/>
  <c r="X431" i="2"/>
  <c r="A431" i="2"/>
  <c r="X430" i="2"/>
  <c r="A430" i="2"/>
  <c r="X429" i="2"/>
  <c r="X428" i="2"/>
  <c r="X427" i="2"/>
  <c r="X426" i="2"/>
  <c r="A426" i="2"/>
  <c r="A425" i="2"/>
  <c r="X424" i="2"/>
  <c r="A424" i="2"/>
  <c r="A423" i="2"/>
  <c r="A422" i="2"/>
  <c r="A421" i="2"/>
  <c r="X420" i="2"/>
  <c r="A420" i="2"/>
  <c r="X419" i="2"/>
  <c r="A419" i="2"/>
  <c r="X418" i="2"/>
  <c r="X417" i="2"/>
  <c r="A417" i="2"/>
  <c r="X416" i="2"/>
  <c r="A416" i="2"/>
  <c r="X415" i="2"/>
  <c r="A415" i="2"/>
  <c r="X414" i="2"/>
  <c r="X413" i="2"/>
  <c r="A413" i="2"/>
  <c r="X412" i="2"/>
  <c r="A412" i="2"/>
  <c r="X411" i="2"/>
  <c r="A411" i="2"/>
  <c r="X410" i="2"/>
  <c r="A410" i="2"/>
  <c r="A409" i="2"/>
  <c r="X408" i="2"/>
  <c r="A408" i="2"/>
  <c r="X407" i="2"/>
  <c r="A407" i="2"/>
  <c r="X406" i="2"/>
  <c r="A406" i="2"/>
  <c r="X405" i="2"/>
  <c r="A405" i="2"/>
  <c r="X404" i="2"/>
  <c r="A404" i="2"/>
  <c r="X403" i="2"/>
  <c r="A403" i="2"/>
  <c r="X402" i="2"/>
  <c r="A402" i="2"/>
  <c r="X401" i="2"/>
  <c r="A401" i="2"/>
  <c r="X400" i="2"/>
  <c r="X399" i="2"/>
  <c r="A399" i="2"/>
  <c r="X398" i="2"/>
  <c r="A398" i="2"/>
  <c r="X397" i="2"/>
  <c r="A397" i="2"/>
  <c r="X396" i="2"/>
  <c r="A396" i="2"/>
  <c r="X395" i="2"/>
  <c r="A395" i="2"/>
  <c r="X394" i="2"/>
  <c r="A394" i="2"/>
  <c r="X393" i="2"/>
  <c r="A393" i="2"/>
  <c r="X392" i="2"/>
  <c r="A392" i="2"/>
  <c r="X391" i="2"/>
  <c r="A391" i="2"/>
  <c r="X390" i="2"/>
  <c r="A390" i="2"/>
  <c r="X389" i="2"/>
  <c r="A389" i="2"/>
  <c r="X388" i="2"/>
  <c r="A388" i="2"/>
  <c r="X387" i="2"/>
  <c r="A387" i="2"/>
  <c r="X386" i="2"/>
  <c r="A386" i="2"/>
  <c r="X385" i="2"/>
  <c r="A385" i="2"/>
  <c r="X384" i="2"/>
  <c r="A383" i="2"/>
  <c r="X382" i="2"/>
  <c r="A382" i="2"/>
  <c r="X381" i="2"/>
  <c r="A381" i="2"/>
  <c r="X380" i="2"/>
  <c r="A380" i="2"/>
  <c r="X379" i="2"/>
  <c r="A379" i="2"/>
  <c r="X378" i="2"/>
  <c r="A378" i="2"/>
  <c r="X376" i="2"/>
  <c r="A376" i="2"/>
  <c r="X375" i="2"/>
  <c r="A375" i="2"/>
  <c r="X374" i="2"/>
  <c r="A374" i="2"/>
  <c r="X373" i="2"/>
  <c r="A373" i="2"/>
  <c r="X372" i="2"/>
  <c r="A372" i="2"/>
  <c r="X371" i="2"/>
  <c r="A371" i="2"/>
  <c r="X370" i="2"/>
  <c r="A370" i="2"/>
  <c r="X369" i="2"/>
  <c r="A369" i="2"/>
  <c r="X368" i="2"/>
  <c r="A368" i="2"/>
  <c r="X367" i="2"/>
  <c r="A367" i="2"/>
  <c r="X366" i="2"/>
  <c r="A366" i="2"/>
  <c r="X365" i="2"/>
  <c r="A365" i="2"/>
  <c r="X364" i="2"/>
  <c r="A364" i="2"/>
  <c r="X363" i="2"/>
  <c r="X362" i="2"/>
  <c r="A362" i="2"/>
  <c r="X361" i="2"/>
  <c r="A361" i="2"/>
  <c r="X360" i="2"/>
  <c r="A360" i="2"/>
  <c r="X359" i="2"/>
  <c r="A359" i="2"/>
  <c r="X358" i="2"/>
  <c r="A358" i="2"/>
  <c r="X357" i="2"/>
  <c r="A357" i="2"/>
  <c r="X356" i="2"/>
  <c r="A356" i="2"/>
  <c r="X355" i="2"/>
  <c r="A355" i="2"/>
  <c r="X354" i="2"/>
  <c r="X353" i="2"/>
  <c r="A353" i="2"/>
  <c r="X352" i="2"/>
  <c r="A352" i="2"/>
  <c r="X351" i="2"/>
  <c r="A351" i="2"/>
  <c r="X350" i="2"/>
  <c r="A350" i="2"/>
  <c r="X349" i="2"/>
  <c r="A349" i="2"/>
  <c r="A347" i="2"/>
  <c r="X345" i="2"/>
  <c r="A345" i="2"/>
  <c r="A344" i="2"/>
  <c r="X343" i="2"/>
  <c r="X342" i="2"/>
  <c r="A342" i="2"/>
  <c r="X341" i="2"/>
  <c r="A341" i="2"/>
  <c r="X340" i="2"/>
  <c r="X339" i="2"/>
  <c r="A339" i="2"/>
  <c r="X338" i="2"/>
  <c r="A338" i="2"/>
  <c r="X337" i="2"/>
  <c r="A337" i="2"/>
  <c r="X336" i="2"/>
  <c r="X335" i="2"/>
  <c r="A335" i="2"/>
  <c r="X333" i="2"/>
  <c r="A333" i="2"/>
  <c r="X332" i="2"/>
  <c r="A332" i="2"/>
  <c r="X331" i="2"/>
  <c r="X330" i="2"/>
  <c r="A330" i="2"/>
  <c r="X329" i="2"/>
  <c r="A329" i="2"/>
  <c r="X327" i="2"/>
  <c r="A327" i="2"/>
  <c r="X326" i="2"/>
  <c r="A326" i="2"/>
  <c r="X325" i="2"/>
  <c r="A325" i="2"/>
  <c r="X323" i="2"/>
  <c r="A323" i="2"/>
  <c r="X322" i="2"/>
  <c r="A322" i="2"/>
  <c r="X321" i="2"/>
  <c r="A321" i="2"/>
  <c r="X320" i="2"/>
  <c r="A320" i="2"/>
  <c r="A319" i="2"/>
  <c r="X318" i="2"/>
  <c r="A317" i="2"/>
  <c r="X316" i="2"/>
  <c r="A316" i="2"/>
  <c r="X315" i="2"/>
  <c r="A315" i="2"/>
  <c r="X314" i="2"/>
  <c r="A314" i="2"/>
  <c r="X313" i="2"/>
  <c r="A313" i="2"/>
  <c r="X312" i="2"/>
  <c r="A312" i="2"/>
  <c r="X311" i="2"/>
  <c r="A311" i="2"/>
  <c r="X310" i="2"/>
  <c r="A310" i="2"/>
  <c r="X309" i="2"/>
  <c r="A309" i="2"/>
  <c r="X308" i="2"/>
  <c r="A308" i="2"/>
  <c r="X307" i="2"/>
  <c r="X306" i="2"/>
  <c r="A306" i="2"/>
  <c r="X305" i="2"/>
  <c r="A305" i="2"/>
  <c r="A303" i="2"/>
  <c r="A301" i="2"/>
  <c r="X299" i="2"/>
  <c r="X298" i="2"/>
  <c r="A298" i="2"/>
  <c r="X297" i="2"/>
  <c r="X296" i="2"/>
  <c r="X295" i="2"/>
  <c r="X294" i="2"/>
  <c r="A294" i="2"/>
  <c r="X293" i="2"/>
  <c r="X292" i="2"/>
  <c r="A292" i="2"/>
  <c r="X291" i="2"/>
  <c r="X290" i="2"/>
  <c r="A289" i="2"/>
  <c r="X288" i="2"/>
  <c r="A288" i="2"/>
  <c r="X287" i="2"/>
  <c r="A287" i="2"/>
  <c r="X286" i="2"/>
  <c r="A286" i="2"/>
  <c r="X285" i="2"/>
  <c r="A285" i="2"/>
  <c r="X284" i="2"/>
  <c r="A284" i="2"/>
  <c r="X283" i="2"/>
  <c r="A283" i="2"/>
  <c r="X282" i="2"/>
  <c r="X281" i="2"/>
  <c r="X280" i="2"/>
  <c r="X279" i="2"/>
  <c r="A279" i="2"/>
  <c r="X278" i="2"/>
  <c r="A278" i="2"/>
  <c r="X277" i="2"/>
  <c r="X276" i="2"/>
  <c r="A276" i="2"/>
  <c r="X275" i="2"/>
  <c r="X274" i="2"/>
  <c r="A274" i="2"/>
  <c r="X273" i="2"/>
  <c r="A273" i="2"/>
  <c r="X272" i="2"/>
  <c r="A272" i="2"/>
  <c r="X271" i="2"/>
  <c r="A271" i="2"/>
  <c r="X270" i="2"/>
  <c r="A270" i="2"/>
  <c r="X269" i="2"/>
  <c r="A269" i="2"/>
  <c r="X268" i="2"/>
  <c r="X267" i="2"/>
  <c r="A267" i="2"/>
  <c r="A266" i="2"/>
  <c r="X265" i="2"/>
  <c r="A265" i="2"/>
  <c r="X264" i="2"/>
  <c r="A263" i="2"/>
  <c r="A262" i="2"/>
  <c r="X260" i="2"/>
  <c r="A260" i="2"/>
  <c r="X259" i="2"/>
  <c r="A259" i="2"/>
  <c r="X258" i="2"/>
  <c r="A258" i="2"/>
  <c r="X257" i="2"/>
  <c r="A257" i="2"/>
  <c r="X256" i="2"/>
  <c r="A256" i="2"/>
  <c r="X255" i="2"/>
  <c r="A255" i="2"/>
  <c r="X254" i="2"/>
  <c r="A254" i="2"/>
  <c r="X253" i="2"/>
  <c r="A253" i="2"/>
  <c r="X252" i="2"/>
  <c r="A252" i="2"/>
  <c r="X251" i="2"/>
  <c r="A251" i="2"/>
  <c r="X250" i="2"/>
  <c r="A250" i="2"/>
  <c r="X248" i="2"/>
  <c r="A248" i="2"/>
  <c r="X246" i="2"/>
  <c r="A246" i="2"/>
  <c r="X245" i="2"/>
  <c r="A245" i="2"/>
  <c r="X244" i="2"/>
  <c r="A244" i="2"/>
  <c r="X243" i="2"/>
  <c r="A243" i="2"/>
  <c r="X242" i="2"/>
  <c r="A242" i="2"/>
  <c r="X241" i="2"/>
  <c r="A241" i="2"/>
  <c r="X240" i="2"/>
  <c r="A240" i="2"/>
  <c r="X239" i="2"/>
  <c r="A239" i="2"/>
  <c r="X238" i="2"/>
  <c r="X237" i="2"/>
  <c r="A237" i="2"/>
  <c r="X236" i="2"/>
  <c r="A236" i="2"/>
  <c r="X235" i="2"/>
  <c r="A235" i="2"/>
  <c r="X234" i="2"/>
  <c r="A234" i="2"/>
  <c r="X233" i="2"/>
  <c r="A233" i="2"/>
  <c r="X232" i="2"/>
  <c r="A232" i="2"/>
  <c r="X231" i="2"/>
  <c r="A231" i="2"/>
  <c r="X230" i="2"/>
  <c r="A230" i="2"/>
  <c r="X229" i="2"/>
  <c r="A229" i="2"/>
  <c r="X228" i="2"/>
  <c r="X227" i="2"/>
  <c r="A227" i="2"/>
  <c r="X226" i="2"/>
  <c r="A226" i="2"/>
  <c r="X225" i="2"/>
  <c r="A225" i="2"/>
  <c r="X224" i="2"/>
  <c r="A224" i="2"/>
  <c r="X223" i="2"/>
  <c r="X222" i="2"/>
  <c r="A222" i="2"/>
  <c r="X221" i="2"/>
  <c r="X220" i="2"/>
  <c r="A220" i="2"/>
  <c r="X219" i="2"/>
  <c r="A219" i="2"/>
  <c r="X218" i="2"/>
  <c r="X217" i="2"/>
  <c r="X216" i="2"/>
  <c r="A216" i="2"/>
  <c r="X215" i="2"/>
  <c r="A215" i="2"/>
  <c r="X214" i="2"/>
  <c r="A214" i="2"/>
  <c r="X213" i="2"/>
  <c r="A213" i="2"/>
  <c r="X212" i="2"/>
  <c r="A212" i="2"/>
  <c r="X211" i="2"/>
  <c r="A211" i="2"/>
  <c r="X210" i="2"/>
  <c r="A210" i="2"/>
  <c r="X209" i="2"/>
  <c r="A209" i="2"/>
  <c r="X208" i="2"/>
  <c r="A208" i="2"/>
  <c r="X207" i="2"/>
  <c r="A207" i="2"/>
  <c r="A206" i="2"/>
  <c r="X205" i="2"/>
  <c r="A205" i="2"/>
  <c r="X204" i="2"/>
  <c r="A204" i="2"/>
  <c r="X203" i="2"/>
  <c r="A203" i="2"/>
  <c r="X202" i="2"/>
  <c r="A202" i="2"/>
  <c r="X201" i="2"/>
  <c r="X200" i="2"/>
  <c r="A200" i="2"/>
  <c r="X199" i="2"/>
  <c r="A199" i="2"/>
  <c r="X198" i="2"/>
  <c r="A198" i="2"/>
  <c r="X197" i="2"/>
  <c r="A197" i="2"/>
  <c r="X196" i="2"/>
  <c r="A196" i="2"/>
  <c r="X195" i="2"/>
  <c r="A195" i="2"/>
  <c r="X194" i="2"/>
  <c r="A194" i="2"/>
  <c r="X193" i="2"/>
  <c r="A193" i="2"/>
  <c r="X192" i="2"/>
  <c r="A192" i="2"/>
  <c r="X191" i="2"/>
  <c r="A191" i="2"/>
  <c r="X190" i="2"/>
  <c r="A190" i="2"/>
  <c r="X189" i="2"/>
  <c r="A189" i="2"/>
  <c r="X188" i="2"/>
  <c r="X187" i="2"/>
  <c r="X186" i="2"/>
  <c r="A186" i="2"/>
  <c r="X185" i="2"/>
  <c r="A185" i="2"/>
  <c r="X184" i="2"/>
  <c r="A184" i="2"/>
  <c r="X183" i="2"/>
  <c r="X182" i="2"/>
  <c r="A182" i="2"/>
  <c r="X181" i="2"/>
  <c r="A181" i="2"/>
  <c r="X180" i="2"/>
  <c r="A180" i="2"/>
  <c r="X179" i="2"/>
  <c r="A179" i="2"/>
  <c r="X178" i="2"/>
  <c r="A178" i="2"/>
  <c r="X177" i="2"/>
  <c r="A177" i="2"/>
  <c r="X175" i="2"/>
  <c r="X174" i="2"/>
  <c r="A174" i="2"/>
  <c r="X173" i="2"/>
  <c r="A173" i="2"/>
  <c r="X171" i="2"/>
  <c r="A171" i="2"/>
  <c r="X170" i="2"/>
  <c r="A170" i="2"/>
  <c r="X169" i="2"/>
  <c r="A169" i="2"/>
  <c r="X168" i="2"/>
  <c r="A168" i="2"/>
  <c r="X167" i="2"/>
  <c r="X166" i="2"/>
  <c r="A166" i="2"/>
  <c r="X165" i="2"/>
  <c r="A165" i="2"/>
  <c r="X164" i="2"/>
  <c r="A164" i="2"/>
  <c r="X163" i="2"/>
  <c r="A163" i="2"/>
  <c r="X162" i="2"/>
  <c r="A162" i="2"/>
  <c r="X161" i="2"/>
  <c r="A161" i="2"/>
  <c r="X160" i="2"/>
  <c r="A160" i="2"/>
  <c r="X159" i="2"/>
  <c r="A159" i="2"/>
  <c r="X158" i="2"/>
  <c r="A158" i="2"/>
  <c r="X157" i="2"/>
  <c r="X156" i="2"/>
  <c r="A156" i="2"/>
  <c r="X155" i="2"/>
  <c r="A155" i="2"/>
  <c r="X154" i="2"/>
  <c r="A154" i="2"/>
  <c r="X153" i="2"/>
  <c r="A153" i="2"/>
  <c r="X152" i="2"/>
  <c r="A152" i="2"/>
  <c r="X151" i="2"/>
  <c r="A151" i="2"/>
  <c r="X150" i="2"/>
  <c r="A150" i="2"/>
  <c r="X149" i="2"/>
  <c r="A149" i="2"/>
  <c r="X148" i="2"/>
  <c r="A148" i="2"/>
  <c r="X147" i="2"/>
  <c r="A147" i="2"/>
  <c r="X146" i="2"/>
  <c r="A146" i="2"/>
  <c r="X145" i="2"/>
  <c r="A145" i="2"/>
  <c r="X144" i="2"/>
  <c r="A144" i="2"/>
  <c r="X143" i="2"/>
  <c r="A143" i="2"/>
  <c r="X141" i="2"/>
  <c r="A141" i="2"/>
  <c r="X140" i="2"/>
  <c r="A140" i="2"/>
  <c r="X139" i="2"/>
  <c r="A139" i="2"/>
  <c r="X138" i="2"/>
  <c r="A138" i="2"/>
  <c r="X137" i="2"/>
  <c r="A137" i="2"/>
  <c r="X136" i="2"/>
  <c r="A136" i="2"/>
  <c r="X135" i="2"/>
  <c r="X134" i="2"/>
  <c r="A134" i="2"/>
  <c r="X133" i="2"/>
  <c r="A133" i="2"/>
  <c r="X132" i="2"/>
  <c r="A132" i="2"/>
  <c r="X131" i="2"/>
  <c r="A131" i="2"/>
  <c r="X130" i="2"/>
  <c r="A130" i="2"/>
  <c r="X129" i="2"/>
  <c r="A129" i="2"/>
  <c r="X128" i="2"/>
  <c r="A128" i="2"/>
  <c r="X127" i="2"/>
  <c r="A127" i="2"/>
  <c r="X126" i="2"/>
  <c r="A126" i="2"/>
  <c r="X125" i="2"/>
  <c r="A125" i="2"/>
  <c r="X124" i="2"/>
  <c r="A124" i="2"/>
  <c r="X123" i="2"/>
  <c r="A123" i="2"/>
  <c r="X122" i="2"/>
  <c r="A122" i="2"/>
  <c r="X121" i="2"/>
  <c r="A121" i="2"/>
  <c r="X120" i="2"/>
  <c r="A120" i="2"/>
  <c r="X119" i="2"/>
  <c r="X118" i="2"/>
  <c r="A118" i="2"/>
  <c r="X117" i="2"/>
  <c r="X116" i="2"/>
  <c r="A116" i="2"/>
  <c r="X115" i="2"/>
  <c r="A115" i="2"/>
  <c r="X114" i="2"/>
  <c r="X113" i="2"/>
  <c r="X112" i="2"/>
  <c r="A112" i="2"/>
  <c r="X111" i="2"/>
  <c r="A111" i="2"/>
  <c r="X110" i="2"/>
  <c r="X109" i="2"/>
  <c r="A109" i="2"/>
  <c r="X108" i="2"/>
  <c r="A108" i="2"/>
  <c r="X106" i="2"/>
  <c r="A106" i="2"/>
  <c r="X105" i="2"/>
  <c r="A105" i="2"/>
  <c r="X104" i="2"/>
  <c r="A104" i="2"/>
  <c r="X103" i="2"/>
  <c r="X102" i="2"/>
  <c r="A102" i="2"/>
  <c r="X101" i="2"/>
  <c r="A101" i="2"/>
  <c r="X100" i="2"/>
  <c r="A100" i="2"/>
  <c r="X99" i="2"/>
  <c r="A99" i="2"/>
  <c r="X98" i="2"/>
  <c r="A98" i="2"/>
  <c r="X97" i="2"/>
  <c r="A97" i="2"/>
  <c r="X96" i="2"/>
  <c r="A96" i="2"/>
  <c r="A95" i="2"/>
  <c r="X94" i="2"/>
  <c r="A94" i="2"/>
  <c r="X93" i="2"/>
  <c r="A93" i="2"/>
  <c r="X92" i="2"/>
  <c r="A92" i="2"/>
  <c r="X91" i="2"/>
  <c r="A91" i="2"/>
  <c r="X89" i="2"/>
  <c r="A89" i="2"/>
  <c r="X88" i="2"/>
  <c r="A88" i="2"/>
  <c r="X87" i="2"/>
  <c r="A87" i="2"/>
  <c r="X86" i="2"/>
  <c r="A86" i="2"/>
  <c r="X85" i="2"/>
  <c r="A85" i="2"/>
  <c r="X84" i="2"/>
  <c r="A84" i="2"/>
  <c r="X83" i="2"/>
  <c r="A83" i="2"/>
  <c r="X82" i="2"/>
  <c r="A82" i="2"/>
  <c r="X81" i="2"/>
  <c r="A81" i="2"/>
  <c r="X80" i="2"/>
  <c r="A80" i="2"/>
  <c r="X79" i="2"/>
  <c r="A79" i="2"/>
  <c r="X78" i="2"/>
  <c r="A78" i="2"/>
  <c r="X77" i="2"/>
  <c r="A77" i="2"/>
  <c r="X76" i="2"/>
  <c r="A76" i="2"/>
  <c r="X75" i="2"/>
  <c r="A75" i="2"/>
  <c r="X74" i="2"/>
  <c r="A74" i="2"/>
  <c r="X73" i="2"/>
  <c r="A73" i="2"/>
  <c r="X72" i="2"/>
  <c r="A72" i="2"/>
  <c r="X71" i="2"/>
  <c r="A71" i="2"/>
  <c r="X70" i="2"/>
  <c r="X69" i="2"/>
  <c r="A69" i="2"/>
  <c r="X68" i="2"/>
  <c r="A68" i="2"/>
  <c r="X67" i="2"/>
  <c r="A67" i="2"/>
  <c r="X66" i="2"/>
  <c r="A66" i="2"/>
  <c r="X65" i="2"/>
  <c r="A65" i="2"/>
  <c r="X64" i="2"/>
  <c r="A64" i="2"/>
  <c r="X63" i="2"/>
  <c r="X62" i="2"/>
  <c r="A62" i="2"/>
  <c r="X61" i="2"/>
  <c r="X60" i="2"/>
  <c r="A60" i="2"/>
  <c r="X59" i="2"/>
  <c r="X57" i="2"/>
  <c r="X56" i="2"/>
  <c r="A56" i="2"/>
  <c r="X55" i="2"/>
  <c r="A55" i="2"/>
  <c r="X54" i="2"/>
  <c r="A54" i="2"/>
  <c r="X53" i="2"/>
  <c r="A53" i="2"/>
  <c r="X52" i="2"/>
  <c r="A52" i="2"/>
  <c r="X51" i="2"/>
  <c r="A51" i="2"/>
  <c r="X50" i="2"/>
  <c r="A50" i="2"/>
  <c r="X49" i="2"/>
  <c r="A49" i="2"/>
  <c r="X48" i="2"/>
  <c r="A48" i="2"/>
  <c r="X47" i="2"/>
  <c r="A47" i="2"/>
  <c r="X46" i="2"/>
  <c r="A46" i="2"/>
  <c r="X45" i="2"/>
  <c r="A45" i="2"/>
  <c r="X44" i="2"/>
  <c r="A44" i="2"/>
  <c r="X43" i="2"/>
  <c r="A43" i="2"/>
  <c r="X42" i="2"/>
  <c r="A42" i="2"/>
  <c r="X41" i="2"/>
  <c r="A41" i="2"/>
  <c r="X40" i="2"/>
  <c r="A40" i="2"/>
  <c r="X39" i="2"/>
  <c r="A39" i="2"/>
  <c r="X38" i="2"/>
  <c r="A38" i="2"/>
  <c r="X37" i="2"/>
  <c r="A37" i="2"/>
  <c r="X36" i="2"/>
  <c r="A36" i="2"/>
  <c r="X35" i="2"/>
  <c r="A35" i="2"/>
  <c r="X34" i="2"/>
  <c r="A34" i="2"/>
  <c r="X33" i="2"/>
  <c r="X32" i="2"/>
  <c r="A32" i="2"/>
  <c r="X31" i="2"/>
  <c r="A31" i="2"/>
  <c r="X30" i="2"/>
  <c r="A30" i="2"/>
  <c r="X29" i="2"/>
  <c r="A29" i="2"/>
  <c r="X28" i="2"/>
  <c r="A28" i="2"/>
  <c r="X27" i="2"/>
  <c r="A27" i="2"/>
  <c r="X26" i="2"/>
  <c r="A26" i="2"/>
  <c r="X25" i="2"/>
  <c r="X24" i="2"/>
  <c r="A24" i="2"/>
  <c r="X23" i="2"/>
  <c r="A23" i="2"/>
  <c r="X22" i="2"/>
  <c r="A22" i="2"/>
  <c r="X21" i="2"/>
  <c r="A21" i="2"/>
  <c r="A20" i="2"/>
  <c r="X19" i="2"/>
  <c r="A19" i="2"/>
  <c r="X18" i="2"/>
  <c r="A18" i="2"/>
  <c r="X17" i="2"/>
  <c r="A17" i="2"/>
  <c r="X16" i="2"/>
  <c r="A16" i="2"/>
  <c r="X15" i="2"/>
  <c r="A15" i="2"/>
  <c r="X14" i="2"/>
  <c r="A14" i="2"/>
  <c r="X13" i="2"/>
  <c r="X12" i="2"/>
  <c r="A12" i="2"/>
  <c r="X11" i="2"/>
  <c r="A11" i="2"/>
  <c r="X10" i="2"/>
  <c r="A10" i="2"/>
  <c r="X9" i="2"/>
  <c r="A9" i="2"/>
  <c r="X8" i="2"/>
  <c r="A8" i="2"/>
  <c r="X7" i="2"/>
  <c r="A7" i="2"/>
  <c r="X6" i="2"/>
  <c r="A6" i="2"/>
  <c r="X5" i="2"/>
  <c r="A5" i="2"/>
  <c r="X4" i="2"/>
  <c r="A4" i="2"/>
  <c r="X3" i="2"/>
  <c r="A3" i="2"/>
  <c r="X2" i="2"/>
  <c r="A2" i="2"/>
</calcChain>
</file>

<file path=xl/sharedStrings.xml><?xml version="1.0" encoding="utf-8"?>
<sst xmlns="http://schemas.openxmlformats.org/spreadsheetml/2006/main" count="9410" uniqueCount="2030">
  <si>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</si>
  <si>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</si>
  <si>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</si>
  <si>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</si>
  <si>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</si>
  <si>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</si>
  <si>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</si>
  <si>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</si>
  <si>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Date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</si>
  <si>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</si>
  <si>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</si>
  <si>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</si>
  <si>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</si>
  <si>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</si>
  <si>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</si>
  <si>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</si>
  <si>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</si>
  <si>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</si>
  <si>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</si>
  <si>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</si>
  <si>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</si>
  <si>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</si>
  <si>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</si>
  <si>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</si>
  <si>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</si>
  <si>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</si>
  <si>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</si>
  <si>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</si>
  <si>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</si>
  <si>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</si>
  <si>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</si>
  <si>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Automation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</si>
  <si>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</si>
  <si>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</si>
  <si>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</si>
  <si>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</si>
  <si>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</si>
  <si>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</si>
  <si>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</si>
  <si>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</si>
  <si>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</si>
  <si>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</si>
  <si>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</si>
  <si>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</si>
  <si>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</si>
  <si>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</si>
  <si>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</si>
  <si>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</si>
  <si>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</si>
  <si>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</si>
  <si>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</si>
  <si>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</si>
  <si>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</si>
  <si>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</si>
  <si>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</si>
  <si>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</si>
  <si>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</si>
  <si>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</si>
  <si>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</si>
  <si>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</si>
  <si>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</si>
  <si>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</si>
  <si>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</si>
  <si>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</si>
  <si>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</si>
  <si>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</si>
  <si>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</si>
  <si>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[FSP] Verify FSP BIOS Dispatch mode Boot Flow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</si>
  <si>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</si>
  <si>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</si>
  <si>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</si>
  <si>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</si>
  <si>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</si>
  <si>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</si>
  <si>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</si>
  <si>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</si>
  <si>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</si>
  <si>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</si>
  <si>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</si>
  <si>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</si>
  <si>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</si>
  <si>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</si>
  <si>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</si>
  <si>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</si>
  <si>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</si>
  <si>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</si>
  <si>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</si>
  <si>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</si>
  <si>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</si>
  <si>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</si>
  <si>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</si>
  <si>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</si>
  <si>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</si>
  <si>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</si>
  <si>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</si>
  <si>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</si>
  <si>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</si>
  <si>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</si>
  <si>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</si>
  <si>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</si>
  <si>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</si>
  <si>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</si>
  <si>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</si>
  <si>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</si>
  <si>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</si>
  <si>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</si>
  <si>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</si>
  <si>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</si>
  <si>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</si>
  <si>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</si>
  <si>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</si>
  <si>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</si>
  <si>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</si>
  <si>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</si>
  <si>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</si>
  <si>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</si>
  <si>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</si>
  <si>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</si>
  <si>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</si>
  <si>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</si>
  <si>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</si>
  <si>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</si>
  <si>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</si>
  <si>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</si>
  <si>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</si>
  <si>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</si>
  <si>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</si>
  <si>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</si>
  <si>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</si>
  <si>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</si>
  <si>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</si>
  <si>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</si>
  <si>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</si>
  <si>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</si>
  <si>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</si>
  <si>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</si>
  <si>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</si>
  <si>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</si>
  <si>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</si>
  <si>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</si>
  <si>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</si>
  <si>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</si>
  <si>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</si>
  <si>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</si>
  <si>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</si>
  <si>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</si>
  <si>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</si>
  <si>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</si>
  <si>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</si>
  <si>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</si>
  <si>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</si>
  <si>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</si>
  <si>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</si>
  <si>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</si>
  <si>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</si>
  <si>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</si>
  <si>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</si>
  <si>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</si>
  <si>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</si>
  <si>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</si>
  <si>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</si>
  <si>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</si>
  <si>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</si>
  <si>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</si>
  <si>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</si>
  <si>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</si>
  <si>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</si>
  <si>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</si>
  <si>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</si>
  <si>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</si>
  <si>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</si>
  <si>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</si>
  <si>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</si>
  <si>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</si>
  <si>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</si>
  <si>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</si>
  <si>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</si>
  <si>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</si>
  <si>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</si>
  <si>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</si>
  <si>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</si>
  <si>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</si>
  <si>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</si>
  <si>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</si>
  <si>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</si>
  <si>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</si>
  <si>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</si>
  <si>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</si>
  <si>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</si>
  <si>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</si>
  <si>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</si>
  <si>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</si>
  <si>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</si>
  <si>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</si>
  <si>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</si>
  <si>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</si>
  <si>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</si>
  <si>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</si>
  <si>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</si>
  <si>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</si>
  <si>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</si>
  <si>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</si>
  <si>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</si>
  <si>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</si>
  <si>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</si>
  <si>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</si>
  <si>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</si>
  <si>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</si>
  <si>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S3 ingored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</si>
  <si>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</si>
  <si>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</si>
  <si>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</si>
  <si>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</si>
  <si>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</si>
  <si>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</si>
  <si>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</si>
  <si>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</si>
  <si>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</si>
  <si>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</si>
  <si>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</si>
  <si>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</si>
  <si>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</si>
  <si>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</si>
  <si>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</si>
  <si>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</si>
  <si>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</si>
  <si>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</si>
  <si>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</si>
  <si>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</si>
  <si>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</si>
  <si>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</si>
  <si>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</si>
  <si>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</si>
  <si>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</si>
  <si>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</si>
  <si>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</si>
  <si>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</si>
  <si>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</si>
  <si>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</si>
  <si>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</si>
  <si>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</si>
  <si>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</si>
  <si>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</si>
  <si>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</si>
  <si>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</si>
  <si>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</si>
  <si>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</si>
  <si>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</si>
  <si>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</si>
  <si>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</si>
  <si>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</si>
  <si>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</si>
  <si>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</si>
  <si>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</si>
  <si>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</si>
  <si>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</si>
  <si>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</si>
  <si>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</si>
  <si>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</si>
  <si>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</si>
  <si>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</si>
  <si>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</si>
  <si>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</si>
  <si>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</si>
  <si>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</si>
  <si>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</si>
  <si>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</si>
  <si>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</si>
  <si>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</si>
  <si>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</si>
  <si>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</si>
  <si>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</si>
  <si>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</si>
  <si>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</si>
  <si>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</si>
  <si>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</si>
  <si>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</si>
  <si>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</si>
  <si>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</si>
  <si>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</si>
  <si>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</si>
  <si>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</si>
  <si>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</si>
  <si>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</si>
  <si>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</si>
  <si>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</si>
  <si>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</si>
  <si>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</si>
  <si>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Automation blocks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</si>
  <si>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</si>
  <si>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</si>
  <si>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</si>
  <si>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</si>
  <si>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</si>
  <si>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</si>
  <si>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</si>
  <si>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</si>
  <si>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</si>
  <si>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</si>
  <si>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</si>
  <si>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</si>
  <si>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</si>
  <si>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</si>
  <si>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</si>
  <si>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</si>
  <si>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</si>
  <si>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</si>
  <si>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</si>
  <si>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</si>
  <si>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</si>
  <si>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</si>
  <si>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</si>
  <si>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</si>
  <si>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</si>
  <si>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</si>
  <si>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</si>
  <si>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</si>
  <si>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</si>
  <si>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</si>
  <si>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</si>
  <si>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</si>
  <si>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</si>
  <si>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</si>
  <si>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</si>
  <si>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</si>
  <si>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</si>
  <si>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</si>
  <si>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</si>
  <si>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</si>
  <si>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</si>
  <si>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</si>
  <si>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</si>
  <si>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</si>
  <si>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</si>
  <si>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</si>
  <si>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</si>
  <si>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</si>
  <si>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</si>
  <si>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</si>
  <si>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</si>
  <si>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</si>
  <si>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</si>
  <si>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</si>
  <si>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</si>
  <si>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</si>
  <si>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</si>
  <si>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</si>
  <si>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</si>
  <si>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</si>
  <si>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</si>
  <si>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</si>
  <si>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</si>
  <si>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</si>
  <si>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</si>
  <si>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</si>
  <si>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</si>
  <si>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</si>
  <si>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</si>
  <si>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</si>
  <si>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</si>
  <si>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</si>
  <si>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</si>
  <si>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</si>
  <si>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</si>
  <si>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</si>
  <si>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</si>
  <si>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</si>
  <si>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</si>
  <si>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</si>
  <si>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</si>
  <si>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</si>
  <si>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</si>
  <si>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</si>
  <si>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</si>
  <si>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</si>
  <si>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</si>
  <si>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</si>
  <si>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</si>
  <si>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</si>
  <si>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</si>
  <si>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</si>
  <si>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</si>
  <si>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</si>
  <si>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</si>
  <si>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</si>
  <si>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</si>
  <si>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</si>
  <si>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</si>
  <si>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</si>
  <si>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</si>
  <si>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</si>
  <si>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</si>
  <si>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</si>
  <si>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</si>
  <si>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</si>
  <si>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</si>
  <si>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</si>
  <si>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</si>
  <si>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</si>
  <si>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</si>
  <si>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</si>
  <si>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</si>
  <si>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</si>
  <si>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</si>
  <si>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</si>
  <si>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</si>
  <si>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</si>
  <si>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</si>
  <si>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</si>
  <si>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</si>
  <si>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</si>
  <si>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</si>
  <si>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</si>
  <si>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</si>
  <si>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</si>
  <si>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</si>
  <si>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</si>
  <si>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</si>
  <si>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</si>
  <si>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</si>
  <si>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</si>
  <si>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</si>
  <si>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</si>
  <si>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</si>
  <si>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</si>
  <si>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</si>
  <si>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</si>
  <si>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</si>
  <si>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</si>
  <si>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</si>
  <si>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</si>
  <si>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</si>
  <si>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</si>
  <si>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</si>
  <si>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</si>
  <si>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</si>
  <si>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</si>
  <si>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</si>
  <si>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</si>
  <si>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</si>
  <si>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</si>
  <si>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</si>
  <si>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</si>
  <si>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</si>
  <si>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</si>
  <si>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</si>
  <si>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</si>
  <si>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</si>
  <si>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</si>
  <si>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</si>
  <si>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</si>
  <si>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</si>
  <si>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</si>
  <si>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</si>
  <si>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</si>
  <si>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</si>
  <si>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</si>
  <si>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</si>
  <si>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</si>
  <si>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</si>
  <si>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</si>
  <si>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</si>
  <si>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</si>
  <si>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</si>
  <si>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</si>
  <si>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</si>
  <si>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</si>
  <si>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</si>
  <si>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</si>
  <si>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</si>
  <si>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</si>
  <si>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</si>
  <si>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</si>
  <si>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</si>
  <si>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</si>
  <si>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</si>
  <si>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</si>
  <si>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</si>
  <si>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</si>
  <si>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</si>
  <si>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</si>
  <si>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</si>
  <si>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</si>
  <si>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</si>
  <si>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</si>
  <si>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</si>
  <si>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</si>
  <si>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</si>
  <si>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</si>
  <si>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</si>
  <si>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</si>
  <si>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</si>
  <si>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</si>
  <si>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</si>
  <si>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</si>
  <si>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</si>
  <si>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</si>
  <si>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</si>
  <si>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</si>
  <si>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</si>
  <si>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</si>
  <si>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</si>
  <si>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</si>
  <si>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</si>
  <si>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</si>
  <si>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</si>
  <si>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</si>
  <si>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</si>
  <si>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</si>
  <si>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</si>
  <si>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</si>
  <si>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</si>
  <si>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</si>
  <si>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</si>
  <si>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</si>
  <si>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</si>
  <si>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</si>
  <si>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</si>
  <si>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</si>
  <si>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</si>
  <si>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</si>
  <si>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</si>
  <si>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</si>
  <si>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</si>
  <si>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</si>
  <si>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</si>
  <si>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</si>
  <si>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</si>
  <si>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</si>
  <si>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</si>
  <si>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</si>
  <si>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</si>
  <si>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</si>
  <si>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</si>
  <si>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</si>
  <si>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</si>
  <si>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</si>
  <si>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</si>
  <si>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</si>
  <si>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</si>
  <si>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</si>
  <si>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</si>
  <si>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</si>
  <si>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</si>
  <si>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</si>
  <si>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</si>
  <si>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</si>
  <si>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</si>
  <si>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</si>
  <si>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</si>
  <si>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</si>
  <si>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</si>
  <si>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</si>
  <si>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</si>
  <si>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</si>
  <si>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</si>
  <si>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</si>
  <si>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</si>
  <si>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</si>
  <si>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</si>
  <si>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</si>
  <si>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</si>
  <si>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</si>
  <si>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</si>
  <si>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</si>
  <si>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</si>
  <si>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</si>
  <si>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</si>
  <si>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</si>
  <si>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</si>
  <si>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</si>
  <si>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</si>
  <si>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</si>
  <si>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</si>
  <si>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</si>
  <si>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</si>
  <si>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</si>
  <si>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</si>
  <si>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</si>
  <si>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</si>
  <si>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</si>
  <si>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</si>
  <si>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</si>
  <si>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</si>
  <si>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</si>
  <si>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</si>
  <si>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</si>
  <si>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</si>
  <si>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</si>
  <si>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</si>
  <si>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</si>
  <si>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</si>
  <si>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</si>
  <si>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</si>
  <si>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</si>
  <si>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</si>
  <si>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</si>
  <si>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</si>
  <si>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</si>
  <si>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</si>
  <si>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</si>
  <si>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</si>
  <si>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</si>
  <si>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</si>
  <si>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</si>
  <si>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</si>
  <si>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</si>
  <si>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</si>
  <si>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</si>
  <si>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</si>
  <si>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</si>
  <si>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</si>
  <si>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</si>
  <si>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</si>
  <si>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</si>
  <si>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</si>
  <si>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</si>
  <si>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</si>
  <si>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</si>
  <si>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</si>
  <si>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</si>
  <si>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</si>
  <si>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</si>
  <si>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</si>
  <si>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</si>
  <si>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</si>
  <si>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</si>
  <si>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</si>
  <si>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</si>
  <si>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</si>
  <si>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</si>
  <si>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</si>
  <si>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</si>
  <si>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</si>
  <si>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</si>
  <si>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</si>
  <si>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</si>
  <si>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</si>
  <si>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</si>
  <si>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</si>
  <si>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</si>
  <si>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</si>
  <si>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</si>
  <si>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</si>
  <si>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</si>
  <si>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</si>
  <si>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</si>
  <si>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</si>
  <si>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</si>
  <si>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</si>
  <si>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</si>
  <si>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</si>
  <si>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</si>
  <si>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</si>
  <si>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</si>
  <si>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</si>
  <si>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</si>
  <si>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</si>
  <si>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</si>
  <si>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</si>
  <si>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</si>
  <si>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</si>
  <si>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</si>
  <si>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</si>
  <si>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</si>
  <si>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</si>
  <si>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</si>
  <si>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</si>
  <si>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</si>
  <si>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</si>
  <si>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</si>
  <si>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</si>
  <si>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</si>
  <si>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</si>
  <si>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</si>
  <si>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</si>
  <si>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</si>
  <si>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</si>
  <si>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</si>
  <si>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</si>
  <si>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</si>
  <si>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</si>
  <si>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</si>
  <si>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</si>
  <si>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</si>
  <si>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</si>
  <si>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</si>
  <si>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</si>
  <si>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</si>
  <si>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</si>
  <si>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</si>
  <si>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</si>
  <si>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</si>
  <si>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</si>
  <si>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</si>
  <si>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</si>
  <si>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</si>
  <si>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</si>
  <si>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</si>
  <si>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</si>
  <si>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</si>
  <si>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</si>
  <si>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</si>
  <si>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</si>
  <si>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</si>
  <si>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</si>
  <si>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</si>
  <si>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</si>
  <si>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</si>
  <si>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</si>
  <si>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</si>
  <si>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</si>
  <si>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</si>
  <si>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</si>
  <si>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</si>
  <si>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</si>
  <si>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</si>
  <si>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</si>
  <si>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</si>
  <si>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</si>
  <si>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</si>
  <si>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</si>
  <si>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</si>
  <si>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</si>
  <si>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</si>
  <si>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</si>
  <si>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</si>
  <si>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</si>
  <si>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</si>
  <si>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</si>
  <si>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</si>
  <si>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</si>
  <si>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</si>
  <si>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</si>
  <si>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</si>
  <si>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</si>
  <si>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</si>
  <si>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</si>
  <si>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</si>
  <si>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</si>
  <si>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</si>
  <si>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</si>
  <si>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</si>
  <si>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</si>
  <si>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</si>
  <si>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</si>
  <si>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</si>
  <si>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</si>
  <si>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</si>
  <si>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</si>
  <si>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</si>
  <si>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</si>
  <si>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</si>
  <si>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</si>
  <si>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</si>
  <si>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</si>
  <si>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</si>
  <si>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</si>
  <si>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</si>
  <si>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</si>
  <si>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</si>
  <si>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</si>
  <si>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</si>
  <si>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</si>
  <si>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</si>
  <si>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</si>
  <si>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</si>
  <si>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</si>
  <si>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</si>
  <si>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</si>
  <si>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</si>
  <si>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</si>
  <si>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</si>
  <si>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</si>
  <si>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</si>
  <si>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</si>
  <si>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</si>
  <si>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</si>
  <si>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</si>
  <si>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</si>
  <si>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</si>
  <si>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</si>
  <si>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</si>
  <si>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</si>
  <si>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</si>
  <si>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</si>
  <si>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</si>
  <si>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</si>
  <si>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</si>
  <si>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</si>
  <si>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</si>
  <si>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</si>
  <si>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</si>
  <si>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</si>
  <si>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</si>
  <si>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</si>
  <si>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</si>
  <si>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</si>
  <si>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</si>
  <si>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</si>
  <si>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</si>
  <si>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</si>
  <si>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</si>
  <si>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</si>
  <si>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</si>
  <si>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</si>
  <si>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</si>
  <si>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</si>
  <si>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</si>
  <si>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</si>
  <si>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</si>
  <si>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</si>
  <si>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</si>
  <si>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</si>
  <si>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</si>
  <si>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</si>
  <si>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</si>
  <si>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</si>
  <si>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</si>
  <si>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</si>
  <si>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</si>
  <si>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</si>
  <si>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</si>
  <si>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</si>
  <si>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</si>
  <si>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</si>
  <si>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</si>
  <si>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</si>
  <si>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</si>
  <si>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</si>
  <si>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</si>
  <si>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</si>
  <si>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</si>
  <si>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</si>
  <si>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</si>
  <si>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</si>
  <si>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</si>
  <si>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</si>
  <si>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</si>
  <si>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</si>
  <si>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</si>
  <si>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</si>
  <si>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</si>
  <si>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</si>
  <si>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</si>
  <si>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</si>
  <si>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</si>
  <si>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</si>
  <si>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</si>
  <si>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</si>
  <si>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</si>
  <si>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</si>
  <si>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</si>
  <si>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</si>
  <si>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</si>
  <si>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</si>
  <si>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Verify CPU switches between all P-states when Number of P states set to 0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</si>
  <si>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</si>
  <si>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</si>
  <si>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</si>
  <si>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</si>
  <si>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</si>
  <si>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</si>
  <si>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</si>
  <si>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</si>
  <si>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</si>
  <si>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</si>
  <si>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</si>
  <si>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</si>
  <si>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</si>
  <si>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</si>
  <si>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</si>
  <si>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</si>
  <si>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</si>
  <si>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</si>
  <si>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</si>
  <si>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</si>
  <si>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</si>
  <si>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</si>
  <si>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</si>
  <si>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</si>
  <si>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</si>
  <si>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</si>
  <si>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</si>
  <si>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</si>
  <si>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</si>
  <si>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</si>
  <si>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</si>
  <si>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</si>
  <si>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</si>
  <si>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</si>
  <si>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</si>
  <si>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</si>
  <si>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</si>
  <si>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</si>
  <si>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</si>
  <si>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</si>
  <si>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</si>
  <si>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</si>
  <si>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</si>
  <si>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</si>
  <si>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</si>
  <si>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</si>
  <si>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</si>
  <si>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</si>
  <si>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</si>
  <si>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</si>
  <si>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</si>
  <si>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</si>
  <si>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</si>
  <si>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</si>
  <si>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</si>
  <si>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</si>
  <si>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</si>
  <si>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</si>
  <si>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</si>
  <si>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</si>
  <si>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</si>
  <si>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</si>
  <si>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</si>
  <si>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</si>
  <si>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</si>
  <si>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</si>
  <si>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</si>
  <si>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</si>
  <si>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</si>
  <si>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</si>
  <si>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</si>
  <si>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</si>
  <si>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</si>
  <si>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</si>
  <si>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</si>
  <si>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</si>
  <si>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</si>
  <si>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</si>
  <si>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</si>
  <si>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</si>
  <si>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</si>
  <si>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</si>
  <si>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</si>
  <si>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</si>
  <si>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</si>
  <si>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</si>
  <si>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</si>
  <si>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</si>
  <si>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</si>
  <si>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</si>
  <si>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</si>
  <si>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</si>
  <si>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</si>
  <si>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</si>
  <si>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</si>
  <si>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</si>
  <si>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</si>
  <si>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</si>
  <si>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</si>
  <si>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</si>
  <si>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</si>
  <si>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</si>
  <si>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</si>
  <si>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</si>
  <si>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</si>
  <si>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</si>
  <si>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</si>
  <si>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</si>
  <si>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</si>
  <si>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</si>
  <si>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</si>
  <si>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</si>
  <si>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</si>
  <si>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</si>
  <si>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</si>
  <si>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</si>
  <si>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</si>
  <si>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</si>
  <si>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</si>
  <si>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</si>
  <si>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</si>
  <si>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</si>
  <si>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</si>
  <si>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</si>
  <si>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</si>
  <si>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</si>
  <si>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</si>
  <si>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</si>
  <si>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</si>
  <si>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</si>
  <si>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</si>
  <si>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</si>
  <si>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</si>
  <si>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</si>
  <si>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</si>
  <si>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</si>
  <si>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</si>
  <si>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</si>
  <si>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</si>
  <si>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</si>
  <si>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</si>
  <si>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</si>
  <si>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</si>
  <si>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</si>
  <si>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</si>
  <si>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</si>
  <si>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</si>
  <si>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</si>
  <si>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</si>
  <si>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</si>
  <si>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</si>
  <si>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</si>
  <si>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</si>
  <si>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</si>
  <si>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</si>
  <si>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</si>
  <si>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</si>
  <si>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</si>
  <si>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</si>
  <si>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</si>
  <si>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</si>
  <si>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</si>
  <si>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</si>
  <si>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</si>
  <si>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</si>
  <si>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</si>
  <si>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</si>
  <si>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</si>
  <si>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</si>
  <si>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</si>
  <si>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</si>
  <si>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</si>
  <si>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</si>
  <si>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</si>
  <si>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</si>
  <si>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</si>
  <si>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</si>
  <si>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</si>
  <si>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</si>
  <si>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</si>
  <si>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</si>
  <si>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</si>
  <si>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</si>
  <si>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</si>
  <si>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</si>
  <si>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</si>
  <si>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</si>
  <si>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</si>
  <si>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</si>
  <si>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</si>
  <si>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</si>
  <si>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</si>
  <si>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</si>
  <si>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</si>
  <si>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</si>
  <si>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</si>
  <si>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</si>
  <si>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</si>
  <si>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</si>
  <si>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S3 ignored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</si>
  <si>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</si>
  <si>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</si>
  <si>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</si>
  <si>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</si>
  <si>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</si>
  <si>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</si>
  <si>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</si>
  <si>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</si>
  <si>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</si>
  <si>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</si>
  <si>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</si>
  <si>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</si>
  <si>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</si>
  <si>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</si>
  <si>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</si>
  <si>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</si>
  <si>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</si>
  <si>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</si>
  <si>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</si>
  <si>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</si>
  <si>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</si>
  <si>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</si>
  <si>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</si>
  <si>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</si>
  <si>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</si>
  <si>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</si>
  <si>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</si>
  <si>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</si>
  <si>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</si>
  <si>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</si>
  <si>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Validate the number of CPU Core enumeration under OS and UEFI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</si>
  <si>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</si>
  <si>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</si>
  <si>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</si>
  <si>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</si>
  <si>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</si>
  <si>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</si>
  <si>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</si>
  <si>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</si>
  <si>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</si>
  <si>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</si>
  <si>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</si>
  <si>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</si>
  <si>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</si>
  <si>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</si>
  <si>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</si>
  <si>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</si>
  <si>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</si>
  <si>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</si>
  <si>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</si>
  <si>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</si>
  <si>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</si>
  <si>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</si>
  <si>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</si>
  <si>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</si>
  <si>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</si>
  <si>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</si>
  <si>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</si>
  <si>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</si>
  <si>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</si>
  <si>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</si>
  <si>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</si>
  <si>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</si>
  <si>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</si>
  <si>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</si>
  <si>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</si>
  <si>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</si>
  <si>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</si>
  <si>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</si>
  <si>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</si>
  <si>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</si>
  <si>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</si>
  <si>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</si>
  <si>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</si>
  <si>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</si>
  <si>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</si>
  <si>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</si>
  <si>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</si>
  <si>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</si>
  <si>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</si>
  <si>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</si>
  <si>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</si>
  <si>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</si>
  <si>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</si>
  <si>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</si>
  <si>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</si>
  <si>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</si>
  <si>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</si>
  <si>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</si>
  <si>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</si>
  <si>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</si>
  <si>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</si>
  <si>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</si>
  <si>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</si>
  <si>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</si>
  <si>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</si>
  <si>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</si>
  <si>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</si>
  <si>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</si>
  <si>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</si>
  <si>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</si>
  <si>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</si>
  <si>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</si>
  <si>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</si>
  <si>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</si>
  <si>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</si>
  <si>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</si>
  <si>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</si>
  <si>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</si>
  <si>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</si>
  <si>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</si>
  <si>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</si>
  <si>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</si>
  <si>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</si>
  <si>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</si>
  <si>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</si>
  <si>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</si>
  <si>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</si>
  <si>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</si>
  <si>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</si>
  <si>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</si>
  <si>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</si>
  <si>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</si>
  <si>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</si>
  <si>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</si>
  <si>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</si>
  <si>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</si>
  <si>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</si>
  <si>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</si>
  <si>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</si>
  <si>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</si>
  <si>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</si>
  <si>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</si>
  <si>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</si>
  <si>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</si>
  <si>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</si>
  <si>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</si>
  <si>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</si>
  <si>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</si>
  <si>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</si>
  <si>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</si>
  <si>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</si>
  <si>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</si>
  <si>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</si>
  <si>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</si>
  <si>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</si>
  <si>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</si>
  <si>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</si>
  <si>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</si>
  <si>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</si>
  <si>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</si>
  <si>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</si>
  <si>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</si>
  <si>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</si>
  <si>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</si>
  <si>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</si>
  <si>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</si>
  <si>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</si>
  <si>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</si>
  <si>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</si>
  <si>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</si>
  <si>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</si>
  <si>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</si>
  <si>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</si>
  <si>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</si>
  <si>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</si>
  <si>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</si>
  <si>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</si>
  <si>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</si>
  <si>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</si>
  <si>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</si>
  <si>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</si>
  <si>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</si>
  <si>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</si>
  <si>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</si>
  <si>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</si>
  <si>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</si>
  <si>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</si>
  <si>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</si>
  <si>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</si>
  <si>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</si>
  <si>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</si>
  <si>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</si>
  <si>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</si>
  <si>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</si>
  <si>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</si>
  <si>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</si>
  <si>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</si>
  <si>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</si>
  <si>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</si>
  <si>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</si>
  <si>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</si>
  <si>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</si>
  <si>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</si>
  <si>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</si>
  <si>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</si>
  <si>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</si>
  <si>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</si>
  <si>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</si>
  <si>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</si>
  <si>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</si>
  <si>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</si>
  <si>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</si>
  <si>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</si>
  <si>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</si>
  <si>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</si>
  <si>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</si>
  <si>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</si>
  <si>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</si>
  <si>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Verify multiple global reset functionality cycles check in SUT with Debug BIOS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</si>
  <si>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</si>
  <si>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</si>
  <si>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</si>
  <si>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</si>
  <si>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</si>
  <si>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</si>
  <si>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</si>
  <si>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</si>
  <si>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</si>
  <si>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</si>
  <si>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</si>
  <si>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</si>
  <si>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</si>
  <si>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</si>
  <si>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</si>
  <si>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</si>
  <si>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</si>
  <si>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</si>
  <si>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</si>
  <si>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</si>
  <si>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</si>
  <si>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</si>
  <si>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</si>
  <si>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</si>
  <si>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</si>
  <si>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</si>
  <si>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</si>
  <si>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</si>
  <si>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</si>
  <si>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</si>
  <si>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</si>
  <si>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</si>
  <si>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</si>
  <si>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</si>
  <si>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</si>
  <si>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</si>
  <si>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</si>
  <si>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</si>
  <si>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</si>
  <si>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</si>
  <si>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</si>
  <si>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</si>
  <si>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</si>
  <si>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</si>
  <si>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</si>
  <si>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</si>
  <si>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</si>
  <si>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</si>
  <si>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</si>
  <si>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</si>
  <si>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</si>
  <si>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</si>
  <si>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</si>
  <si>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</si>
  <si>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</si>
  <si>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</si>
  <si>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</si>
  <si>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</si>
  <si>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</si>
  <si>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</si>
  <si>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</si>
  <si>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</si>
  <si>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</si>
  <si>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</si>
  <si>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</si>
  <si>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</si>
  <si>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</si>
  <si>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</si>
  <si>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</si>
  <si>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</si>
  <si>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</si>
  <si>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</si>
  <si>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</si>
  <si>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</si>
  <si>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</si>
  <si>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</si>
  <si>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</si>
  <si>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</si>
  <si>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</si>
  <si>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</si>
  <si>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</si>
  <si>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</si>
  <si>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</si>
  <si>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</si>
  <si>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</si>
  <si>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</si>
  <si>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</si>
  <si>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</si>
  <si>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</si>
  <si>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</si>
  <si>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</si>
  <si>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</si>
  <si>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</si>
  <si>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</si>
  <si>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</si>
  <si>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</si>
  <si>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</si>
  <si>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</si>
  <si>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</si>
  <si>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</si>
  <si>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</si>
  <si>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</si>
  <si>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</si>
  <si>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</si>
  <si>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</si>
  <si>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</si>
  <si>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</si>
  <si>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</si>
  <si>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</si>
  <si>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</si>
  <si>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</si>
  <si>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</si>
  <si>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</si>
  <si>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</si>
  <si>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</si>
  <si>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</si>
  <si>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</si>
  <si>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</si>
  <si>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</si>
  <si>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</si>
  <si>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</si>
  <si>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</si>
  <si>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</si>
  <si>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</si>
  <si>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</si>
  <si>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</si>
  <si>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</si>
  <si>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</si>
  <si>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</si>
  <si>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</si>
  <si>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</si>
  <si>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</si>
  <si>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Verify RTD3 support for HD Audio Controller with and without Audio playback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</si>
  <si>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</si>
  <si>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</si>
  <si>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</si>
  <si>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</si>
  <si>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</si>
  <si>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</si>
  <si>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</si>
  <si>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</si>
  <si>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</si>
  <si>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</si>
  <si>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</si>
  <si>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</si>
  <si>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</si>
  <si>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</si>
  <si>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</si>
  <si>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</si>
  <si>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</si>
  <si>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</si>
  <si>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</si>
  <si>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</si>
  <si>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</si>
  <si>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</si>
  <si>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</si>
  <si>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</si>
  <si>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</si>
  <si>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</si>
  <si>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</si>
  <si>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</si>
  <si>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</si>
  <si>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</si>
  <si>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Verify SMBIOS type 1 provides System information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</si>
  <si>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</si>
  <si>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</si>
  <si>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</si>
  <si>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</si>
  <si>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</si>
  <si>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</si>
  <si>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</si>
  <si>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</si>
  <si>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</si>
  <si>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</si>
  <si>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</si>
  <si>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</si>
  <si>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</si>
  <si>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</si>
  <si>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</si>
  <si>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</si>
  <si>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</si>
  <si>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</si>
  <si>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</si>
  <si>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</si>
  <si>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</si>
  <si>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</si>
  <si>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</si>
  <si>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</si>
  <si>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</si>
  <si>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</si>
  <si>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</si>
  <si>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</si>
  <si>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</si>
  <si>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</si>
  <si>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</si>
  <si>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</si>
  <si>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</si>
  <si>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</si>
  <si>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</si>
  <si>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</si>
  <si>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</si>
  <si>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</si>
  <si>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</si>
  <si>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</si>
  <si>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</si>
  <si>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</si>
  <si>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</si>
  <si>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</si>
  <si>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</si>
  <si>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</si>
  <si>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</si>
  <si>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</si>
  <si>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</si>
  <si>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</si>
  <si>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</si>
  <si>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</si>
  <si>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</si>
  <si>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</si>
  <si>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</si>
  <si>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</si>
  <si>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</si>
  <si>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</si>
  <si>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</si>
  <si>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</si>
  <si>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</si>
  <si>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</si>
  <si>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</si>
  <si>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</si>
  <si>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</si>
  <si>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</si>
  <si>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</si>
  <si>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</si>
  <si>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</si>
  <si>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</si>
  <si>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</si>
  <si>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</si>
  <si>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</si>
  <si>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</si>
  <si>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</si>
  <si>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</si>
  <si>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</si>
  <si>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</si>
  <si>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</si>
  <si>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</si>
  <si>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</si>
  <si>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</si>
  <si>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</si>
  <si>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</si>
  <si>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</si>
  <si>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</si>
  <si>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</si>
  <si>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</si>
  <si>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</si>
  <si>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</si>
  <si>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</si>
  <si>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</si>
  <si>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</si>
  <si>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</si>
  <si>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</si>
  <si>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</si>
  <si>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</si>
  <si>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</si>
  <si>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</si>
  <si>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</si>
  <si>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</si>
  <si>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</si>
  <si>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</si>
  <si>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</si>
  <si>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</si>
  <si>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</si>
  <si>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</si>
  <si>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</si>
  <si>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</si>
  <si>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</si>
  <si>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</si>
  <si>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</si>
  <si>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</si>
  <si>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</si>
  <si>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</si>
  <si>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</si>
  <si>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</si>
  <si>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</si>
  <si>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</si>
  <si>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</si>
  <si>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</si>
  <si>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</si>
  <si>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</si>
  <si>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</si>
  <si>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</si>
  <si>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</si>
  <si>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</si>
  <si>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</si>
  <si>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</si>
  <si>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</si>
  <si>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</si>
  <si>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</si>
  <si>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</si>
  <si>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</si>
  <si>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</si>
  <si>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</si>
  <si>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</si>
  <si>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</si>
  <si>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</si>
  <si>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</si>
  <si>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</si>
  <si>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</si>
  <si>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</si>
  <si>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</si>
  <si>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</si>
  <si>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</si>
  <si>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</si>
  <si>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</si>
  <si>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</si>
  <si>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</si>
  <si>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</si>
  <si>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</si>
  <si>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</si>
  <si>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Verify System notification tones in OS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</si>
  <si>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</si>
  <si>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</si>
  <si>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</si>
  <si>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</si>
  <si>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</si>
  <si>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</si>
  <si>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</si>
  <si>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</si>
  <si>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</si>
  <si>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</si>
  <si>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</si>
  <si>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</si>
  <si>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</si>
  <si>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</si>
  <si>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</si>
  <si>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</si>
  <si>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</si>
  <si>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</si>
  <si>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</si>
  <si>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</si>
  <si>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</si>
  <si>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</si>
  <si>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</si>
  <si>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</si>
  <si>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</si>
  <si>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</si>
  <si>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</si>
  <si>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</si>
  <si>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</si>
  <si>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</si>
  <si>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</si>
  <si>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</si>
  <si>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</si>
  <si>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</si>
  <si>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</si>
  <si>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</si>
  <si>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</si>
  <si>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</si>
  <si>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</si>
  <si>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</si>
  <si>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</si>
  <si>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</si>
  <si>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</si>
  <si>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</si>
  <si>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</si>
  <si>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</si>
  <si>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</si>
  <si>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</si>
  <si>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</si>
  <si>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</si>
  <si>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</si>
  <si>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</si>
  <si>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</si>
  <si>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</si>
  <si>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</si>
  <si>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</si>
  <si>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</si>
  <si>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</si>
  <si>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</si>
  <si>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</si>
  <si>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</si>
  <si>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</si>
  <si>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</si>
  <si>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</si>
  <si>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</si>
  <si>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</si>
  <si>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</si>
  <si>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</si>
  <si>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</si>
  <si>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</si>
  <si>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</si>
  <si>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</si>
  <si>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</si>
  <si>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</si>
  <si>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</si>
  <si>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</si>
  <si>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</si>
  <si>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</si>
  <si>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</si>
  <si>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</si>
  <si>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</si>
  <si>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</si>
  <si>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</si>
  <si>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</si>
  <si>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</si>
  <si>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</si>
  <si>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</si>
  <si>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</si>
  <si>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</si>
  <si>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</si>
  <si>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</si>
  <si>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</si>
  <si>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</si>
  <si>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</si>
  <si>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</si>
  <si>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</si>
  <si>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</si>
  <si>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</si>
  <si>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</si>
  <si>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</si>
  <si>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</si>
  <si>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</si>
  <si>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</si>
  <si>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</si>
  <si>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</si>
  <si>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</si>
  <si>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</si>
  <si>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</si>
  <si>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</si>
  <si>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</si>
  <si>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</si>
  <si>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</si>
  <si>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</si>
  <si>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</si>
  <si>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</si>
  <si>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</si>
  <si>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</si>
  <si>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</si>
  <si>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</si>
  <si>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</si>
  <si>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</si>
  <si>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</si>
  <si>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</si>
  <si>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</si>
  <si>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</si>
  <si>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</si>
  <si>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</si>
  <si>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</si>
  <si>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</si>
  <si>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</si>
  <si>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</si>
  <si>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</si>
  <si>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</si>
  <si>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</si>
  <si>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</si>
  <si>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</si>
  <si>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</si>
  <si>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</si>
  <si>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</si>
  <si>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</si>
  <si>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</si>
  <si>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</si>
  <si>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Verify that the BIOS shall display the VBIOS/GOP version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</si>
  <si>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</si>
  <si>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</si>
  <si>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</si>
  <si>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</si>
  <si>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</si>
  <si>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</si>
  <si>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</si>
  <si>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</si>
  <si>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</si>
  <si>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</si>
  <si>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</si>
  <si>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</si>
  <si>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</si>
  <si>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</si>
  <si>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</si>
  <si>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</si>
  <si>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</si>
  <si>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</si>
  <si>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</si>
  <si>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</si>
  <si>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</si>
  <si>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</si>
  <si>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</si>
  <si>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</si>
  <si>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</si>
  <si>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</si>
  <si>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</si>
  <si>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</si>
  <si>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</si>
  <si>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</si>
  <si>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</si>
  <si>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</si>
  <si>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</si>
  <si>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</si>
  <si>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Verify Touch function test using TouchPad post S3 cycle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</si>
  <si>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</si>
  <si>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</si>
  <si>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</si>
  <si>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</si>
  <si>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</si>
  <si>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</si>
  <si>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</si>
  <si>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</si>
  <si>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</si>
  <si>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</si>
  <si>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</si>
  <si>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</si>
  <si>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</si>
  <si>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</si>
  <si>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</si>
  <si>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</si>
  <si>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</si>
  <si>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</si>
  <si>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</si>
  <si>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</si>
  <si>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</si>
  <si>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</si>
  <si>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</si>
  <si>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</si>
  <si>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</si>
  <si>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</si>
  <si>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</si>
  <si>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</si>
  <si>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</si>
  <si>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</si>
  <si>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</si>
  <si>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</si>
  <si>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</si>
  <si>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</si>
  <si>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</si>
  <si>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</si>
  <si>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</si>
  <si>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</si>
  <si>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</si>
  <si>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</si>
  <si>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</si>
  <si>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</si>
  <si>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</si>
  <si>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</si>
  <si>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</si>
  <si>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</si>
  <si>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</si>
  <si>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</si>
  <si>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</si>
  <si>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</si>
  <si>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</si>
  <si>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</si>
  <si>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</si>
  <si>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</si>
  <si>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</si>
  <si>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</si>
  <si>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</si>
  <si>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</si>
  <si>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</si>
  <si>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</si>
  <si>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</si>
  <si>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</si>
  <si>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</si>
  <si>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</si>
  <si>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</si>
  <si>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</si>
  <si>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</si>
  <si>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</si>
  <si>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</si>
  <si>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</si>
  <si>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</si>
  <si>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</si>
  <si>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</si>
  <si>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</si>
  <si>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</si>
  <si>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</si>
  <si>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</si>
  <si>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</si>
  <si>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</si>
  <si>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</si>
  <si>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</si>
  <si>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</si>
  <si>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</si>
  <si>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</si>
  <si>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</si>
  <si>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</si>
  <si>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</si>
  <si>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</si>
  <si>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</si>
  <si>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</si>
  <si>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</si>
  <si>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</si>
  <si>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</si>
  <si>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</si>
  <si>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</si>
  <si>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</si>
  <si>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</si>
  <si>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</si>
  <si>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</si>
  <si>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</si>
  <si>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</si>
  <si>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</si>
  <si>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</si>
  <si>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</si>
  <si>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</si>
  <si>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</si>
  <si>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</si>
  <si>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</si>
  <si>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</si>
  <si>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</si>
  <si>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</si>
  <si>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</si>
  <si>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</si>
  <si>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</si>
  <si>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</si>
  <si>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</si>
  <si>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</si>
  <si>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</si>
  <si>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</si>
  <si>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</si>
  <si>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</si>
  <si>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</si>
  <si>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</si>
  <si>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</si>
  <si>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</si>
  <si>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</si>
  <si>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</si>
  <si>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</si>
  <si>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</si>
  <si>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</si>
  <si>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</si>
  <si>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</si>
  <si>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</si>
  <si>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</si>
  <si>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</si>
  <si>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</si>
  <si>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</si>
  <si>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</si>
  <si>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</si>
  <si>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</si>
  <si>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</si>
  <si>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</si>
  <si>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</si>
  <si>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</si>
  <si>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</si>
  <si>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</si>
  <si>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</si>
  <si>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</si>
  <si>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</si>
  <si>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</si>
  <si>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</si>
  <si>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</si>
  <si>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</si>
  <si>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</si>
  <si>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</si>
  <si>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</si>
  <si>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</si>
  <si>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</si>
  <si>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</si>
  <si>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</si>
  <si>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</si>
  <si>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</si>
  <si>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</si>
  <si>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</si>
  <si>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</si>
  <si>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</si>
  <si>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</si>
  <si>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</si>
  <si>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</si>
  <si>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</si>
  <si>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</si>
  <si>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</si>
  <si>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</si>
  <si>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</si>
  <si>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</si>
  <si>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verified with consumer Ifwi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</si>
  <si>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</si>
  <si>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</si>
  <si>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</si>
  <si>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</si>
  <si>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</si>
  <si>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</si>
  <si>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</si>
  <si>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</si>
  <si>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</si>
  <si>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</si>
  <si>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</si>
  <si>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</si>
  <si>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</si>
  <si>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</si>
  <si>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</si>
  <si>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</si>
  <si>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</si>
  <si>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</si>
  <si>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</si>
  <si>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</si>
  <si>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</si>
  <si>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</si>
  <si>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</si>
  <si>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</si>
  <si>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</si>
  <si>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</si>
  <si>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</si>
  <si>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</si>
  <si>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</si>
  <si>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</si>
  <si>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</si>
  <si>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</si>
  <si>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</si>
  <si>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</si>
  <si>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</si>
  <si>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Ramya</t>
  </si>
  <si>
    <t>NA</t>
  </si>
  <si>
    <t>intel</t>
  </si>
  <si>
    <t>WWAN</t>
  </si>
  <si>
    <t>comments</t>
  </si>
  <si>
    <t xml:space="preserve">PCIe-X16 Slot </t>
  </si>
  <si>
    <t>S3 cycle ignored</t>
  </si>
  <si>
    <t>Touchpad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</si>
  <si>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</si>
  <si>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</si>
  <si>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</si>
  <si>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</si>
  <si>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</si>
  <si>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</si>
  <si>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</si>
  <si>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Checked with DP+edp Display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</si>
  <si>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</si>
  <si>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</si>
  <si>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</si>
  <si>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</si>
  <si>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</si>
  <si>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</si>
  <si>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</si>
  <si>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</si>
  <si>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</si>
  <si>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</si>
  <si>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</si>
  <si>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</si>
  <si>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R0", "MEMORY":"LP5"}</t>
  </si>
  <si>
    <t>Assignee</t>
  </si>
  <si>
    <t>savitha</t>
  </si>
  <si>
    <t>Checked with DP display</t>
  </si>
  <si>
    <t>Gopika</t>
  </si>
  <si>
    <t>current link speed ignored</t>
  </si>
  <si>
    <t xml:space="preserve"> </t>
  </si>
  <si>
    <t>ignore s3</t>
  </si>
  <si>
    <t>scan matrix</t>
  </si>
  <si>
    <t>scan  matrix</t>
  </si>
  <si>
    <t xml:space="preserve">Validate the number of CPU Core enumeration under OS </t>
  </si>
  <si>
    <t xml:space="preserve">Validate USB4 Dock Device functionality on hot insert and removal </t>
  </si>
  <si>
    <t>varified except enable RH prevention</t>
  </si>
  <si>
    <t>obtained 3.75</t>
  </si>
  <si>
    <t>verified with pc10</t>
  </si>
  <si>
    <t>passed</t>
  </si>
  <si>
    <t>Passed</t>
  </si>
  <si>
    <t>verified using usb 2.0 hub</t>
  </si>
  <si>
    <t>Harshitha</t>
  </si>
  <si>
    <t>V3323_00_318</t>
  </si>
  <si>
    <t>;</t>
  </si>
  <si>
    <t>Savitha</t>
  </si>
  <si>
    <t>checked with HDMI</t>
  </si>
  <si>
    <t>checked with dp</t>
  </si>
  <si>
    <t>ADL-M-COBALT-CONS-22.24.6.38A</t>
  </si>
  <si>
    <t>ADL_MR02_RXA1-XXXADPP_CPSF_SEP4_03710408_2022WW32.3.1.bin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</si>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</sst>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8"/>
      <color rgb="FF212529"/>
      <name val="Roboto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14" fontId="0" fillId="0" borderId="0" xfId="0" applyNumberFormat="1" applyFill="1"/>
    <xf numFmtId="0" fontId="0" fillId="0" borderId="0" xfId="0" applyFill="1"/>
    <xf numFmtId="0" fontId="9" fillId="0" borderId="0" xfId="0" applyFont="1" applyFill="1"/>
    <xf numFmtId="0" fontId="1" fillId="0" borderId="0" xfId="0" applyFont="1" applyFill="1"/>
    <xf numFmtId="15" fontId="0" fillId="0" borderId="0" xfId="0" applyNumberFormat="1" applyFill="1"/>
    <xf numFmtId="0" fontId="7" fillId="0" borderId="0" xfId="0" applyFont="1" applyFill="1"/>
    <xf numFmtId="16" fontId="0" fillId="0" borderId="0" xfId="0" applyNumberFormat="1" applyFill="1"/>
    <xf numFmtId="0" fontId="4" fillId="0" borderId="0" xfId="0" applyFont="1" applyFill="1"/>
    <xf numFmtId="0" fontId="8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2" fillId="6" borderId="0" xfId="0" applyFont="1" applyFill="1"/>
    <xf numFmtId="0" fontId="0" fillId="6" borderId="0" xfId="0" applyFill="1"/>
    <xf numFmtId="0" fontId="6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14" fontId="0" fillId="6" borderId="0" xfId="0" applyNumberFormat="1" applyFill="1"/>
    <xf numFmtId="0" fontId="7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/>
    <xf numFmtId="0" fontId="12" fillId="0" borderId="0" xfId="0" applyFont="1"/>
    <xf numFmtId="14" fontId="0" fillId="0" borderId="0" xfId="0" applyNumberFormat="1"/>
    <xf numFmtId="0" fontId="0" fillId="0" borderId="0" xfId="0" applyFill="1"/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dimension ref="A1:X1048576"/>
  <sheetViews>
    <sheetView tabSelected="1" zoomScale="96" zoomScaleNormal="85" workbookViewId="0">
      <selection activeCell="B1" sqref="B1"/>
    </sheetView>
  </sheetViews>
  <sheetFormatPr defaultColWidth="8.88671875" defaultRowHeight="14.4" x14ac:dyDescent="0.3"/>
  <cols>
    <col min="1" max="1" width="16.44140625" style="2" customWidth="1"/>
    <col min="2" max="2" width="108.33203125" style="7" customWidth="1"/>
    <col min="3" max="3" width="9.109375" style="7" customWidth="1"/>
    <col min="4" max="4" width="37.88671875" style="7" hidden="1" customWidth="1"/>
    <col min="5" max="5" width="10" style="7" hidden="1" customWidth="1"/>
    <col min="6" max="6" width="19.33203125" style="7" hidden="1" customWidth="1"/>
    <col min="7" max="7" width="66.88671875" style="7" bestFit="1" customWidth="1"/>
    <col min="8" max="8" width="10" style="7" customWidth="1"/>
    <col min="10" max="10" width="12.44140625" style="7" customWidth="1"/>
    <col min="11" max="11" width="10.109375" style="7" customWidth="1"/>
    <col min="12" max="12" width="13.5546875" style="7" customWidth="1"/>
    <col min="13" max="13" width="13.6640625" style="7" customWidth="1"/>
    <col min="14" max="14" width="9.88671875" style="7" customWidth="1"/>
    <col min="15" max="21" width="8.88671875" style="7"/>
    <col min="22" max="22" width="26.33203125" style="7" customWidth="1"/>
    <col min="23" max="23" width="8.88671875" style="7"/>
    <col min="24" max="24" width="17" style="2" customWidth="1"/>
    <col min="25" max="16384" width="8.88671875" style="7"/>
  </cols>
  <sheetData>
    <row r="1" spans="1:24" s="9" customFormat="1" x14ac:dyDescent="0.3">
      <c r="A1" s="1" t="s">
        <v>2028</v>
      </c>
      <c r="B1" s="1" t="s">
        <v>2029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2003</v>
      </c>
      <c r="K1" s="1" t="s">
        <v>7</v>
      </c>
      <c r="L1" s="1" t="s">
        <v>1978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X1" s="1" t="s">
        <v>0</v>
      </c>
    </row>
    <row r="2" spans="1:24" x14ac:dyDescent="0.3">
      <c r="A2" s="2" t="str">
        <f>HYPERLINK("https://hsdes.intel.com/resource/14013163887","14013163887")</f>
        <v>14013163887</v>
      </c>
      <c r="B2" s="7" t="s">
        <v>29</v>
      </c>
      <c r="C2" s="7" t="s">
        <v>2017</v>
      </c>
      <c r="D2" s="7" t="s">
        <v>18</v>
      </c>
      <c r="E2" s="7" t="s">
        <v>19</v>
      </c>
      <c r="F2" s="7" t="s">
        <v>20</v>
      </c>
      <c r="G2" s="7" t="s">
        <v>2027</v>
      </c>
      <c r="J2" s="7" t="s">
        <v>2004</v>
      </c>
      <c r="M2" s="6">
        <v>44784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X2" s="2" t="str">
        <f>HYPERLINK("https://hsdes.intel.com/resource/14013163887","14013163887")</f>
        <v>14013163887</v>
      </c>
    </row>
    <row r="3" spans="1:24" x14ac:dyDescent="0.3">
      <c r="A3" s="2" t="str">
        <f>HYPERLINK("https://hsdes.intel.com/resource/14013173252","14013173252")</f>
        <v>14013173252</v>
      </c>
      <c r="B3" s="7" t="s">
        <v>29</v>
      </c>
      <c r="C3" s="7" t="s">
        <v>2017</v>
      </c>
      <c r="D3" s="7" t="s">
        <v>30</v>
      </c>
      <c r="E3" s="7" t="s">
        <v>19</v>
      </c>
      <c r="F3" s="7" t="s">
        <v>20</v>
      </c>
      <c r="G3" s="28" t="s">
        <v>2027</v>
      </c>
      <c r="J3" s="7" t="s">
        <v>31</v>
      </c>
      <c r="M3" s="6"/>
      <c r="O3" s="7" t="s">
        <v>32</v>
      </c>
      <c r="P3" s="7" t="s">
        <v>33</v>
      </c>
      <c r="Q3" s="7" t="s">
        <v>34</v>
      </c>
      <c r="R3" s="7" t="s">
        <v>24</v>
      </c>
      <c r="S3" s="7" t="s">
        <v>35</v>
      </c>
      <c r="T3" s="7" t="s">
        <v>36</v>
      </c>
      <c r="U3" s="7" t="s">
        <v>37</v>
      </c>
      <c r="V3" s="7" t="s">
        <v>38</v>
      </c>
      <c r="X3" s="8" t="str">
        <f>HYPERLINK("https://hsdes.intel.com/resource/14013173252","14013173252")</f>
        <v>14013173252</v>
      </c>
    </row>
    <row r="4" spans="1:24" x14ac:dyDescent="0.3">
      <c r="A4" s="2" t="str">
        <f>HYPERLINK("https://hsdes.intel.com/resource/14013173259","14013173259")</f>
        <v>14013173259</v>
      </c>
      <c r="B4" s="7" t="s">
        <v>39</v>
      </c>
      <c r="C4" s="7" t="s">
        <v>2017</v>
      </c>
      <c r="D4" s="7" t="s">
        <v>30</v>
      </c>
      <c r="E4" s="7" t="s">
        <v>19</v>
      </c>
      <c r="F4" s="7" t="s">
        <v>20</v>
      </c>
      <c r="G4" s="28" t="s">
        <v>2027</v>
      </c>
      <c r="J4" s="7" t="s">
        <v>31</v>
      </c>
      <c r="M4" s="6"/>
      <c r="O4" s="7" t="s">
        <v>32</v>
      </c>
      <c r="P4" s="7" t="s">
        <v>33</v>
      </c>
      <c r="Q4" s="7" t="s">
        <v>34</v>
      </c>
      <c r="R4" s="7" t="s">
        <v>24</v>
      </c>
      <c r="S4" s="7" t="s">
        <v>40</v>
      </c>
      <c r="T4" s="7" t="s">
        <v>41</v>
      </c>
      <c r="U4" s="7" t="s">
        <v>42</v>
      </c>
      <c r="V4" s="7" t="s">
        <v>38</v>
      </c>
      <c r="X4" s="2" t="str">
        <f>HYPERLINK("https://hsdes.intel.com/resource/14013173259","14013173259")</f>
        <v>14013173259</v>
      </c>
    </row>
    <row r="5" spans="1:24" x14ac:dyDescent="0.3">
      <c r="A5" s="2" t="str">
        <f>HYPERLINK("https://hsdes.intel.com/resource/14013160841","14013160841")</f>
        <v>14013160841</v>
      </c>
      <c r="B5" s="7" t="s">
        <v>43</v>
      </c>
      <c r="C5" s="7" t="s">
        <v>2017</v>
      </c>
      <c r="D5" s="7" t="s">
        <v>30</v>
      </c>
      <c r="E5" s="7" t="s">
        <v>19</v>
      </c>
      <c r="F5" s="7" t="s">
        <v>20</v>
      </c>
      <c r="G5" s="28" t="s">
        <v>2027</v>
      </c>
      <c r="J5" s="7" t="s">
        <v>31</v>
      </c>
      <c r="M5" s="6"/>
      <c r="O5" s="7" t="s">
        <v>32</v>
      </c>
      <c r="P5" s="7" t="s">
        <v>33</v>
      </c>
      <c r="Q5" s="7" t="s">
        <v>34</v>
      </c>
      <c r="R5" s="7" t="s">
        <v>24</v>
      </c>
      <c r="S5" s="7" t="s">
        <v>44</v>
      </c>
      <c r="T5" s="7" t="s">
        <v>45</v>
      </c>
      <c r="U5" s="7" t="s">
        <v>46</v>
      </c>
      <c r="V5" s="7" t="s">
        <v>38</v>
      </c>
      <c r="X5" s="2" t="str">
        <f>HYPERLINK("https://hsdes.intel.com/resource/14013160841","14013160841")</f>
        <v>14013160841</v>
      </c>
    </row>
    <row r="6" spans="1:24" x14ac:dyDescent="0.3">
      <c r="A6" s="2" t="str">
        <f>HYPERLINK("https://hsdes.intel.com/resource/14013173257","14013173257")</f>
        <v>14013173257</v>
      </c>
      <c r="B6" s="7" t="s">
        <v>47</v>
      </c>
      <c r="C6" s="7" t="s">
        <v>2017</v>
      </c>
      <c r="D6" s="7" t="s">
        <v>30</v>
      </c>
      <c r="E6" s="7" t="s">
        <v>19</v>
      </c>
      <c r="F6" s="7" t="s">
        <v>20</v>
      </c>
      <c r="G6" s="28" t="s">
        <v>2027</v>
      </c>
      <c r="J6" s="7" t="s">
        <v>31</v>
      </c>
      <c r="M6" s="6"/>
      <c r="O6" s="7" t="s">
        <v>32</v>
      </c>
      <c r="P6" s="7" t="s">
        <v>33</v>
      </c>
      <c r="Q6" s="7" t="s">
        <v>34</v>
      </c>
      <c r="R6" s="7" t="s">
        <v>24</v>
      </c>
      <c r="S6" s="7" t="s">
        <v>48</v>
      </c>
      <c r="T6" s="7" t="s">
        <v>36</v>
      </c>
      <c r="U6" s="7" t="s">
        <v>49</v>
      </c>
      <c r="V6" s="7" t="s">
        <v>38</v>
      </c>
      <c r="X6" s="2" t="str">
        <f>HYPERLINK("https://hsdes.intel.com/resource/14013173257","14013173257")</f>
        <v>14013173257</v>
      </c>
    </row>
    <row r="7" spans="1:24" x14ac:dyDescent="0.3">
      <c r="A7" s="2" t="str">
        <f>HYPERLINK("https://hsdes.intel.com/resource/14013173254","14013173254")</f>
        <v>14013173254</v>
      </c>
      <c r="B7" s="7" t="s">
        <v>50</v>
      </c>
      <c r="C7" s="7" t="s">
        <v>2017</v>
      </c>
      <c r="D7" s="7" t="s">
        <v>30</v>
      </c>
      <c r="E7" s="7" t="s">
        <v>19</v>
      </c>
      <c r="F7" s="7" t="s">
        <v>20</v>
      </c>
      <c r="G7" s="28" t="s">
        <v>2027</v>
      </c>
      <c r="J7" s="7" t="s">
        <v>31</v>
      </c>
      <c r="M7" s="6"/>
      <c r="O7" s="7" t="s">
        <v>32</v>
      </c>
      <c r="P7" s="7" t="s">
        <v>33</v>
      </c>
      <c r="Q7" s="7" t="s">
        <v>34</v>
      </c>
      <c r="R7" s="7" t="s">
        <v>24</v>
      </c>
      <c r="S7" s="7" t="s">
        <v>51</v>
      </c>
      <c r="T7" s="7" t="s">
        <v>36</v>
      </c>
      <c r="U7" s="7" t="s">
        <v>52</v>
      </c>
      <c r="V7" s="7" t="s">
        <v>38</v>
      </c>
      <c r="X7" s="2" t="str">
        <f>HYPERLINK("https://hsdes.intel.com/resource/14013173254","14013173254")</f>
        <v>14013173254</v>
      </c>
    </row>
    <row r="8" spans="1:24" x14ac:dyDescent="0.3">
      <c r="A8" s="2" t="str">
        <f>HYPERLINK("https://hsdes.intel.com/resource/14013173249","14013173249")</f>
        <v>14013173249</v>
      </c>
      <c r="B8" s="7" t="s">
        <v>53</v>
      </c>
      <c r="C8" s="7" t="s">
        <v>2017</v>
      </c>
      <c r="D8" s="7" t="s">
        <v>30</v>
      </c>
      <c r="E8" s="7" t="s">
        <v>19</v>
      </c>
      <c r="F8" s="7" t="s">
        <v>20</v>
      </c>
      <c r="G8" s="28" t="s">
        <v>2027</v>
      </c>
      <c r="J8" s="7" t="s">
        <v>2006</v>
      </c>
      <c r="M8" s="6">
        <v>44784</v>
      </c>
      <c r="O8" s="7" t="s">
        <v>32</v>
      </c>
      <c r="P8" s="7" t="s">
        <v>33</v>
      </c>
      <c r="Q8" s="7" t="s">
        <v>34</v>
      </c>
      <c r="R8" s="7" t="s">
        <v>24</v>
      </c>
      <c r="S8" s="7" t="s">
        <v>54</v>
      </c>
      <c r="T8" s="7" t="s">
        <v>36</v>
      </c>
      <c r="U8" s="7" t="s">
        <v>55</v>
      </c>
      <c r="V8" s="7" t="s">
        <v>38</v>
      </c>
      <c r="X8" s="2" t="str">
        <f>HYPERLINK("https://hsdes.intel.com/resource/14013173249","14013173249")</f>
        <v>14013173249</v>
      </c>
    </row>
    <row r="9" spans="1:24" x14ac:dyDescent="0.3">
      <c r="A9" s="2" t="str">
        <f>HYPERLINK("https://hsdes.intel.com/resource/14013173281","14013173281")</f>
        <v>14013173281</v>
      </c>
      <c r="B9" s="7" t="s">
        <v>56</v>
      </c>
      <c r="C9" s="7" t="s">
        <v>2017</v>
      </c>
      <c r="D9" s="7" t="s">
        <v>30</v>
      </c>
      <c r="E9" s="7" t="s">
        <v>19</v>
      </c>
      <c r="F9" s="7" t="s">
        <v>20</v>
      </c>
      <c r="G9" s="28" t="s">
        <v>2027</v>
      </c>
      <c r="J9" s="7" t="s">
        <v>31</v>
      </c>
      <c r="M9" s="6"/>
      <c r="O9" s="7" t="s">
        <v>32</v>
      </c>
      <c r="P9" s="7" t="s">
        <v>33</v>
      </c>
      <c r="Q9" s="7" t="s">
        <v>34</v>
      </c>
      <c r="R9" s="7" t="s">
        <v>24</v>
      </c>
      <c r="S9" s="7" t="s">
        <v>57</v>
      </c>
      <c r="T9" s="7" t="s">
        <v>58</v>
      </c>
      <c r="U9" s="7" t="s">
        <v>59</v>
      </c>
      <c r="V9" s="7" t="s">
        <v>38</v>
      </c>
      <c r="X9" s="2" t="str">
        <f>HYPERLINK("https://hsdes.intel.com/resource/14013173281","14013173281")</f>
        <v>14013173281</v>
      </c>
    </row>
    <row r="10" spans="1:24" x14ac:dyDescent="0.3">
      <c r="A10" s="2" t="str">
        <f>HYPERLINK("https://hsdes.intel.com/resource/14013173295","14013173295")</f>
        <v>14013173295</v>
      </c>
      <c r="B10" s="7" t="s">
        <v>60</v>
      </c>
      <c r="C10" s="7" t="s">
        <v>2017</v>
      </c>
      <c r="D10" s="7" t="s">
        <v>30</v>
      </c>
      <c r="E10" s="7" t="s">
        <v>19</v>
      </c>
      <c r="F10" s="7" t="s">
        <v>20</v>
      </c>
      <c r="G10" s="28" t="s">
        <v>2027</v>
      </c>
      <c r="J10" s="7" t="s">
        <v>2006</v>
      </c>
      <c r="M10" s="6">
        <v>44784</v>
      </c>
      <c r="O10" s="7" t="s">
        <v>32</v>
      </c>
      <c r="P10" s="7" t="s">
        <v>33</v>
      </c>
      <c r="Q10" s="7" t="s">
        <v>34</v>
      </c>
      <c r="R10" s="7" t="s">
        <v>24</v>
      </c>
      <c r="S10" s="7" t="s">
        <v>61</v>
      </c>
      <c r="T10" s="7" t="s">
        <v>58</v>
      </c>
      <c r="U10" s="7" t="s">
        <v>62</v>
      </c>
      <c r="V10" s="7" t="s">
        <v>38</v>
      </c>
      <c r="X10" s="2" t="str">
        <f>HYPERLINK("https://hsdes.intel.com/resource/14013173295","14013173295")</f>
        <v>14013173295</v>
      </c>
    </row>
    <row r="11" spans="1:24" x14ac:dyDescent="0.3">
      <c r="A11" s="2" t="str">
        <f>HYPERLINK("https://hsdes.intel.com/resource/14013173287","14013173287")</f>
        <v>14013173287</v>
      </c>
      <c r="B11" s="18" t="s">
        <v>63</v>
      </c>
      <c r="C11" s="7" t="s">
        <v>2017</v>
      </c>
      <c r="D11" s="7" t="s">
        <v>30</v>
      </c>
      <c r="E11" s="7" t="s">
        <v>19</v>
      </c>
      <c r="F11" s="7" t="s">
        <v>20</v>
      </c>
      <c r="G11" s="28" t="s">
        <v>2027</v>
      </c>
      <c r="J11" s="7" t="s">
        <v>2006</v>
      </c>
      <c r="M11" s="6">
        <v>44785</v>
      </c>
      <c r="O11" s="7" t="s">
        <v>32</v>
      </c>
      <c r="P11" s="7" t="s">
        <v>33</v>
      </c>
      <c r="Q11" s="7" t="s">
        <v>34</v>
      </c>
      <c r="R11" s="7" t="s">
        <v>24</v>
      </c>
      <c r="S11" s="7" t="s">
        <v>64</v>
      </c>
      <c r="T11" s="7" t="s">
        <v>65</v>
      </c>
      <c r="U11" s="7" t="s">
        <v>66</v>
      </c>
      <c r="V11" s="7" t="s">
        <v>38</v>
      </c>
      <c r="X11" s="2" t="str">
        <f>HYPERLINK("https://hsdes.intel.com/resource/14013173287","14013173287")</f>
        <v>14013173287</v>
      </c>
    </row>
    <row r="12" spans="1:24" x14ac:dyDescent="0.3">
      <c r="A12" s="2" t="str">
        <f>HYPERLINK("https://hsdes.intel.com/resource/14013173289","14013173289")</f>
        <v>14013173289</v>
      </c>
      <c r="B12" s="7" t="s">
        <v>67</v>
      </c>
      <c r="C12" s="7" t="s">
        <v>2017</v>
      </c>
      <c r="D12" s="7" t="s">
        <v>30</v>
      </c>
      <c r="E12" s="7" t="s">
        <v>19</v>
      </c>
      <c r="F12" s="7" t="s">
        <v>20</v>
      </c>
      <c r="G12" s="28" t="s">
        <v>2027</v>
      </c>
      <c r="J12" s="7" t="s">
        <v>31</v>
      </c>
      <c r="M12" s="6"/>
      <c r="O12" s="7" t="s">
        <v>32</v>
      </c>
      <c r="P12" s="7" t="s">
        <v>33</v>
      </c>
      <c r="Q12" s="7" t="s">
        <v>34</v>
      </c>
      <c r="R12" s="7" t="s">
        <v>24</v>
      </c>
      <c r="S12" s="7" t="s">
        <v>68</v>
      </c>
      <c r="T12" s="7" t="s">
        <v>45</v>
      </c>
      <c r="U12" s="7" t="s">
        <v>69</v>
      </c>
      <c r="V12" s="7" t="s">
        <v>38</v>
      </c>
      <c r="X12" s="2" t="str">
        <f>HYPERLINK("https://hsdes.intel.com/resource/14013173289","14013173289")</f>
        <v>14013173289</v>
      </c>
    </row>
    <row r="13" spans="1:24" x14ac:dyDescent="0.3">
      <c r="A13" s="5" t="str">
        <f>HYPERLINK("https://hsdes.intel.com/resource/14013173279","14013173279")</f>
        <v>14013173279</v>
      </c>
      <c r="B13" s="7" t="s">
        <v>70</v>
      </c>
      <c r="C13" s="7" t="s">
        <v>2017</v>
      </c>
      <c r="D13" s="7" t="s">
        <v>30</v>
      </c>
      <c r="E13" s="7" t="s">
        <v>19</v>
      </c>
      <c r="F13" s="7" t="s">
        <v>20</v>
      </c>
      <c r="G13" s="28" t="s">
        <v>2027</v>
      </c>
      <c r="J13" s="7" t="s">
        <v>2020</v>
      </c>
      <c r="M13" s="6">
        <v>44785</v>
      </c>
      <c r="O13" s="7" t="s">
        <v>32</v>
      </c>
      <c r="P13" s="7" t="s">
        <v>33</v>
      </c>
      <c r="Q13" s="7" t="s">
        <v>34</v>
      </c>
      <c r="R13" s="7" t="s">
        <v>24</v>
      </c>
      <c r="S13" s="7" t="s">
        <v>71</v>
      </c>
      <c r="T13" s="7" t="s">
        <v>45</v>
      </c>
      <c r="U13" s="7" t="s">
        <v>72</v>
      </c>
      <c r="V13" s="7" t="s">
        <v>38</v>
      </c>
      <c r="X13" s="2" t="str">
        <f>HYPERLINK("https://hsdes.intel.com/resource/14013173279","14013173279")</f>
        <v>14013173279</v>
      </c>
    </row>
    <row r="14" spans="1:24" x14ac:dyDescent="0.3">
      <c r="A14" s="2" t="str">
        <f>HYPERLINK("https://hsdes.intel.com/resource/14013173247","14013173247")</f>
        <v>14013173247</v>
      </c>
      <c r="B14" s="7" t="s">
        <v>73</v>
      </c>
      <c r="C14" s="7" t="s">
        <v>2017</v>
      </c>
      <c r="D14" s="7" t="s">
        <v>30</v>
      </c>
      <c r="E14" s="7" t="s">
        <v>19</v>
      </c>
      <c r="F14" s="7" t="s">
        <v>20</v>
      </c>
      <c r="G14" s="28" t="s">
        <v>2027</v>
      </c>
      <c r="J14" s="7" t="s">
        <v>31</v>
      </c>
      <c r="M14" s="6"/>
      <c r="O14" s="7" t="s">
        <v>32</v>
      </c>
      <c r="P14" s="7" t="s">
        <v>33</v>
      </c>
      <c r="Q14" s="7" t="s">
        <v>34</v>
      </c>
      <c r="R14" s="7" t="s">
        <v>24</v>
      </c>
      <c r="S14" s="7" t="s">
        <v>74</v>
      </c>
      <c r="T14" s="7" t="s">
        <v>36</v>
      </c>
      <c r="U14" s="7" t="s">
        <v>75</v>
      </c>
      <c r="V14" s="7" t="s">
        <v>38</v>
      </c>
      <c r="X14" s="2" t="str">
        <f>HYPERLINK("https://hsdes.intel.com/resource/14013173247","14013173247")</f>
        <v>14013173247</v>
      </c>
    </row>
    <row r="15" spans="1:24" x14ac:dyDescent="0.3">
      <c r="A15" s="2" t="str">
        <f>HYPERLINK("https://hsdes.intel.com/resource/14013165608","14013165608")</f>
        <v>14013165608</v>
      </c>
      <c r="B15" s="7" t="s">
        <v>76</v>
      </c>
      <c r="C15" s="7" t="s">
        <v>2017</v>
      </c>
      <c r="D15" s="7" t="s">
        <v>77</v>
      </c>
      <c r="E15" s="7" t="s">
        <v>19</v>
      </c>
      <c r="F15" s="7" t="s">
        <v>20</v>
      </c>
      <c r="G15" s="28" t="s">
        <v>2027</v>
      </c>
      <c r="J15" s="7" t="s">
        <v>1974</v>
      </c>
      <c r="M15" s="6">
        <v>44783</v>
      </c>
      <c r="O15" s="7" t="s">
        <v>21</v>
      </c>
      <c r="P15" s="7" t="s">
        <v>78</v>
      </c>
      <c r="Q15" s="7" t="s">
        <v>34</v>
      </c>
      <c r="R15" s="7" t="s">
        <v>24</v>
      </c>
      <c r="S15" s="7" t="s">
        <v>79</v>
      </c>
      <c r="T15" s="7" t="s">
        <v>45</v>
      </c>
      <c r="U15" s="7" t="s">
        <v>80</v>
      </c>
      <c r="V15" s="7" t="s">
        <v>81</v>
      </c>
      <c r="X15" s="2" t="str">
        <f>HYPERLINK("https://hsdes.intel.com/resource/14013165608","14013165608")</f>
        <v>14013165608</v>
      </c>
    </row>
    <row r="16" spans="1:24" x14ac:dyDescent="0.3">
      <c r="A16" s="2" t="str">
        <f>HYPERLINK("https://hsdes.intel.com/resource/14013157616","14013157616")</f>
        <v>14013157616</v>
      </c>
      <c r="B16" s="7" t="s">
        <v>82</v>
      </c>
      <c r="C16" s="7" t="s">
        <v>2017</v>
      </c>
      <c r="D16" s="7" t="s">
        <v>77</v>
      </c>
      <c r="E16" s="7" t="s">
        <v>19</v>
      </c>
      <c r="F16" s="7" t="s">
        <v>20</v>
      </c>
      <c r="G16" s="28" t="s">
        <v>2027</v>
      </c>
      <c r="J16" s="7" t="s">
        <v>1974</v>
      </c>
      <c r="M16" s="6">
        <v>44783</v>
      </c>
      <c r="O16" s="7" t="s">
        <v>32</v>
      </c>
      <c r="P16" s="7" t="s">
        <v>78</v>
      </c>
      <c r="Q16" s="7" t="s">
        <v>34</v>
      </c>
      <c r="R16" s="7" t="s">
        <v>24</v>
      </c>
      <c r="S16" s="7" t="s">
        <v>83</v>
      </c>
      <c r="T16" s="7" t="s">
        <v>45</v>
      </c>
      <c r="U16" s="7" t="s">
        <v>84</v>
      </c>
      <c r="V16" s="7" t="s">
        <v>81</v>
      </c>
      <c r="X16" s="2" t="str">
        <f>HYPERLINK("https://hsdes.intel.com/resource/14013157616","14013157616")</f>
        <v>14013157616</v>
      </c>
    </row>
    <row r="17" spans="1:24" x14ac:dyDescent="0.3">
      <c r="A17" s="2" t="str">
        <f>HYPERLINK("https://hsdes.intel.com/resource/14013157608","14013157608")</f>
        <v>14013157608</v>
      </c>
      <c r="B17" s="7" t="s">
        <v>85</v>
      </c>
      <c r="C17" s="7" t="s">
        <v>2017</v>
      </c>
      <c r="D17" s="7" t="s">
        <v>77</v>
      </c>
      <c r="E17" s="7" t="s">
        <v>19</v>
      </c>
      <c r="F17" s="7" t="s">
        <v>20</v>
      </c>
      <c r="G17" s="28" t="s">
        <v>2027</v>
      </c>
      <c r="J17" s="7" t="s">
        <v>1974</v>
      </c>
      <c r="M17" s="6">
        <v>44783</v>
      </c>
      <c r="O17" s="7" t="s">
        <v>32</v>
      </c>
      <c r="P17" s="7" t="s">
        <v>78</v>
      </c>
      <c r="Q17" s="7" t="s">
        <v>34</v>
      </c>
      <c r="R17" s="7" t="s">
        <v>24</v>
      </c>
      <c r="S17" s="7" t="s">
        <v>86</v>
      </c>
      <c r="T17" s="7" t="s">
        <v>45</v>
      </c>
      <c r="U17" s="7" t="s">
        <v>87</v>
      </c>
      <c r="V17" s="7" t="s">
        <v>81</v>
      </c>
      <c r="X17" s="2" t="str">
        <f>HYPERLINK("https://hsdes.intel.com/resource/14013157608","14013157608")</f>
        <v>14013157608</v>
      </c>
    </row>
    <row r="18" spans="1:24" x14ac:dyDescent="0.3">
      <c r="A18" s="2" t="str">
        <f>HYPERLINK("https://hsdes.intel.com/resource/14013157613","14013157613")</f>
        <v>14013157613</v>
      </c>
      <c r="B18" s="7" t="s">
        <v>88</v>
      </c>
      <c r="C18" s="7" t="s">
        <v>2017</v>
      </c>
      <c r="D18" s="7" t="s">
        <v>77</v>
      </c>
      <c r="E18" s="7" t="s">
        <v>19</v>
      </c>
      <c r="F18" s="7" t="s">
        <v>20</v>
      </c>
      <c r="G18" s="28" t="s">
        <v>2027</v>
      </c>
      <c r="J18" s="7" t="s">
        <v>1974</v>
      </c>
      <c r="M18" s="6">
        <v>44783</v>
      </c>
      <c r="O18" s="7" t="s">
        <v>32</v>
      </c>
      <c r="P18" s="7" t="s">
        <v>78</v>
      </c>
      <c r="Q18" s="7" t="s">
        <v>34</v>
      </c>
      <c r="R18" s="7" t="s">
        <v>24</v>
      </c>
      <c r="S18" s="7" t="s">
        <v>89</v>
      </c>
      <c r="T18" s="7" t="s">
        <v>45</v>
      </c>
      <c r="U18" s="7" t="s">
        <v>90</v>
      </c>
      <c r="V18" s="7" t="s">
        <v>81</v>
      </c>
      <c r="X18" s="2" t="str">
        <f>HYPERLINK("https://hsdes.intel.com/resource/14013157613","14013157613")</f>
        <v>14013157613</v>
      </c>
    </row>
    <row r="19" spans="1:24" x14ac:dyDescent="0.3">
      <c r="A19" s="2" t="str">
        <f>HYPERLINK("https://hsdes.intel.com/resource/14013157611","14013157611")</f>
        <v>14013157611</v>
      </c>
      <c r="B19" s="7" t="s">
        <v>91</v>
      </c>
      <c r="C19" s="7" t="s">
        <v>2017</v>
      </c>
      <c r="D19" s="7" t="s">
        <v>77</v>
      </c>
      <c r="E19" s="7" t="s">
        <v>19</v>
      </c>
      <c r="F19" s="7" t="s">
        <v>20</v>
      </c>
      <c r="G19" s="28" t="s">
        <v>2027</v>
      </c>
      <c r="J19" s="7" t="s">
        <v>2006</v>
      </c>
      <c r="M19" s="6">
        <v>44784</v>
      </c>
      <c r="O19" s="7" t="s">
        <v>32</v>
      </c>
      <c r="P19" s="7" t="s">
        <v>78</v>
      </c>
      <c r="Q19" s="7" t="s">
        <v>34</v>
      </c>
      <c r="R19" s="7" t="s">
        <v>24</v>
      </c>
      <c r="S19" s="7" t="s">
        <v>92</v>
      </c>
      <c r="T19" s="7" t="s">
        <v>45</v>
      </c>
      <c r="U19" s="7" t="s">
        <v>90</v>
      </c>
      <c r="V19" s="7" t="s">
        <v>81</v>
      </c>
      <c r="X19" s="2" t="str">
        <f>HYPERLINK("https://hsdes.intel.com/resource/14013157611","14013157611")</f>
        <v>14013157611</v>
      </c>
    </row>
    <row r="20" spans="1:24" x14ac:dyDescent="0.3">
      <c r="A20" s="2" t="str">
        <f>HYPERLINK("https://hsdes.intel.com/resource/14013157614","14013157614")</f>
        <v>14013157614</v>
      </c>
      <c r="B20" s="7" t="s">
        <v>93</v>
      </c>
      <c r="C20" s="7" t="s">
        <v>2017</v>
      </c>
      <c r="D20" s="7" t="s">
        <v>77</v>
      </c>
      <c r="E20" s="7" t="s">
        <v>19</v>
      </c>
      <c r="F20" s="7" t="s">
        <v>20</v>
      </c>
      <c r="G20" s="28" t="s">
        <v>2027</v>
      </c>
      <c r="J20" s="7" t="s">
        <v>2006</v>
      </c>
      <c r="M20" s="6">
        <v>44784</v>
      </c>
      <c r="O20" s="7" t="s">
        <v>32</v>
      </c>
      <c r="P20" s="7" t="s">
        <v>78</v>
      </c>
      <c r="Q20" s="7" t="s">
        <v>34</v>
      </c>
      <c r="R20" s="7" t="s">
        <v>24</v>
      </c>
      <c r="S20" s="7" t="s">
        <v>94</v>
      </c>
      <c r="T20" s="7" t="s">
        <v>45</v>
      </c>
      <c r="U20" s="7" t="s">
        <v>95</v>
      </c>
      <c r="V20" s="7" t="s">
        <v>81</v>
      </c>
      <c r="X20" s="5" t="str">
        <f>HYPERLINK("https://hsdes.intel.com/resource/14013157614","14013157614")</f>
        <v>14013157614</v>
      </c>
    </row>
    <row r="21" spans="1:24" x14ac:dyDescent="0.3">
      <c r="A21" s="2" t="str">
        <f>HYPERLINK("https://hsdes.intel.com/resource/14013157594","14013157594")</f>
        <v>14013157594</v>
      </c>
      <c r="B21" s="7" t="s">
        <v>96</v>
      </c>
      <c r="C21" s="7" t="s">
        <v>2017</v>
      </c>
      <c r="D21" s="7" t="s">
        <v>77</v>
      </c>
      <c r="E21" s="7" t="s">
        <v>19</v>
      </c>
      <c r="F21" s="7" t="s">
        <v>20</v>
      </c>
      <c r="G21" s="28" t="s">
        <v>2027</v>
      </c>
      <c r="J21" s="7" t="s">
        <v>2006</v>
      </c>
      <c r="M21" s="6">
        <v>44784</v>
      </c>
      <c r="O21" s="7" t="s">
        <v>32</v>
      </c>
      <c r="P21" s="7" t="s">
        <v>78</v>
      </c>
      <c r="Q21" s="7" t="s">
        <v>34</v>
      </c>
      <c r="R21" s="7" t="s">
        <v>24</v>
      </c>
      <c r="S21" s="7" t="s">
        <v>97</v>
      </c>
      <c r="T21" s="7" t="s">
        <v>45</v>
      </c>
      <c r="U21" s="7" t="s">
        <v>98</v>
      </c>
      <c r="V21" s="7" t="s">
        <v>81</v>
      </c>
      <c r="X21" s="2" t="str">
        <f>HYPERLINK("https://hsdes.intel.com/resource/14013157594","14013157594")</f>
        <v>14013157594</v>
      </c>
    </row>
    <row r="22" spans="1:24" x14ac:dyDescent="0.3">
      <c r="A22" s="2" t="str">
        <f>HYPERLINK("https://hsdes.intel.com/resource/14013157601","14013157601")</f>
        <v>14013157601</v>
      </c>
      <c r="B22" s="7" t="s">
        <v>99</v>
      </c>
      <c r="C22" s="6" t="s">
        <v>2017</v>
      </c>
      <c r="D22" s="7" t="s">
        <v>77</v>
      </c>
      <c r="E22" s="7" t="s">
        <v>19</v>
      </c>
      <c r="F22" s="7" t="s">
        <v>20</v>
      </c>
      <c r="G22" s="28" t="s">
        <v>2027</v>
      </c>
      <c r="J22" s="7" t="s">
        <v>1974</v>
      </c>
      <c r="L22" s="7" t="s">
        <v>100</v>
      </c>
      <c r="M22" s="6">
        <v>44783</v>
      </c>
      <c r="O22" s="7" t="s">
        <v>32</v>
      </c>
      <c r="P22" s="7" t="s">
        <v>78</v>
      </c>
      <c r="Q22" s="7" t="s">
        <v>34</v>
      </c>
      <c r="R22" s="7" t="s">
        <v>24</v>
      </c>
      <c r="S22" s="7" t="s">
        <v>101</v>
      </c>
      <c r="T22" s="7" t="s">
        <v>45</v>
      </c>
      <c r="U22" s="7" t="s">
        <v>102</v>
      </c>
      <c r="V22" s="7" t="s">
        <v>81</v>
      </c>
      <c r="X22" s="2" t="str">
        <f>HYPERLINK("https://hsdes.intel.com/resource/14013157601","14013157601")</f>
        <v>14013157601</v>
      </c>
    </row>
    <row r="23" spans="1:24" x14ac:dyDescent="0.3">
      <c r="A23" s="2" t="str">
        <f>HYPERLINK("https://hsdes.intel.com/resource/14013159248","14013159248")</f>
        <v>14013159248</v>
      </c>
      <c r="B23" s="7" t="s">
        <v>103</v>
      </c>
      <c r="C23" s="7" t="s">
        <v>2017</v>
      </c>
      <c r="D23" s="7" t="s">
        <v>18</v>
      </c>
      <c r="E23" s="7" t="s">
        <v>19</v>
      </c>
      <c r="F23" s="7" t="s">
        <v>20</v>
      </c>
      <c r="G23" s="28" t="s">
        <v>2027</v>
      </c>
      <c r="J23" s="7" t="s">
        <v>1974</v>
      </c>
      <c r="M23" s="6">
        <v>44783</v>
      </c>
      <c r="O23" s="7" t="s">
        <v>104</v>
      </c>
      <c r="P23" s="7" t="s">
        <v>22</v>
      </c>
      <c r="Q23" s="7" t="s">
        <v>34</v>
      </c>
      <c r="R23" s="7" t="s">
        <v>24</v>
      </c>
      <c r="S23" s="7" t="s">
        <v>105</v>
      </c>
      <c r="T23" s="7" t="s">
        <v>106</v>
      </c>
      <c r="U23" s="7" t="s">
        <v>107</v>
      </c>
      <c r="V23" s="7" t="s">
        <v>28</v>
      </c>
      <c r="X23" s="2" t="str">
        <f>HYPERLINK("https://hsdes.intel.com/resource/14013159248","14013159248")</f>
        <v>14013159248</v>
      </c>
    </row>
    <row r="24" spans="1:24" x14ac:dyDescent="0.3">
      <c r="A24" s="2" t="str">
        <f>HYPERLINK("https://hsdes.intel.com/resource/14013159022","14013159022")</f>
        <v>14013159022</v>
      </c>
      <c r="B24" s="7" t="s">
        <v>108</v>
      </c>
      <c r="C24" s="7" t="s">
        <v>2017</v>
      </c>
      <c r="D24" s="7" t="s">
        <v>18</v>
      </c>
      <c r="E24" s="7" t="s">
        <v>19</v>
      </c>
      <c r="F24" s="7" t="s">
        <v>20</v>
      </c>
      <c r="G24" s="28" t="s">
        <v>2027</v>
      </c>
      <c r="J24" s="7" t="s">
        <v>2020</v>
      </c>
      <c r="M24" s="6">
        <v>44784</v>
      </c>
      <c r="O24" s="7" t="s">
        <v>21</v>
      </c>
      <c r="P24" s="7" t="s">
        <v>22</v>
      </c>
      <c r="Q24" s="7" t="s">
        <v>34</v>
      </c>
      <c r="R24" s="7" t="s">
        <v>24</v>
      </c>
      <c r="S24" s="7" t="s">
        <v>109</v>
      </c>
      <c r="T24" s="7" t="s">
        <v>106</v>
      </c>
      <c r="U24" s="7" t="s">
        <v>110</v>
      </c>
      <c r="V24" s="7" t="s">
        <v>28</v>
      </c>
      <c r="X24" s="2" t="str">
        <f>HYPERLINK("https://hsdes.intel.com/resource/14013159022","14013159022")</f>
        <v>14013159022</v>
      </c>
    </row>
    <row r="25" spans="1:24" x14ac:dyDescent="0.3">
      <c r="A25" s="5" t="str">
        <f>HYPERLINK("https://hsdes.intel.com/resource/14013159024","14013159024")</f>
        <v>14013159024</v>
      </c>
      <c r="B25" s="7" t="s">
        <v>111</v>
      </c>
      <c r="C25" s="7" t="s">
        <v>2017</v>
      </c>
      <c r="D25" s="7" t="s">
        <v>18</v>
      </c>
      <c r="E25" s="7" t="s">
        <v>19</v>
      </c>
      <c r="F25" s="7" t="s">
        <v>20</v>
      </c>
      <c r="G25" s="28" t="s">
        <v>2027</v>
      </c>
      <c r="J25" s="7" t="s">
        <v>2020</v>
      </c>
      <c r="M25" s="6">
        <v>44784</v>
      </c>
      <c r="O25" s="7" t="s">
        <v>21</v>
      </c>
      <c r="P25" s="7" t="s">
        <v>22</v>
      </c>
      <c r="Q25" s="7" t="s">
        <v>34</v>
      </c>
      <c r="R25" s="7" t="s">
        <v>24</v>
      </c>
      <c r="S25" s="7" t="s">
        <v>112</v>
      </c>
      <c r="T25" s="7" t="s">
        <v>106</v>
      </c>
      <c r="U25" s="7" t="s">
        <v>113</v>
      </c>
      <c r="V25" s="7" t="s">
        <v>28</v>
      </c>
      <c r="X25" s="2" t="str">
        <f>HYPERLINK("https://hsdes.intel.com/resource/14013159024","14013159024")</f>
        <v>14013159024</v>
      </c>
    </row>
    <row r="26" spans="1:24" x14ac:dyDescent="0.3">
      <c r="A26" s="2" t="str">
        <f>HYPERLINK("https://hsdes.intel.com/resource/14013159208","14013159208")</f>
        <v>14013159208</v>
      </c>
      <c r="B26" s="7" t="s">
        <v>114</v>
      </c>
      <c r="C26" s="7" t="s">
        <v>2017</v>
      </c>
      <c r="D26" s="7" t="s">
        <v>18</v>
      </c>
      <c r="E26" s="7" t="s">
        <v>19</v>
      </c>
      <c r="F26" s="7" t="s">
        <v>20</v>
      </c>
      <c r="G26" s="28" t="s">
        <v>2027</v>
      </c>
      <c r="J26" s="7" t="s">
        <v>2020</v>
      </c>
      <c r="M26" s="6">
        <v>44784</v>
      </c>
      <c r="O26" s="7" t="s">
        <v>21</v>
      </c>
      <c r="P26" s="7" t="s">
        <v>22</v>
      </c>
      <c r="Q26" s="7" t="s">
        <v>34</v>
      </c>
      <c r="R26" s="7" t="s">
        <v>24</v>
      </c>
      <c r="S26" s="7" t="s">
        <v>115</v>
      </c>
      <c r="T26" s="7" t="s">
        <v>116</v>
      </c>
      <c r="U26" s="7" t="s">
        <v>117</v>
      </c>
      <c r="V26" s="7" t="s">
        <v>28</v>
      </c>
      <c r="X26" s="2" t="str">
        <f>HYPERLINK("https://hsdes.intel.com/resource/14013159208","14013159208")</f>
        <v>14013159208</v>
      </c>
    </row>
    <row r="27" spans="1:24" x14ac:dyDescent="0.3">
      <c r="A27" s="2" t="str">
        <f>HYPERLINK("https://hsdes.intel.com/resource/14013159127","14013159127")</f>
        <v>14013159127</v>
      </c>
      <c r="B27" s="7" t="s">
        <v>118</v>
      </c>
      <c r="C27" s="7" t="s">
        <v>2017</v>
      </c>
      <c r="D27" s="7" t="s">
        <v>18</v>
      </c>
      <c r="E27" s="7" t="s">
        <v>19</v>
      </c>
      <c r="F27" s="7" t="s">
        <v>20</v>
      </c>
      <c r="G27" s="28" t="s">
        <v>2027</v>
      </c>
      <c r="J27" s="7" t="s">
        <v>1974</v>
      </c>
      <c r="L27" s="7" t="s">
        <v>1984</v>
      </c>
      <c r="M27" s="6">
        <v>44783</v>
      </c>
      <c r="N27" s="6"/>
      <c r="O27" s="7" t="s">
        <v>21</v>
      </c>
      <c r="P27" s="7" t="s">
        <v>22</v>
      </c>
      <c r="Q27" s="7" t="s">
        <v>34</v>
      </c>
      <c r="R27" s="7" t="s">
        <v>24</v>
      </c>
      <c r="S27" s="7" t="s">
        <v>119</v>
      </c>
      <c r="T27" s="7" t="s">
        <v>106</v>
      </c>
      <c r="U27" s="7" t="s">
        <v>120</v>
      </c>
      <c r="V27" s="7" t="s">
        <v>28</v>
      </c>
      <c r="X27" s="2" t="str">
        <f>HYPERLINK("https://hsdes.intel.com/resource/14013159127","14013159127")</f>
        <v>14013159127</v>
      </c>
    </row>
    <row r="28" spans="1:24" x14ac:dyDescent="0.3">
      <c r="A28" s="2" t="str">
        <f>HYPERLINK("https://hsdes.intel.com/resource/14013184512","14013184512")</f>
        <v>14013184512</v>
      </c>
      <c r="B28" s="7" t="s">
        <v>121</v>
      </c>
      <c r="C28" s="7" t="s">
        <v>2017</v>
      </c>
      <c r="D28" s="7" t="s">
        <v>18</v>
      </c>
      <c r="E28" s="7" t="s">
        <v>122</v>
      </c>
      <c r="F28" s="7" t="s">
        <v>20</v>
      </c>
      <c r="G28" s="28" t="s">
        <v>2027</v>
      </c>
      <c r="J28" s="7" t="s">
        <v>1974</v>
      </c>
      <c r="M28" s="6">
        <v>44783</v>
      </c>
      <c r="O28" s="7" t="s">
        <v>104</v>
      </c>
      <c r="P28" s="7" t="s">
        <v>22</v>
      </c>
      <c r="Q28" s="7" t="s">
        <v>34</v>
      </c>
      <c r="R28" s="7" t="s">
        <v>24</v>
      </c>
      <c r="S28" s="7" t="s">
        <v>123</v>
      </c>
      <c r="T28" s="7" t="s">
        <v>116</v>
      </c>
      <c r="U28" s="7" t="s">
        <v>124</v>
      </c>
      <c r="V28" s="7" t="s">
        <v>28</v>
      </c>
      <c r="X28" s="2" t="str">
        <f>HYPERLINK("https://hsdes.intel.com/resource/14013184512","14013184512")</f>
        <v>14013184512</v>
      </c>
    </row>
    <row r="29" spans="1:24" x14ac:dyDescent="0.3">
      <c r="A29" s="2" t="str">
        <f>HYPERLINK("https://hsdes.intel.com/resource/14013184477","14013184477")</f>
        <v>14013184477</v>
      </c>
      <c r="B29" s="7" t="s">
        <v>125</v>
      </c>
      <c r="C29" s="7" t="s">
        <v>2017</v>
      </c>
      <c r="D29" s="7" t="s">
        <v>18</v>
      </c>
      <c r="E29" s="7" t="s">
        <v>122</v>
      </c>
      <c r="F29" s="7" t="s">
        <v>20</v>
      </c>
      <c r="G29" s="28" t="s">
        <v>2027</v>
      </c>
      <c r="J29" s="7" t="s">
        <v>1974</v>
      </c>
      <c r="M29" s="6">
        <v>44783</v>
      </c>
      <c r="O29" s="7" t="s">
        <v>104</v>
      </c>
      <c r="P29" s="7" t="s">
        <v>22</v>
      </c>
      <c r="Q29" s="7" t="s">
        <v>34</v>
      </c>
      <c r="R29" s="7" t="s">
        <v>24</v>
      </c>
      <c r="S29" s="7" t="s">
        <v>126</v>
      </c>
      <c r="T29" s="7" t="s">
        <v>116</v>
      </c>
      <c r="U29" s="7" t="s">
        <v>127</v>
      </c>
      <c r="V29" s="7" t="s">
        <v>28</v>
      </c>
      <c r="X29" s="2" t="str">
        <f>HYPERLINK("https://hsdes.intel.com/resource/14013184477","14013184477")</f>
        <v>14013184477</v>
      </c>
    </row>
    <row r="30" spans="1:24" x14ac:dyDescent="0.3">
      <c r="A30" s="2" t="str">
        <f>HYPERLINK("https://hsdes.intel.com/resource/14013159129","14013159129")</f>
        <v>14013159129</v>
      </c>
      <c r="B30" s="7" t="s">
        <v>128</v>
      </c>
      <c r="C30" s="7" t="s">
        <v>2017</v>
      </c>
      <c r="D30" s="7" t="s">
        <v>18</v>
      </c>
      <c r="E30" s="7" t="s">
        <v>19</v>
      </c>
      <c r="F30" s="7" t="s">
        <v>20</v>
      </c>
      <c r="G30" s="28" t="s">
        <v>2027</v>
      </c>
      <c r="J30" s="7" t="s">
        <v>1974</v>
      </c>
      <c r="M30" s="6">
        <v>44783</v>
      </c>
      <c r="O30" s="7" t="s">
        <v>21</v>
      </c>
      <c r="P30" s="7" t="s">
        <v>22</v>
      </c>
      <c r="Q30" s="7" t="s">
        <v>34</v>
      </c>
      <c r="R30" s="7" t="s">
        <v>24</v>
      </c>
      <c r="S30" s="7" t="s">
        <v>129</v>
      </c>
      <c r="T30" s="7" t="s">
        <v>130</v>
      </c>
      <c r="U30" s="7" t="s">
        <v>131</v>
      </c>
      <c r="V30" s="7" t="s">
        <v>28</v>
      </c>
      <c r="X30" s="2" t="str">
        <f>HYPERLINK("https://hsdes.intel.com/resource/14013159129","14013159129")</f>
        <v>14013159129</v>
      </c>
    </row>
    <row r="31" spans="1:24" x14ac:dyDescent="0.3">
      <c r="A31" s="2" t="str">
        <f>HYPERLINK("https://hsdes.intel.com/resource/14013176141","14013176141")</f>
        <v>14013176141</v>
      </c>
      <c r="B31" s="7" t="s">
        <v>132</v>
      </c>
      <c r="C31" s="7" t="s">
        <v>2017</v>
      </c>
      <c r="D31" s="7" t="s">
        <v>133</v>
      </c>
      <c r="E31" s="7" t="s">
        <v>19</v>
      </c>
      <c r="F31" s="7" t="s">
        <v>20</v>
      </c>
      <c r="G31" s="28" t="s">
        <v>2027</v>
      </c>
      <c r="J31" s="7" t="s">
        <v>31</v>
      </c>
      <c r="M31" s="6"/>
      <c r="O31" s="7" t="s">
        <v>32</v>
      </c>
      <c r="P31" s="7" t="s">
        <v>33</v>
      </c>
      <c r="Q31" s="7" t="s">
        <v>34</v>
      </c>
      <c r="R31" s="7" t="s">
        <v>24</v>
      </c>
      <c r="S31" s="7" t="s">
        <v>134</v>
      </c>
      <c r="T31" s="7" t="s">
        <v>135</v>
      </c>
      <c r="U31" s="7" t="s">
        <v>136</v>
      </c>
      <c r="V31" s="7" t="s">
        <v>38</v>
      </c>
      <c r="X31" s="2" t="str">
        <f>HYPERLINK("https://hsdes.intel.com/resource/14013176141","14013176141")</f>
        <v>14013176141</v>
      </c>
    </row>
    <row r="32" spans="1:24" x14ac:dyDescent="0.3">
      <c r="A32" s="2" t="str">
        <f>HYPERLINK("https://hsdes.intel.com/resource/14013184603","14013184603")</f>
        <v>14013184603</v>
      </c>
      <c r="B32" s="7" t="s">
        <v>137</v>
      </c>
      <c r="C32" s="7" t="s">
        <v>2017</v>
      </c>
      <c r="D32" s="7" t="s">
        <v>138</v>
      </c>
      <c r="E32" s="7" t="s">
        <v>19</v>
      </c>
      <c r="F32" s="7" t="s">
        <v>20</v>
      </c>
      <c r="G32" s="28" t="s">
        <v>2027</v>
      </c>
      <c r="J32" s="7" t="s">
        <v>31</v>
      </c>
      <c r="M32" s="6"/>
      <c r="O32" s="7" t="s">
        <v>32</v>
      </c>
      <c r="P32" s="7" t="s">
        <v>78</v>
      </c>
      <c r="Q32" s="7" t="s">
        <v>34</v>
      </c>
      <c r="R32" s="7" t="s">
        <v>24</v>
      </c>
      <c r="S32" s="7" t="s">
        <v>139</v>
      </c>
      <c r="T32" s="7" t="s">
        <v>140</v>
      </c>
      <c r="U32" s="7" t="s">
        <v>141</v>
      </c>
      <c r="V32" s="7" t="s">
        <v>142</v>
      </c>
      <c r="X32" s="2" t="str">
        <f>HYPERLINK("https://hsdes.intel.com/resource/14013184603","14013184603")</f>
        <v>14013184603</v>
      </c>
    </row>
    <row r="33" spans="1:24" x14ac:dyDescent="0.3">
      <c r="A33" s="5" t="str">
        <f>HYPERLINK("https://hsdes.intel.com/resource/14013180203","14013180203")</f>
        <v>14013180203</v>
      </c>
      <c r="B33" s="7" t="s">
        <v>143</v>
      </c>
      <c r="C33" s="7" t="s">
        <v>2017</v>
      </c>
      <c r="D33" s="7" t="s">
        <v>144</v>
      </c>
      <c r="E33" s="7" t="s">
        <v>19</v>
      </c>
      <c r="F33" s="7" t="s">
        <v>20</v>
      </c>
      <c r="G33" s="28" t="s">
        <v>2027</v>
      </c>
      <c r="J33" s="7" t="s">
        <v>2020</v>
      </c>
      <c r="L33" s="7" t="s">
        <v>145</v>
      </c>
      <c r="M33" s="6">
        <v>44784</v>
      </c>
      <c r="O33" s="7" t="s">
        <v>32</v>
      </c>
      <c r="P33" s="7" t="s">
        <v>146</v>
      </c>
      <c r="Q33" s="7" t="s">
        <v>34</v>
      </c>
      <c r="R33" s="7" t="s">
        <v>147</v>
      </c>
      <c r="S33" s="7" t="s">
        <v>148</v>
      </c>
      <c r="T33" s="7" t="s">
        <v>149</v>
      </c>
      <c r="U33" s="7" t="s">
        <v>150</v>
      </c>
      <c r="V33" s="7" t="s">
        <v>151</v>
      </c>
      <c r="X33" s="2" t="str">
        <f>HYPERLINK("https://hsdes.intel.com/resource/14013180203","14013180203")</f>
        <v>14013180203</v>
      </c>
    </row>
    <row r="34" spans="1:24" x14ac:dyDescent="0.3">
      <c r="A34" s="2" t="str">
        <f>HYPERLINK("https://hsdes.intel.com/resource/14013176711","14013176711")</f>
        <v>14013176711</v>
      </c>
      <c r="B34" s="7" t="s">
        <v>152</v>
      </c>
      <c r="C34" s="7" t="s">
        <v>2017</v>
      </c>
      <c r="D34" s="7" t="s">
        <v>138</v>
      </c>
      <c r="E34" s="7" t="s">
        <v>19</v>
      </c>
      <c r="F34" s="7" t="s">
        <v>20</v>
      </c>
      <c r="G34" s="28" t="s">
        <v>2027</v>
      </c>
      <c r="J34" s="7" t="s">
        <v>1974</v>
      </c>
      <c r="M34" s="6">
        <v>44781</v>
      </c>
      <c r="O34" s="7" t="s">
        <v>32</v>
      </c>
      <c r="P34" s="7" t="s">
        <v>78</v>
      </c>
      <c r="Q34" s="7" t="s">
        <v>34</v>
      </c>
      <c r="R34" s="7" t="s">
        <v>24</v>
      </c>
      <c r="S34" s="7" t="s">
        <v>153</v>
      </c>
      <c r="T34" s="7" t="s">
        <v>140</v>
      </c>
      <c r="U34" s="7" t="s">
        <v>154</v>
      </c>
      <c r="V34" s="7" t="s">
        <v>142</v>
      </c>
      <c r="X34" s="2" t="str">
        <f>HYPERLINK("https://hsdes.intel.com/resource/14013176711","14013176711")</f>
        <v>14013176711</v>
      </c>
    </row>
    <row r="35" spans="1:24" x14ac:dyDescent="0.3">
      <c r="A35" s="2" t="str">
        <f>HYPERLINK("https://hsdes.intel.com/resource/14013156884","14013156884")</f>
        <v>14013156884</v>
      </c>
      <c r="B35" s="7" t="s">
        <v>155</v>
      </c>
      <c r="C35" s="7" t="s">
        <v>2017</v>
      </c>
      <c r="D35" s="7" t="s">
        <v>30</v>
      </c>
      <c r="E35" s="7" t="s">
        <v>19</v>
      </c>
      <c r="F35" s="7" t="s">
        <v>20</v>
      </c>
      <c r="G35" s="28" t="s">
        <v>2027</v>
      </c>
      <c r="J35" s="7" t="s">
        <v>2006</v>
      </c>
      <c r="M35" s="6">
        <v>44784</v>
      </c>
      <c r="O35" s="7" t="s">
        <v>104</v>
      </c>
      <c r="P35" s="7" t="s">
        <v>33</v>
      </c>
      <c r="Q35" s="7" t="s">
        <v>34</v>
      </c>
      <c r="R35" s="7" t="s">
        <v>24</v>
      </c>
      <c r="S35" s="7" t="s">
        <v>156</v>
      </c>
      <c r="T35" s="7" t="s">
        <v>135</v>
      </c>
      <c r="U35" s="7" t="s">
        <v>157</v>
      </c>
      <c r="V35" s="7" t="s">
        <v>38</v>
      </c>
      <c r="X35" s="2" t="str">
        <f>HYPERLINK("https://hsdes.intel.com/resource/14013156884","14013156884")</f>
        <v>14013156884</v>
      </c>
    </row>
    <row r="36" spans="1:24" x14ac:dyDescent="0.3">
      <c r="A36" s="2" t="str">
        <f>HYPERLINK("https://hsdes.intel.com/resource/14013156867","14013156867")</f>
        <v>14013156867</v>
      </c>
      <c r="B36" s="7" t="s">
        <v>158</v>
      </c>
      <c r="C36" s="7" t="s">
        <v>2017</v>
      </c>
      <c r="D36" s="7" t="s">
        <v>30</v>
      </c>
      <c r="E36" s="7" t="s">
        <v>19</v>
      </c>
      <c r="F36" s="7" t="s">
        <v>20</v>
      </c>
      <c r="G36" s="28" t="s">
        <v>2027</v>
      </c>
      <c r="J36" s="7" t="s">
        <v>2006</v>
      </c>
      <c r="M36" s="6">
        <v>44784</v>
      </c>
      <c r="O36" s="7" t="s">
        <v>104</v>
      </c>
      <c r="P36" s="7" t="s">
        <v>33</v>
      </c>
      <c r="Q36" s="7" t="s">
        <v>23</v>
      </c>
      <c r="R36" s="7" t="s">
        <v>24</v>
      </c>
      <c r="S36" s="7" t="s">
        <v>159</v>
      </c>
      <c r="T36" s="7" t="s">
        <v>135</v>
      </c>
      <c r="U36" s="7" t="s">
        <v>160</v>
      </c>
      <c r="V36" s="7" t="s">
        <v>38</v>
      </c>
      <c r="X36" s="2" t="str">
        <f>HYPERLINK("https://hsdes.intel.com/resource/14013156867","14013156867")</f>
        <v>14013156867</v>
      </c>
    </row>
    <row r="37" spans="1:24" x14ac:dyDescent="0.3">
      <c r="A37" s="2" t="str">
        <f>HYPERLINK("https://hsdes.intel.com/resource/14013178259","14013178259")</f>
        <v>14013178259</v>
      </c>
      <c r="B37" s="7" t="s">
        <v>161</v>
      </c>
      <c r="C37" s="7" t="s">
        <v>2017</v>
      </c>
      <c r="D37" s="7" t="s">
        <v>162</v>
      </c>
      <c r="E37" s="7" t="s">
        <v>19</v>
      </c>
      <c r="F37" s="7" t="s">
        <v>20</v>
      </c>
      <c r="G37" s="28" t="s">
        <v>2027</v>
      </c>
      <c r="J37" s="7" t="s">
        <v>1974</v>
      </c>
      <c r="M37" s="6">
        <v>44781</v>
      </c>
      <c r="O37" s="7" t="s">
        <v>21</v>
      </c>
      <c r="P37" s="7" t="s">
        <v>163</v>
      </c>
      <c r="Q37" s="7" t="s">
        <v>34</v>
      </c>
      <c r="R37" s="7" t="s">
        <v>24</v>
      </c>
      <c r="S37" s="7" t="s">
        <v>164</v>
      </c>
      <c r="T37" s="7" t="s">
        <v>45</v>
      </c>
      <c r="U37" s="7" t="s">
        <v>165</v>
      </c>
      <c r="V37" s="7" t="s">
        <v>166</v>
      </c>
      <c r="X37" s="2" t="str">
        <f>HYPERLINK("https://hsdes.intel.com/resource/14013178259","14013178259")</f>
        <v>14013178259</v>
      </c>
    </row>
    <row r="38" spans="1:24" x14ac:dyDescent="0.3">
      <c r="A38" s="2" t="str">
        <f>HYPERLINK("https://hsdes.intel.com/resource/14013179683","14013179683")</f>
        <v>14013179683</v>
      </c>
      <c r="B38" s="7" t="s">
        <v>167</v>
      </c>
      <c r="C38" s="7" t="s">
        <v>2017</v>
      </c>
      <c r="D38" s="7" t="s">
        <v>168</v>
      </c>
      <c r="E38" s="7" t="s">
        <v>19</v>
      </c>
      <c r="F38" s="7" t="s">
        <v>20</v>
      </c>
      <c r="G38" s="28" t="s">
        <v>2027</v>
      </c>
      <c r="J38" s="7" t="s">
        <v>1974</v>
      </c>
      <c r="M38" s="6">
        <v>44783</v>
      </c>
      <c r="O38" s="7" t="s">
        <v>32</v>
      </c>
      <c r="P38" s="7" t="s">
        <v>22</v>
      </c>
      <c r="Q38" s="7" t="s">
        <v>34</v>
      </c>
      <c r="R38" s="7" t="s">
        <v>24</v>
      </c>
      <c r="S38" s="7" t="s">
        <v>169</v>
      </c>
      <c r="T38" s="7" t="s">
        <v>170</v>
      </c>
      <c r="U38" s="7" t="s">
        <v>171</v>
      </c>
      <c r="V38" s="7" t="s">
        <v>172</v>
      </c>
      <c r="X38" s="2" t="str">
        <f>HYPERLINK("https://hsdes.intel.com/resource/14013179683","14013179683")</f>
        <v>14013179683</v>
      </c>
    </row>
    <row r="39" spans="1:24" x14ac:dyDescent="0.3">
      <c r="A39" s="2" t="str">
        <f>HYPERLINK("https://hsdes.intel.com/resource/14013177179","14013177179")</f>
        <v>14013177179</v>
      </c>
      <c r="B39" s="7" t="s">
        <v>173</v>
      </c>
      <c r="C39" s="7" t="s">
        <v>2017</v>
      </c>
      <c r="D39" s="7" t="s">
        <v>174</v>
      </c>
      <c r="E39" s="7" t="s">
        <v>122</v>
      </c>
      <c r="F39" s="7" t="s">
        <v>20</v>
      </c>
      <c r="G39" s="28" t="s">
        <v>2027</v>
      </c>
      <c r="J39" s="7" t="s">
        <v>31</v>
      </c>
      <c r="M39" s="6"/>
      <c r="O39" s="7" t="s">
        <v>32</v>
      </c>
      <c r="P39" s="7" t="s">
        <v>175</v>
      </c>
      <c r="Q39" s="7" t="s">
        <v>34</v>
      </c>
      <c r="R39" s="7" t="s">
        <v>147</v>
      </c>
      <c r="S39" s="7" t="s">
        <v>176</v>
      </c>
      <c r="T39" s="7" t="s">
        <v>177</v>
      </c>
      <c r="U39" s="7" t="s">
        <v>178</v>
      </c>
      <c r="V39" s="7" t="s">
        <v>179</v>
      </c>
      <c r="X39" s="2" t="str">
        <f>HYPERLINK("https://hsdes.intel.com/resource/14013177179","14013177179")</f>
        <v>14013177179</v>
      </c>
    </row>
    <row r="40" spans="1:24" x14ac:dyDescent="0.3">
      <c r="A40" s="2" t="str">
        <f>HYPERLINK("https://hsdes.intel.com/resource/14013177170","14013177170")</f>
        <v>14013177170</v>
      </c>
      <c r="B40" s="7" t="s">
        <v>180</v>
      </c>
      <c r="C40" s="7" t="s">
        <v>2017</v>
      </c>
      <c r="D40" s="7" t="s">
        <v>174</v>
      </c>
      <c r="E40" s="7" t="s">
        <v>122</v>
      </c>
      <c r="F40" s="7" t="s">
        <v>20</v>
      </c>
      <c r="G40" s="28" t="s">
        <v>2027</v>
      </c>
      <c r="J40" s="7" t="s">
        <v>31</v>
      </c>
      <c r="M40" s="6"/>
      <c r="O40" s="7" t="s">
        <v>32</v>
      </c>
      <c r="P40" s="7" t="s">
        <v>175</v>
      </c>
      <c r="Q40" s="7" t="s">
        <v>34</v>
      </c>
      <c r="R40" s="7" t="s">
        <v>24</v>
      </c>
      <c r="S40" s="7" t="s">
        <v>181</v>
      </c>
      <c r="T40" s="7" t="s">
        <v>182</v>
      </c>
      <c r="U40" s="7" t="s">
        <v>183</v>
      </c>
      <c r="V40" s="7" t="s">
        <v>179</v>
      </c>
      <c r="X40" s="2" t="str">
        <f>HYPERLINK("https://hsdes.intel.com/resource/14013177170","14013177170")</f>
        <v>14013177170</v>
      </c>
    </row>
    <row r="41" spans="1:24" x14ac:dyDescent="0.3">
      <c r="A41" s="2" t="str">
        <f>HYPERLINK("https://hsdes.intel.com/resource/14013173938","14013173938")</f>
        <v>14013173938</v>
      </c>
      <c r="B41" s="7" t="s">
        <v>184</v>
      </c>
      <c r="C41" s="7" t="s">
        <v>2017</v>
      </c>
      <c r="D41" s="7" t="s">
        <v>185</v>
      </c>
      <c r="E41" s="7" t="s">
        <v>19</v>
      </c>
      <c r="F41" s="7" t="s">
        <v>20</v>
      </c>
      <c r="G41" s="28" t="s">
        <v>2027</v>
      </c>
      <c r="J41" s="7" t="s">
        <v>31</v>
      </c>
      <c r="M41" s="6"/>
      <c r="O41" s="7" t="s">
        <v>32</v>
      </c>
      <c r="P41" s="7" t="s">
        <v>186</v>
      </c>
      <c r="Q41" s="7" t="s">
        <v>34</v>
      </c>
      <c r="R41" s="7" t="s">
        <v>147</v>
      </c>
      <c r="S41" s="7" t="s">
        <v>187</v>
      </c>
      <c r="T41" s="7" t="s">
        <v>177</v>
      </c>
      <c r="U41" s="7" t="s">
        <v>188</v>
      </c>
      <c r="V41" s="7" t="s">
        <v>189</v>
      </c>
      <c r="X41" s="2" t="str">
        <f>HYPERLINK("https://hsdes.intel.com/resource/14013173938","14013173938")</f>
        <v>14013173938</v>
      </c>
    </row>
    <row r="42" spans="1:24" x14ac:dyDescent="0.3">
      <c r="A42" s="2" t="str">
        <f>HYPERLINK("https://hsdes.intel.com/resource/14013184829","14013184829")</f>
        <v>14013184829</v>
      </c>
      <c r="B42" s="7" t="s">
        <v>190</v>
      </c>
      <c r="C42" s="7" t="s">
        <v>2017</v>
      </c>
      <c r="D42" s="7" t="s">
        <v>77</v>
      </c>
      <c r="E42" s="7" t="s">
        <v>19</v>
      </c>
      <c r="F42" s="7" t="s">
        <v>20</v>
      </c>
      <c r="G42" s="28" t="s">
        <v>2027</v>
      </c>
      <c r="J42" s="7" t="s">
        <v>31</v>
      </c>
      <c r="M42" s="6"/>
      <c r="O42" s="7" t="s">
        <v>32</v>
      </c>
      <c r="P42" s="7" t="s">
        <v>78</v>
      </c>
      <c r="Q42" s="7" t="s">
        <v>34</v>
      </c>
      <c r="R42" s="7" t="s">
        <v>24</v>
      </c>
      <c r="S42" s="7" t="s">
        <v>191</v>
      </c>
      <c r="T42" s="7" t="s">
        <v>192</v>
      </c>
      <c r="U42" s="7" t="s">
        <v>193</v>
      </c>
      <c r="V42" s="7" t="s">
        <v>142</v>
      </c>
      <c r="X42" s="2" t="str">
        <f>HYPERLINK("https://hsdes.intel.com/resource/14013184829","14013184829")</f>
        <v>14013184829</v>
      </c>
    </row>
    <row r="43" spans="1:24" x14ac:dyDescent="0.3">
      <c r="A43" s="2" t="str">
        <f>HYPERLINK("https://hsdes.intel.com/resource/14013173935","14013173935")</f>
        <v>14013173935</v>
      </c>
      <c r="B43" s="7" t="s">
        <v>194</v>
      </c>
      <c r="C43" s="7" t="s">
        <v>2017</v>
      </c>
      <c r="D43" s="7" t="s">
        <v>185</v>
      </c>
      <c r="E43" s="7" t="s">
        <v>19</v>
      </c>
      <c r="F43" s="7" t="s">
        <v>20</v>
      </c>
      <c r="G43" s="28" t="s">
        <v>2027</v>
      </c>
      <c r="J43" s="7" t="s">
        <v>31</v>
      </c>
      <c r="M43" s="6"/>
      <c r="O43" s="7" t="s">
        <v>32</v>
      </c>
      <c r="P43" s="7" t="s">
        <v>186</v>
      </c>
      <c r="Q43" s="7" t="s">
        <v>34</v>
      </c>
      <c r="R43" s="7" t="s">
        <v>147</v>
      </c>
      <c r="S43" s="7" t="s">
        <v>195</v>
      </c>
      <c r="T43" s="7" t="s">
        <v>177</v>
      </c>
      <c r="U43" s="7" t="s">
        <v>196</v>
      </c>
      <c r="V43" s="7" t="s">
        <v>189</v>
      </c>
      <c r="X43" s="2" t="str">
        <f>HYPERLINK("https://hsdes.intel.com/resource/14013173935","14013173935")</f>
        <v>14013173935</v>
      </c>
    </row>
    <row r="44" spans="1:24" x14ac:dyDescent="0.3">
      <c r="A44" s="2" t="str">
        <f>HYPERLINK("https://hsdes.intel.com/resource/14013187276","14013187276")</f>
        <v>14013187276</v>
      </c>
      <c r="B44" s="7" t="s">
        <v>197</v>
      </c>
      <c r="C44" s="7" t="s">
        <v>2017</v>
      </c>
      <c r="D44" s="7" t="s">
        <v>198</v>
      </c>
      <c r="E44" s="7" t="s">
        <v>19</v>
      </c>
      <c r="F44" s="7" t="s">
        <v>20</v>
      </c>
      <c r="G44" s="28" t="s">
        <v>2027</v>
      </c>
      <c r="J44" s="7" t="s">
        <v>2004</v>
      </c>
      <c r="M44" s="6">
        <v>44785</v>
      </c>
      <c r="O44" s="7" t="s">
        <v>32</v>
      </c>
      <c r="P44" s="7" t="s">
        <v>146</v>
      </c>
      <c r="Q44" s="7" t="s">
        <v>34</v>
      </c>
      <c r="R44" s="7" t="s">
        <v>147</v>
      </c>
      <c r="S44" s="7" t="s">
        <v>199</v>
      </c>
      <c r="T44" s="7" t="s">
        <v>200</v>
      </c>
      <c r="U44" s="7" t="s">
        <v>201</v>
      </c>
      <c r="V44" s="7" t="s">
        <v>202</v>
      </c>
      <c r="X44" s="2" t="str">
        <f>HYPERLINK("https://hsdes.intel.com/resource/14013187276","14013187276")</f>
        <v>14013187276</v>
      </c>
    </row>
    <row r="45" spans="1:24" x14ac:dyDescent="0.3">
      <c r="A45" s="2" t="str">
        <f>HYPERLINK("https://hsdes.intel.com/resource/14013185849","14013185849")</f>
        <v>14013185849</v>
      </c>
      <c r="B45" s="7" t="s">
        <v>203</v>
      </c>
      <c r="C45" s="7" t="s">
        <v>2017</v>
      </c>
      <c r="D45" s="7" t="s">
        <v>198</v>
      </c>
      <c r="E45" s="7" t="s">
        <v>19</v>
      </c>
      <c r="F45" s="7" t="s">
        <v>20</v>
      </c>
      <c r="G45" s="28" t="s">
        <v>2027</v>
      </c>
      <c r="J45" s="7" t="s">
        <v>2020</v>
      </c>
      <c r="M45" s="6">
        <v>44785</v>
      </c>
      <c r="O45" s="7" t="s">
        <v>32</v>
      </c>
      <c r="P45" s="7" t="s">
        <v>146</v>
      </c>
      <c r="Q45" s="7" t="s">
        <v>34</v>
      </c>
      <c r="R45" s="7" t="s">
        <v>147</v>
      </c>
      <c r="S45" s="7" t="s">
        <v>204</v>
      </c>
      <c r="T45" s="7" t="s">
        <v>205</v>
      </c>
      <c r="U45" s="7" t="s">
        <v>206</v>
      </c>
      <c r="V45" s="7" t="s">
        <v>202</v>
      </c>
      <c r="X45" s="2" t="str">
        <f>HYPERLINK("https://hsdes.intel.com/resource/14013185849","14013185849")</f>
        <v>14013185849</v>
      </c>
    </row>
    <row r="46" spans="1:24" x14ac:dyDescent="0.3">
      <c r="A46" s="2" t="str">
        <f>HYPERLINK("https://hsdes.intel.com/resource/14013184190","14013184190")</f>
        <v>14013184190</v>
      </c>
      <c r="B46" s="7" t="s">
        <v>207</v>
      </c>
      <c r="C46" s="7" t="s">
        <v>2017</v>
      </c>
      <c r="D46" s="7" t="s">
        <v>198</v>
      </c>
      <c r="E46" s="7" t="s">
        <v>19</v>
      </c>
      <c r="F46" s="7" t="s">
        <v>20</v>
      </c>
      <c r="G46" s="28" t="s">
        <v>2027</v>
      </c>
      <c r="J46" s="7" t="s">
        <v>2004</v>
      </c>
      <c r="L46" s="7" t="s">
        <v>208</v>
      </c>
      <c r="M46" s="6">
        <v>44785</v>
      </c>
      <c r="O46" s="7" t="s">
        <v>32</v>
      </c>
      <c r="P46" s="7" t="s">
        <v>146</v>
      </c>
      <c r="Q46" s="7" t="s">
        <v>23</v>
      </c>
      <c r="R46" s="7" t="s">
        <v>147</v>
      </c>
      <c r="S46" s="7" t="s">
        <v>209</v>
      </c>
      <c r="T46" s="7" t="s">
        <v>205</v>
      </c>
      <c r="U46" s="7" t="s">
        <v>210</v>
      </c>
      <c r="V46" s="7" t="s">
        <v>202</v>
      </c>
      <c r="X46" s="2" t="str">
        <f>HYPERLINK("https://hsdes.intel.com/resource/14013184190","14013184190")</f>
        <v>14013184190</v>
      </c>
    </row>
    <row r="47" spans="1:24" x14ac:dyDescent="0.3">
      <c r="A47" s="2" t="str">
        <f>HYPERLINK("https://hsdes.intel.com/resource/14013184271","14013184271")</f>
        <v>14013184271</v>
      </c>
      <c r="B47" s="7" t="s">
        <v>211</v>
      </c>
      <c r="C47" s="7" t="s">
        <v>2017</v>
      </c>
      <c r="D47" s="7" t="s">
        <v>198</v>
      </c>
      <c r="E47" s="7" t="s">
        <v>19</v>
      </c>
      <c r="F47" s="7" t="s">
        <v>20</v>
      </c>
      <c r="G47" s="28" t="s">
        <v>2027</v>
      </c>
      <c r="J47" s="7" t="s">
        <v>2020</v>
      </c>
      <c r="M47" s="6">
        <v>44785</v>
      </c>
      <c r="O47" s="7" t="s">
        <v>32</v>
      </c>
      <c r="P47" s="7" t="s">
        <v>146</v>
      </c>
      <c r="Q47" s="7" t="s">
        <v>34</v>
      </c>
      <c r="R47" s="7" t="s">
        <v>147</v>
      </c>
      <c r="S47" s="7" t="s">
        <v>212</v>
      </c>
      <c r="T47" s="7" t="s">
        <v>135</v>
      </c>
      <c r="U47" s="7" t="s">
        <v>213</v>
      </c>
      <c r="V47" s="7" t="s">
        <v>202</v>
      </c>
      <c r="X47" s="2" t="str">
        <f>HYPERLINK("https://hsdes.intel.com/resource/14013184271","14013184271")</f>
        <v>14013184271</v>
      </c>
    </row>
    <row r="48" spans="1:24" x14ac:dyDescent="0.3">
      <c r="A48" s="2" t="str">
        <f>HYPERLINK("https://hsdes.intel.com/resource/14013160713","14013160713")</f>
        <v>14013160713</v>
      </c>
      <c r="B48" s="7" t="s">
        <v>214</v>
      </c>
      <c r="C48" s="7" t="s">
        <v>2017</v>
      </c>
      <c r="D48" s="7" t="s">
        <v>198</v>
      </c>
      <c r="E48" s="7" t="s">
        <v>19</v>
      </c>
      <c r="F48" s="7" t="s">
        <v>20</v>
      </c>
      <c r="G48" s="28" t="s">
        <v>2027</v>
      </c>
      <c r="J48" s="7" t="s">
        <v>2020</v>
      </c>
      <c r="M48" s="6">
        <v>44785</v>
      </c>
      <c r="O48" s="7" t="s">
        <v>32</v>
      </c>
      <c r="P48" s="7" t="s">
        <v>146</v>
      </c>
      <c r="Q48" s="7" t="s">
        <v>34</v>
      </c>
      <c r="R48" s="7" t="s">
        <v>147</v>
      </c>
      <c r="S48" s="7" t="s">
        <v>215</v>
      </c>
      <c r="T48" s="7" t="s">
        <v>205</v>
      </c>
      <c r="U48" s="7" t="s">
        <v>216</v>
      </c>
      <c r="V48" s="7" t="s">
        <v>202</v>
      </c>
      <c r="X48" s="2" t="str">
        <f>HYPERLINK("https://hsdes.intel.com/resource/14013160713","14013160713")</f>
        <v>14013160713</v>
      </c>
    </row>
    <row r="49" spans="1:24" x14ac:dyDescent="0.3">
      <c r="A49" s="2" t="str">
        <f>HYPERLINK("https://hsdes.intel.com/resource/14013184326","14013184326")</f>
        <v>14013184326</v>
      </c>
      <c r="B49" s="7" t="s">
        <v>217</v>
      </c>
      <c r="C49" s="7" t="s">
        <v>2017</v>
      </c>
      <c r="D49" s="7" t="s">
        <v>198</v>
      </c>
      <c r="E49" s="7" t="s">
        <v>19</v>
      </c>
      <c r="F49" s="7" t="s">
        <v>20</v>
      </c>
      <c r="G49" s="28" t="s">
        <v>2027</v>
      </c>
      <c r="J49" s="7" t="s">
        <v>2020</v>
      </c>
      <c r="M49" s="6">
        <v>44785</v>
      </c>
      <c r="O49" s="7" t="s">
        <v>32</v>
      </c>
      <c r="P49" s="7" t="s">
        <v>146</v>
      </c>
      <c r="Q49" s="7" t="s">
        <v>34</v>
      </c>
      <c r="R49" s="7" t="s">
        <v>147</v>
      </c>
      <c r="S49" s="7" t="s">
        <v>218</v>
      </c>
      <c r="T49" s="7" t="s">
        <v>205</v>
      </c>
      <c r="U49" s="7" t="s">
        <v>219</v>
      </c>
      <c r="V49" s="7" t="s">
        <v>202</v>
      </c>
      <c r="X49" s="2" t="str">
        <f>HYPERLINK("https://hsdes.intel.com/resource/14013184326","14013184326")</f>
        <v>14013184326</v>
      </c>
    </row>
    <row r="50" spans="1:24" x14ac:dyDescent="0.3">
      <c r="A50" s="2" t="str">
        <f>HYPERLINK("https://hsdes.intel.com/resource/14013160109","14013160109")</f>
        <v>14013160109</v>
      </c>
      <c r="B50" s="7" t="s">
        <v>220</v>
      </c>
      <c r="C50" s="7" t="s">
        <v>2017</v>
      </c>
      <c r="D50" s="7" t="s">
        <v>144</v>
      </c>
      <c r="E50" s="7" t="s">
        <v>19</v>
      </c>
      <c r="F50" s="7" t="s">
        <v>20</v>
      </c>
      <c r="G50" s="28" t="s">
        <v>2027</v>
      </c>
      <c r="J50" s="7" t="s">
        <v>31</v>
      </c>
      <c r="M50" s="6"/>
      <c r="O50" s="7" t="s">
        <v>32</v>
      </c>
      <c r="P50" s="7" t="s">
        <v>146</v>
      </c>
      <c r="Q50" s="7" t="s">
        <v>34</v>
      </c>
      <c r="R50" s="7" t="s">
        <v>147</v>
      </c>
      <c r="S50" s="7" t="s">
        <v>221</v>
      </c>
      <c r="T50" s="7" t="s">
        <v>222</v>
      </c>
      <c r="U50" s="7" t="s">
        <v>223</v>
      </c>
      <c r="V50" s="7" t="s">
        <v>151</v>
      </c>
      <c r="X50" s="2" t="str">
        <f>HYPERLINK("https://hsdes.intel.com/resource/14013160109","14013160109")</f>
        <v>14013160109</v>
      </c>
    </row>
    <row r="51" spans="1:24" x14ac:dyDescent="0.3">
      <c r="A51" s="2" t="str">
        <f>HYPERLINK("https://hsdes.intel.com/resource/14013120845","14013120845")</f>
        <v>14013120845</v>
      </c>
      <c r="B51" s="7" t="s">
        <v>224</v>
      </c>
      <c r="C51" s="7" t="s">
        <v>2017</v>
      </c>
      <c r="D51" s="7" t="s">
        <v>30</v>
      </c>
      <c r="E51" s="7" t="s">
        <v>19</v>
      </c>
      <c r="F51" s="7" t="s">
        <v>20</v>
      </c>
      <c r="G51" s="28" t="s">
        <v>2027</v>
      </c>
      <c r="J51" s="7" t="s">
        <v>2006</v>
      </c>
      <c r="M51" s="6">
        <v>44784</v>
      </c>
      <c r="O51" s="7" t="s">
        <v>32</v>
      </c>
      <c r="P51" s="7" t="s">
        <v>33</v>
      </c>
      <c r="Q51" s="7" t="s">
        <v>34</v>
      </c>
      <c r="R51" s="7" t="s">
        <v>24</v>
      </c>
      <c r="S51" s="7" t="s">
        <v>225</v>
      </c>
      <c r="T51" s="7" t="s">
        <v>226</v>
      </c>
      <c r="U51" s="7" t="s">
        <v>227</v>
      </c>
      <c r="V51" s="7" t="s">
        <v>38</v>
      </c>
      <c r="X51" s="2" t="str">
        <f>HYPERLINK("https://hsdes.intel.com/resource/14013120845","14013120845")</f>
        <v>14013120845</v>
      </c>
    </row>
    <row r="52" spans="1:24" x14ac:dyDescent="0.3">
      <c r="A52" s="2" t="str">
        <f>HYPERLINK("https://hsdes.intel.com/resource/14013184642","14013184642")</f>
        <v>14013184642</v>
      </c>
      <c r="B52" s="7" t="s">
        <v>228</v>
      </c>
      <c r="C52" s="7" t="s">
        <v>2017</v>
      </c>
      <c r="D52" s="7" t="s">
        <v>138</v>
      </c>
      <c r="E52" s="7" t="s">
        <v>19</v>
      </c>
      <c r="F52" s="7" t="s">
        <v>20</v>
      </c>
      <c r="G52" s="28" t="s">
        <v>2027</v>
      </c>
      <c r="J52" s="7" t="s">
        <v>1974</v>
      </c>
      <c r="M52" s="6">
        <v>44781</v>
      </c>
      <c r="O52" s="7" t="s">
        <v>32</v>
      </c>
      <c r="P52" s="7" t="s">
        <v>78</v>
      </c>
      <c r="Q52" s="7" t="s">
        <v>34</v>
      </c>
      <c r="R52" s="7" t="s">
        <v>24</v>
      </c>
      <c r="S52" s="7" t="s">
        <v>229</v>
      </c>
      <c r="T52" s="7" t="s">
        <v>140</v>
      </c>
      <c r="U52" s="7" t="s">
        <v>230</v>
      </c>
      <c r="V52" s="7" t="s">
        <v>142</v>
      </c>
      <c r="X52" s="2" t="str">
        <f>HYPERLINK("https://hsdes.intel.com/resource/14013184642","14013184642")</f>
        <v>14013184642</v>
      </c>
    </row>
    <row r="53" spans="1:24" x14ac:dyDescent="0.3">
      <c r="A53" s="2" t="str">
        <f>HYPERLINK("https://hsdes.intel.com/resource/14013160756","14013160756")</f>
        <v>14013160756</v>
      </c>
      <c r="B53" s="7" t="s">
        <v>231</v>
      </c>
      <c r="C53" s="7" t="s">
        <v>2017</v>
      </c>
      <c r="D53" s="7" t="s">
        <v>18</v>
      </c>
      <c r="E53" s="7" t="s">
        <v>19</v>
      </c>
      <c r="F53" s="7" t="s">
        <v>20</v>
      </c>
      <c r="G53" s="28" t="s">
        <v>2027</v>
      </c>
      <c r="J53" s="7" t="s">
        <v>1974</v>
      </c>
      <c r="M53" s="6">
        <v>44783</v>
      </c>
      <c r="O53" s="7" t="s">
        <v>32</v>
      </c>
      <c r="P53" s="7" t="s">
        <v>22</v>
      </c>
      <c r="Q53" s="7" t="s">
        <v>34</v>
      </c>
      <c r="R53" s="7" t="s">
        <v>24</v>
      </c>
      <c r="S53" s="7" t="s">
        <v>232</v>
      </c>
      <c r="T53" s="7" t="s">
        <v>116</v>
      </c>
      <c r="U53" s="7" t="s">
        <v>233</v>
      </c>
      <c r="V53" s="7" t="s">
        <v>28</v>
      </c>
      <c r="X53" s="2" t="str">
        <f>HYPERLINK("https://hsdes.intel.com/resource/14013160756","14013160756")</f>
        <v>14013160756</v>
      </c>
    </row>
    <row r="54" spans="1:24" x14ac:dyDescent="0.3">
      <c r="A54" s="2" t="str">
        <f>HYPERLINK("https://hsdes.intel.com/resource/14013121252","14013121252")</f>
        <v>14013121252</v>
      </c>
      <c r="B54" s="7" t="s">
        <v>234</v>
      </c>
      <c r="C54" s="7" t="s">
        <v>2017</v>
      </c>
      <c r="D54" s="7" t="s">
        <v>18</v>
      </c>
      <c r="E54" s="7" t="s">
        <v>19</v>
      </c>
      <c r="F54" s="7" t="s">
        <v>20</v>
      </c>
      <c r="G54" s="28" t="s">
        <v>2027</v>
      </c>
      <c r="J54" s="7" t="s">
        <v>2004</v>
      </c>
      <c r="L54" s="7" t="s">
        <v>1976</v>
      </c>
      <c r="M54" s="6">
        <v>44785</v>
      </c>
      <c r="O54" s="7" t="s">
        <v>104</v>
      </c>
      <c r="P54" s="7" t="s">
        <v>22</v>
      </c>
      <c r="Q54" s="7" t="s">
        <v>34</v>
      </c>
      <c r="R54" s="7" t="s">
        <v>24</v>
      </c>
      <c r="S54" s="7" t="s">
        <v>235</v>
      </c>
      <c r="T54" s="7" t="s">
        <v>116</v>
      </c>
      <c r="U54" s="7" t="s">
        <v>236</v>
      </c>
      <c r="V54" s="7" t="s">
        <v>28</v>
      </c>
      <c r="X54" s="2" t="str">
        <f>HYPERLINK("https://hsdes.intel.com/resource/14013121252","14013121252")</f>
        <v>14013121252</v>
      </c>
    </row>
    <row r="55" spans="1:24" x14ac:dyDescent="0.3">
      <c r="A55" s="2" t="str">
        <f>HYPERLINK("https://hsdes.intel.com/resource/14013177947","14013177947")</f>
        <v>14013177947</v>
      </c>
      <c r="B55" s="7" t="s">
        <v>237</v>
      </c>
      <c r="C55" s="7" t="s">
        <v>2017</v>
      </c>
      <c r="D55" s="7" t="s">
        <v>238</v>
      </c>
      <c r="E55" s="7" t="s">
        <v>19</v>
      </c>
      <c r="F55" s="7" t="s">
        <v>20</v>
      </c>
      <c r="G55" s="28" t="s">
        <v>2027</v>
      </c>
      <c r="J55" s="7" t="s">
        <v>2004</v>
      </c>
      <c r="L55" s="7" t="s">
        <v>1976</v>
      </c>
      <c r="M55" s="6">
        <v>44785</v>
      </c>
      <c r="O55" s="7" t="s">
        <v>104</v>
      </c>
      <c r="P55" s="7" t="s">
        <v>186</v>
      </c>
      <c r="Q55" s="7" t="s">
        <v>34</v>
      </c>
      <c r="R55" s="7" t="s">
        <v>147</v>
      </c>
      <c r="S55" s="7" t="s">
        <v>239</v>
      </c>
      <c r="T55" s="7" t="s">
        <v>45</v>
      </c>
      <c r="U55" s="7" t="s">
        <v>240</v>
      </c>
      <c r="V55" s="7" t="s">
        <v>28</v>
      </c>
      <c r="X55" s="2" t="str">
        <f>HYPERLINK("https://hsdes.intel.com/resource/14013177947","14013177947")</f>
        <v>14013177947</v>
      </c>
    </row>
    <row r="56" spans="1:24" x14ac:dyDescent="0.3">
      <c r="A56" s="2" t="str">
        <f>HYPERLINK("https://hsdes.intel.com/resource/14013119042","14013119042")</f>
        <v>14013119042</v>
      </c>
      <c r="B56" s="7" t="s">
        <v>241</v>
      </c>
      <c r="C56" s="7" t="s">
        <v>2017</v>
      </c>
      <c r="D56" s="7" t="s">
        <v>242</v>
      </c>
      <c r="E56" s="7" t="s">
        <v>122</v>
      </c>
      <c r="F56" s="7" t="s">
        <v>20</v>
      </c>
      <c r="G56" s="28" t="s">
        <v>2027</v>
      </c>
      <c r="J56" s="7" t="s">
        <v>1974</v>
      </c>
      <c r="M56" s="6">
        <v>44781</v>
      </c>
      <c r="O56" s="7" t="s">
        <v>32</v>
      </c>
      <c r="P56" s="7" t="s">
        <v>175</v>
      </c>
      <c r="Q56" s="7" t="s">
        <v>34</v>
      </c>
      <c r="R56" s="7" t="s">
        <v>24</v>
      </c>
      <c r="S56" s="7" t="s">
        <v>243</v>
      </c>
      <c r="T56" s="7" t="s">
        <v>244</v>
      </c>
      <c r="U56" s="7" t="s">
        <v>245</v>
      </c>
      <c r="V56" s="7" t="s">
        <v>179</v>
      </c>
      <c r="X56" s="2" t="str">
        <f>HYPERLINK("https://hsdes.intel.com/resource/14013119042","14013119042")</f>
        <v>14013119042</v>
      </c>
    </row>
    <row r="57" spans="1:24" x14ac:dyDescent="0.3">
      <c r="A57" s="5" t="str">
        <f>HYPERLINK("https://hsdes.intel.com/resource/14013119125","14013119125")</f>
        <v>14013119125</v>
      </c>
      <c r="B57" s="18" t="s">
        <v>246</v>
      </c>
      <c r="C57" s="7" t="s">
        <v>2017</v>
      </c>
      <c r="D57" s="7" t="s">
        <v>247</v>
      </c>
      <c r="E57" s="7" t="s">
        <v>19</v>
      </c>
      <c r="F57" s="7" t="s">
        <v>20</v>
      </c>
      <c r="G57" s="28" t="s">
        <v>2027</v>
      </c>
      <c r="J57" s="7" t="s">
        <v>2020</v>
      </c>
      <c r="L57" s="7" t="s">
        <v>1989</v>
      </c>
      <c r="M57" s="6">
        <v>44783</v>
      </c>
      <c r="O57" s="7" t="s">
        <v>32</v>
      </c>
      <c r="P57" s="7" t="s">
        <v>186</v>
      </c>
      <c r="Q57" s="7" t="s">
        <v>23</v>
      </c>
      <c r="R57" s="7" t="s">
        <v>147</v>
      </c>
      <c r="S57" s="7" t="s">
        <v>248</v>
      </c>
      <c r="T57" s="7" t="s">
        <v>45</v>
      </c>
      <c r="U57" s="7" t="s">
        <v>249</v>
      </c>
      <c r="V57" s="7" t="s">
        <v>189</v>
      </c>
      <c r="X57" s="2" t="str">
        <f>HYPERLINK("https://hsdes.intel.com/resource/14013119125","14013119125")</f>
        <v>14013119125</v>
      </c>
    </row>
    <row r="58" spans="1:24" x14ac:dyDescent="0.3">
      <c r="A58" s="5" t="str">
        <f>HYPERLINK("https://hsdes.intel.com/resource/14013163162","14013163162")</f>
        <v>14013163162</v>
      </c>
      <c r="B58" s="7" t="s">
        <v>250</v>
      </c>
      <c r="C58" s="7" t="s">
        <v>2017</v>
      </c>
      <c r="D58" s="7" t="s">
        <v>138</v>
      </c>
      <c r="E58" s="7" t="s">
        <v>19</v>
      </c>
      <c r="F58" s="7" t="s">
        <v>20</v>
      </c>
      <c r="G58" s="28" t="s">
        <v>2027</v>
      </c>
      <c r="J58" s="7" t="s">
        <v>2004</v>
      </c>
      <c r="M58" s="6">
        <v>44785</v>
      </c>
      <c r="O58" s="7" t="s">
        <v>104</v>
      </c>
      <c r="P58" s="7" t="s">
        <v>78</v>
      </c>
      <c r="Q58" s="7" t="s">
        <v>34</v>
      </c>
      <c r="R58" s="7" t="s">
        <v>24</v>
      </c>
      <c r="S58" s="7" t="s">
        <v>251</v>
      </c>
      <c r="T58" s="7" t="s">
        <v>177</v>
      </c>
      <c r="U58" s="7" t="s">
        <v>252</v>
      </c>
      <c r="V58" s="7" t="s">
        <v>142</v>
      </c>
      <c r="X58" s="5" t="str">
        <f>HYPERLINK("https://hsdes.intel.com/resource/14013163162","14013163162")</f>
        <v>14013163162</v>
      </c>
    </row>
    <row r="59" spans="1:24" x14ac:dyDescent="0.3">
      <c r="A59" s="5" t="str">
        <f>HYPERLINK("https://hsdes.intel.com/resource/14013165524","14013165524")</f>
        <v>14013165524</v>
      </c>
      <c r="B59" s="7" t="s">
        <v>253</v>
      </c>
      <c r="C59" s="7" t="s">
        <v>2017</v>
      </c>
      <c r="D59" s="7" t="s">
        <v>138</v>
      </c>
      <c r="E59" s="7" t="s">
        <v>19</v>
      </c>
      <c r="F59" s="7" t="s">
        <v>20</v>
      </c>
      <c r="G59" s="28" t="s">
        <v>2027</v>
      </c>
      <c r="J59" s="7" t="s">
        <v>2004</v>
      </c>
      <c r="M59" s="6">
        <v>44785</v>
      </c>
      <c r="O59" s="7" t="s">
        <v>104</v>
      </c>
      <c r="P59" s="7" t="s">
        <v>78</v>
      </c>
      <c r="Q59" s="7" t="s">
        <v>34</v>
      </c>
      <c r="R59" s="7" t="s">
        <v>24</v>
      </c>
      <c r="S59" s="7" t="s">
        <v>254</v>
      </c>
      <c r="T59" s="7" t="s">
        <v>177</v>
      </c>
      <c r="U59" s="7" t="s">
        <v>255</v>
      </c>
      <c r="V59" s="7" t="s">
        <v>142</v>
      </c>
      <c r="X59" s="2" t="str">
        <f>HYPERLINK("https://hsdes.intel.com/resource/14013165524","14013165524")</f>
        <v>14013165524</v>
      </c>
    </row>
    <row r="60" spans="1:24" x14ac:dyDescent="0.3">
      <c r="A60" s="2" t="str">
        <f>HYPERLINK("https://hsdes.intel.com/resource/14013185814","14013185814")</f>
        <v>14013185814</v>
      </c>
      <c r="B60" s="7" t="s">
        <v>256</v>
      </c>
      <c r="C60" s="7" t="s">
        <v>2017</v>
      </c>
      <c r="D60" s="7" t="s">
        <v>257</v>
      </c>
      <c r="E60" s="7" t="s">
        <v>19</v>
      </c>
      <c r="F60" s="7" t="s">
        <v>20</v>
      </c>
      <c r="G60" s="28" t="s">
        <v>2027</v>
      </c>
      <c r="J60" s="7" t="s">
        <v>31</v>
      </c>
      <c r="M60" s="6"/>
      <c r="O60" s="7" t="s">
        <v>104</v>
      </c>
      <c r="P60" s="7" t="s">
        <v>163</v>
      </c>
      <c r="Q60" s="7" t="s">
        <v>34</v>
      </c>
      <c r="R60" s="7" t="s">
        <v>24</v>
      </c>
      <c r="S60" s="7" t="s">
        <v>258</v>
      </c>
      <c r="T60" s="7" t="s">
        <v>205</v>
      </c>
      <c r="U60" s="7" t="s">
        <v>259</v>
      </c>
      <c r="V60" s="7" t="s">
        <v>166</v>
      </c>
      <c r="X60" s="2" t="str">
        <f>HYPERLINK("https://hsdes.intel.com/resource/14013185814","14013185814")</f>
        <v>14013185814</v>
      </c>
    </row>
    <row r="61" spans="1:24" x14ac:dyDescent="0.3">
      <c r="A61" s="5" t="str">
        <f>HYPERLINK("https://hsdes.intel.com/resource/14013179274","14013179274")</f>
        <v>14013179274</v>
      </c>
      <c r="B61" s="7" t="s">
        <v>260</v>
      </c>
      <c r="C61" s="7" t="s">
        <v>2017</v>
      </c>
      <c r="D61" s="7" t="s">
        <v>18</v>
      </c>
      <c r="E61" s="7" t="s">
        <v>19</v>
      </c>
      <c r="F61" s="7" t="s">
        <v>20</v>
      </c>
      <c r="G61" s="28" t="s">
        <v>2027</v>
      </c>
      <c r="J61" s="7" t="s">
        <v>2004</v>
      </c>
      <c r="M61" s="6">
        <v>44784</v>
      </c>
      <c r="O61" s="7" t="s">
        <v>104</v>
      </c>
      <c r="P61" s="7" t="s">
        <v>22</v>
      </c>
      <c r="Q61" s="7" t="s">
        <v>34</v>
      </c>
      <c r="R61" s="7" t="s">
        <v>24</v>
      </c>
      <c r="S61" s="7" t="s">
        <v>261</v>
      </c>
      <c r="T61" s="7" t="s">
        <v>116</v>
      </c>
      <c r="U61" s="7" t="s">
        <v>262</v>
      </c>
      <c r="V61" s="7" t="s">
        <v>28</v>
      </c>
      <c r="X61" s="2" t="str">
        <f>HYPERLINK("https://hsdes.intel.com/resource/14013179274","14013179274")</f>
        <v>14013179274</v>
      </c>
    </row>
    <row r="62" spans="1:24" x14ac:dyDescent="0.3">
      <c r="A62" s="2" t="str">
        <f>HYPERLINK("https://hsdes.intel.com/resource/14013158189","14013158189")</f>
        <v>14013158189</v>
      </c>
      <c r="B62" s="7" t="s">
        <v>263</v>
      </c>
      <c r="C62" s="7" t="s">
        <v>2017</v>
      </c>
      <c r="D62" s="7" t="s">
        <v>238</v>
      </c>
      <c r="E62" s="7" t="s">
        <v>122</v>
      </c>
      <c r="F62" s="7" t="s">
        <v>20</v>
      </c>
      <c r="G62" s="28" t="s">
        <v>2027</v>
      </c>
      <c r="J62" s="7" t="s">
        <v>2006</v>
      </c>
      <c r="M62" s="6">
        <v>44781</v>
      </c>
      <c r="O62" s="7" t="s">
        <v>32</v>
      </c>
      <c r="P62" s="7" t="s">
        <v>186</v>
      </c>
      <c r="Q62" s="7" t="s">
        <v>23</v>
      </c>
      <c r="R62" s="7" t="s">
        <v>147</v>
      </c>
      <c r="S62" s="7" t="s">
        <v>264</v>
      </c>
      <c r="T62" s="7" t="s">
        <v>205</v>
      </c>
      <c r="U62" s="7" t="s">
        <v>265</v>
      </c>
      <c r="V62" s="7" t="s">
        <v>189</v>
      </c>
      <c r="X62" s="2" t="str">
        <f>HYPERLINK("https://hsdes.intel.com/resource/14013158189","14013158189")</f>
        <v>14013158189</v>
      </c>
    </row>
    <row r="63" spans="1:24" s="18" customFormat="1" x14ac:dyDescent="0.3">
      <c r="A63" s="19" t="str">
        <f>HYPERLINK("https://hsdes.intel.com/resource/14013161288","14013161288")</f>
        <v>14013161288</v>
      </c>
      <c r="B63" s="18" t="s">
        <v>266</v>
      </c>
      <c r="C63" s="7" t="s">
        <v>2017</v>
      </c>
      <c r="D63" s="7" t="s">
        <v>267</v>
      </c>
      <c r="E63" s="7" t="s">
        <v>19</v>
      </c>
      <c r="F63" s="7" t="s">
        <v>20</v>
      </c>
      <c r="G63" s="28" t="s">
        <v>2027</v>
      </c>
      <c r="J63" s="7" t="s">
        <v>2020</v>
      </c>
      <c r="M63" s="6">
        <v>44784</v>
      </c>
      <c r="O63" s="7" t="s">
        <v>32</v>
      </c>
      <c r="P63" s="18" t="s">
        <v>33</v>
      </c>
      <c r="Q63" s="18" t="s">
        <v>34</v>
      </c>
      <c r="R63" s="18" t="s">
        <v>24</v>
      </c>
      <c r="S63" s="18" t="s">
        <v>268</v>
      </c>
      <c r="T63" s="18" t="s">
        <v>205</v>
      </c>
      <c r="U63" s="18" t="s">
        <v>269</v>
      </c>
      <c r="V63" s="18" t="s">
        <v>270</v>
      </c>
      <c r="X63" s="17" t="str">
        <f>HYPERLINK("https://hsdes.intel.com/resource/14013161288","14013161288")</f>
        <v>14013161288</v>
      </c>
    </row>
    <row r="64" spans="1:24" x14ac:dyDescent="0.3">
      <c r="A64" s="2" t="str">
        <f>HYPERLINK("https://hsdes.intel.com/resource/14013161284","14013161284")</f>
        <v>14013161284</v>
      </c>
      <c r="B64" s="7" t="s">
        <v>271</v>
      </c>
      <c r="C64" s="7" t="s">
        <v>2017</v>
      </c>
      <c r="D64" s="7" t="s">
        <v>267</v>
      </c>
      <c r="E64" s="7" t="s">
        <v>19</v>
      </c>
      <c r="F64" s="7" t="s">
        <v>20</v>
      </c>
      <c r="G64" s="28" t="s">
        <v>2027</v>
      </c>
      <c r="J64" s="7" t="s">
        <v>31</v>
      </c>
      <c r="M64" s="6"/>
      <c r="O64" s="7" t="s">
        <v>32</v>
      </c>
      <c r="P64" s="7" t="s">
        <v>33</v>
      </c>
      <c r="Q64" s="7" t="s">
        <v>34</v>
      </c>
      <c r="R64" s="7" t="s">
        <v>24</v>
      </c>
      <c r="S64" s="7" t="s">
        <v>272</v>
      </c>
      <c r="T64" s="7" t="s">
        <v>205</v>
      </c>
      <c r="U64" s="7" t="s">
        <v>273</v>
      </c>
      <c r="V64" s="7" t="s">
        <v>270</v>
      </c>
      <c r="X64" s="2" t="str">
        <f>HYPERLINK("https://hsdes.intel.com/resource/14013161284","14013161284")</f>
        <v>14013161284</v>
      </c>
    </row>
    <row r="65" spans="1:24" x14ac:dyDescent="0.3">
      <c r="A65" s="2" t="str">
        <f>HYPERLINK("https://hsdes.intel.com/resource/14013185086","14013185086")</f>
        <v>14013185086</v>
      </c>
      <c r="B65" s="7" t="s">
        <v>274</v>
      </c>
      <c r="C65" s="7" t="s">
        <v>2017</v>
      </c>
      <c r="D65" s="7" t="s">
        <v>275</v>
      </c>
      <c r="E65" s="7" t="s">
        <v>19</v>
      </c>
      <c r="F65" s="7" t="s">
        <v>20</v>
      </c>
      <c r="G65" s="28" t="s">
        <v>2027</v>
      </c>
      <c r="J65" s="7" t="s">
        <v>31</v>
      </c>
      <c r="M65" s="6"/>
      <c r="O65" s="7" t="s">
        <v>32</v>
      </c>
      <c r="P65" s="7" t="s">
        <v>78</v>
      </c>
      <c r="Q65" s="7" t="s">
        <v>34</v>
      </c>
      <c r="R65" s="7" t="s">
        <v>24</v>
      </c>
      <c r="S65" s="7" t="s">
        <v>276</v>
      </c>
      <c r="T65" s="7" t="s">
        <v>244</v>
      </c>
      <c r="U65" s="7" t="s">
        <v>277</v>
      </c>
      <c r="V65" s="7" t="s">
        <v>278</v>
      </c>
      <c r="X65" s="2" t="str">
        <f>HYPERLINK("https://hsdes.intel.com/resource/14013185086","14013185086")</f>
        <v>14013185086</v>
      </c>
    </row>
    <row r="66" spans="1:24" x14ac:dyDescent="0.3">
      <c r="A66" s="2" t="str">
        <f>HYPERLINK("https://hsdes.intel.com/resource/14013175628","14013175628")</f>
        <v>14013175628</v>
      </c>
      <c r="B66" s="7" t="s">
        <v>279</v>
      </c>
      <c r="C66" s="7" t="s">
        <v>2017</v>
      </c>
      <c r="D66" s="7" t="s">
        <v>30</v>
      </c>
      <c r="E66" s="7" t="s">
        <v>19</v>
      </c>
      <c r="F66" s="7" t="s">
        <v>20</v>
      </c>
      <c r="G66" s="28" t="s">
        <v>2027</v>
      </c>
      <c r="J66" s="7" t="s">
        <v>2006</v>
      </c>
      <c r="M66" s="6">
        <v>44784</v>
      </c>
      <c r="O66" s="7" t="s">
        <v>104</v>
      </c>
      <c r="P66" s="7" t="s">
        <v>33</v>
      </c>
      <c r="Q66" s="7" t="s">
        <v>34</v>
      </c>
      <c r="R66" s="7" t="s">
        <v>24</v>
      </c>
      <c r="S66" s="7" t="s">
        <v>280</v>
      </c>
      <c r="T66" s="7" t="s">
        <v>244</v>
      </c>
      <c r="U66" s="7" t="s">
        <v>281</v>
      </c>
      <c r="V66" s="7" t="s">
        <v>38</v>
      </c>
      <c r="X66" s="2" t="str">
        <f>HYPERLINK("https://hsdes.intel.com/resource/14013175628","14013175628")</f>
        <v>14013175628</v>
      </c>
    </row>
    <row r="67" spans="1:24" x14ac:dyDescent="0.3">
      <c r="A67" s="2" t="str">
        <f>HYPERLINK("https://hsdes.intel.com/resource/14013159847","14013159847")</f>
        <v>14013159847</v>
      </c>
      <c r="B67" s="18" t="s">
        <v>282</v>
      </c>
      <c r="C67" s="7" t="s">
        <v>2017</v>
      </c>
      <c r="D67" s="7" t="s">
        <v>283</v>
      </c>
      <c r="E67" s="7" t="s">
        <v>19</v>
      </c>
      <c r="F67" s="7" t="s">
        <v>20</v>
      </c>
      <c r="G67" s="28" t="s">
        <v>2027</v>
      </c>
      <c r="J67" s="7" t="s">
        <v>2006</v>
      </c>
      <c r="L67" s="7" t="s">
        <v>1981</v>
      </c>
      <c r="M67" s="6">
        <v>44781</v>
      </c>
      <c r="O67" s="7" t="s">
        <v>32</v>
      </c>
      <c r="P67" s="7" t="s">
        <v>175</v>
      </c>
      <c r="Q67" s="7" t="s">
        <v>34</v>
      </c>
      <c r="R67" s="7" t="s">
        <v>24</v>
      </c>
      <c r="S67" s="7" t="s">
        <v>284</v>
      </c>
      <c r="T67" s="7" t="s">
        <v>244</v>
      </c>
      <c r="U67" s="7" t="s">
        <v>285</v>
      </c>
      <c r="V67" s="7" t="s">
        <v>286</v>
      </c>
      <c r="X67" s="2" t="str">
        <f>HYPERLINK("https://hsdes.intel.com/resource/14013159847","14013159847")</f>
        <v>14013159847</v>
      </c>
    </row>
    <row r="68" spans="1:24" x14ac:dyDescent="0.3">
      <c r="A68" s="2" t="str">
        <f>HYPERLINK("https://hsdes.intel.com/resource/14013184742","14013184742")</f>
        <v>14013184742</v>
      </c>
      <c r="B68" s="7" t="s">
        <v>287</v>
      </c>
      <c r="C68" s="7" t="s">
        <v>2017</v>
      </c>
      <c r="D68" s="7" t="s">
        <v>283</v>
      </c>
      <c r="E68" s="7" t="s">
        <v>19</v>
      </c>
      <c r="F68" s="7" t="s">
        <v>20</v>
      </c>
      <c r="G68" s="28" t="s">
        <v>2027</v>
      </c>
      <c r="J68" s="7" t="s">
        <v>2006</v>
      </c>
      <c r="L68" s="7" t="s">
        <v>288</v>
      </c>
      <c r="M68" s="6">
        <v>44781</v>
      </c>
      <c r="O68" s="7" t="s">
        <v>104</v>
      </c>
      <c r="P68" s="7" t="s">
        <v>175</v>
      </c>
      <c r="Q68" s="7" t="s">
        <v>34</v>
      </c>
      <c r="R68" s="7" t="s">
        <v>24</v>
      </c>
      <c r="S68" s="7" t="s">
        <v>289</v>
      </c>
      <c r="T68" s="7" t="s">
        <v>45</v>
      </c>
      <c r="U68" s="7" t="s">
        <v>290</v>
      </c>
      <c r="V68" s="7" t="s">
        <v>286</v>
      </c>
      <c r="X68" s="2" t="str">
        <f>HYPERLINK("https://hsdes.intel.com/resource/14013184742","14013184742")</f>
        <v>14013184742</v>
      </c>
    </row>
    <row r="69" spans="1:24" x14ac:dyDescent="0.3">
      <c r="A69" s="2" t="str">
        <f>HYPERLINK("https://hsdes.intel.com/resource/14013179174","14013179174")</f>
        <v>14013179174</v>
      </c>
      <c r="B69" s="18" t="s">
        <v>291</v>
      </c>
      <c r="C69" s="7" t="s">
        <v>2017</v>
      </c>
      <c r="D69" s="7" t="s">
        <v>247</v>
      </c>
      <c r="E69" s="7" t="s">
        <v>19</v>
      </c>
      <c r="F69" s="7" t="s">
        <v>20</v>
      </c>
      <c r="G69" s="28" t="s">
        <v>2027</v>
      </c>
      <c r="J69" s="7" t="s">
        <v>2006</v>
      </c>
      <c r="M69" s="6">
        <v>44783</v>
      </c>
      <c r="O69" s="7" t="s">
        <v>32</v>
      </c>
      <c r="P69" s="7" t="s">
        <v>186</v>
      </c>
      <c r="Q69" s="7" t="s">
        <v>23</v>
      </c>
      <c r="R69" s="7" t="s">
        <v>147</v>
      </c>
      <c r="S69" s="7" t="s">
        <v>292</v>
      </c>
      <c r="T69" s="7" t="s">
        <v>293</v>
      </c>
      <c r="U69" s="7" t="s">
        <v>294</v>
      </c>
      <c r="V69" s="7" t="s">
        <v>189</v>
      </c>
      <c r="X69" s="2" t="str">
        <f>HYPERLINK("https://hsdes.intel.com/resource/14013179174","14013179174")</f>
        <v>14013179174</v>
      </c>
    </row>
    <row r="70" spans="1:24" x14ac:dyDescent="0.3">
      <c r="A70" s="5" t="str">
        <f>HYPERLINK("https://hsdes.intel.com/resource/14013161806","14013161806")</f>
        <v>14013161806</v>
      </c>
      <c r="B70" s="7" t="s">
        <v>295</v>
      </c>
      <c r="C70" s="7" t="s">
        <v>2017</v>
      </c>
      <c r="D70" s="7" t="s">
        <v>267</v>
      </c>
      <c r="E70" s="7" t="s">
        <v>19</v>
      </c>
      <c r="F70" s="7" t="s">
        <v>20</v>
      </c>
      <c r="G70" s="28" t="s">
        <v>2027</v>
      </c>
      <c r="J70" s="7" t="s">
        <v>2020</v>
      </c>
      <c r="M70" s="6">
        <v>44784</v>
      </c>
      <c r="O70" s="7" t="s">
        <v>21</v>
      </c>
      <c r="P70" s="7" t="s">
        <v>33</v>
      </c>
      <c r="Q70" s="7" t="s">
        <v>34</v>
      </c>
      <c r="R70" s="7" t="s">
        <v>24</v>
      </c>
      <c r="S70" s="7" t="s">
        <v>296</v>
      </c>
      <c r="T70" s="7" t="s">
        <v>244</v>
      </c>
      <c r="U70" s="7" t="s">
        <v>297</v>
      </c>
      <c r="V70" s="7" t="s">
        <v>270</v>
      </c>
      <c r="X70" s="2" t="str">
        <f>HYPERLINK("https://hsdes.intel.com/resource/14013161806","14013161806")</f>
        <v>14013161806</v>
      </c>
    </row>
    <row r="71" spans="1:24" x14ac:dyDescent="0.3">
      <c r="A71" s="2" t="str">
        <f>HYPERLINK("https://hsdes.intel.com/resource/14013158547","14013158547")</f>
        <v>14013158547</v>
      </c>
      <c r="B71" s="7" t="s">
        <v>298</v>
      </c>
      <c r="C71" s="7" t="s">
        <v>2017</v>
      </c>
      <c r="D71" s="7" t="s">
        <v>283</v>
      </c>
      <c r="E71" s="7" t="s">
        <v>19</v>
      </c>
      <c r="F71" s="7" t="s">
        <v>20</v>
      </c>
      <c r="G71" s="28" t="s">
        <v>2027</v>
      </c>
      <c r="J71" s="7" t="s">
        <v>2006</v>
      </c>
      <c r="M71" s="6">
        <v>44781</v>
      </c>
      <c r="O71" s="7" t="s">
        <v>104</v>
      </c>
      <c r="P71" s="7" t="s">
        <v>175</v>
      </c>
      <c r="Q71" s="7" t="s">
        <v>34</v>
      </c>
      <c r="R71" s="7" t="s">
        <v>24</v>
      </c>
      <c r="S71" s="7" t="s">
        <v>299</v>
      </c>
      <c r="T71" s="7" t="s">
        <v>244</v>
      </c>
      <c r="U71" s="7" t="s">
        <v>300</v>
      </c>
      <c r="V71" s="7" t="s">
        <v>286</v>
      </c>
      <c r="X71" s="2" t="str">
        <f>HYPERLINK("https://hsdes.intel.com/resource/14013158547","14013158547")</f>
        <v>14013158547</v>
      </c>
    </row>
    <row r="72" spans="1:24" x14ac:dyDescent="0.3">
      <c r="A72" s="2" t="str">
        <f>HYPERLINK("https://hsdes.intel.com/resource/14013161602","14013161602")</f>
        <v>14013161602</v>
      </c>
      <c r="B72" s="7" t="s">
        <v>301</v>
      </c>
      <c r="C72" s="7" t="s">
        <v>2017</v>
      </c>
      <c r="D72" s="7" t="s">
        <v>283</v>
      </c>
      <c r="E72" s="7" t="s">
        <v>19</v>
      </c>
      <c r="F72" s="7" t="s">
        <v>20</v>
      </c>
      <c r="G72" s="28" t="s">
        <v>2027</v>
      </c>
      <c r="J72" s="7" t="s">
        <v>2006</v>
      </c>
      <c r="L72" s="7" t="s">
        <v>288</v>
      </c>
      <c r="M72" s="6">
        <v>44781</v>
      </c>
      <c r="O72" s="7" t="s">
        <v>104</v>
      </c>
      <c r="P72" s="7" t="s">
        <v>175</v>
      </c>
      <c r="Q72" s="7" t="s">
        <v>34</v>
      </c>
      <c r="R72" s="7" t="s">
        <v>24</v>
      </c>
      <c r="S72" s="7" t="s">
        <v>302</v>
      </c>
      <c r="T72" s="7" t="s">
        <v>244</v>
      </c>
      <c r="U72" s="7" t="s">
        <v>303</v>
      </c>
      <c r="V72" s="7" t="s">
        <v>286</v>
      </c>
      <c r="X72" s="2" t="str">
        <f>HYPERLINK("https://hsdes.intel.com/resource/14013161602","14013161602")</f>
        <v>14013161602</v>
      </c>
    </row>
    <row r="73" spans="1:24" x14ac:dyDescent="0.3">
      <c r="A73" s="2" t="str">
        <f>HYPERLINK("https://hsdes.intel.com/resource/14013157230","14013157230")</f>
        <v>14013157230</v>
      </c>
      <c r="B73" s="7" t="s">
        <v>304</v>
      </c>
      <c r="C73" s="7" t="s">
        <v>2017</v>
      </c>
      <c r="D73" s="7" t="s">
        <v>283</v>
      </c>
      <c r="E73" s="7" t="s">
        <v>19</v>
      </c>
      <c r="F73" s="7" t="s">
        <v>20</v>
      </c>
      <c r="G73" s="28" t="s">
        <v>2027</v>
      </c>
      <c r="J73" s="7" t="s">
        <v>2006</v>
      </c>
      <c r="M73" s="6">
        <v>44781</v>
      </c>
      <c r="O73" s="7" t="s">
        <v>32</v>
      </c>
      <c r="P73" s="7" t="s">
        <v>175</v>
      </c>
      <c r="Q73" s="7" t="s">
        <v>34</v>
      </c>
      <c r="R73" s="7" t="s">
        <v>24</v>
      </c>
      <c r="S73" s="7" t="s">
        <v>305</v>
      </c>
      <c r="T73" s="7" t="s">
        <v>244</v>
      </c>
      <c r="U73" s="7" t="s">
        <v>306</v>
      </c>
      <c r="V73" s="7" t="s">
        <v>286</v>
      </c>
      <c r="X73" s="2" t="str">
        <f>HYPERLINK("https://hsdes.intel.com/resource/14013157230","14013157230")</f>
        <v>14013157230</v>
      </c>
    </row>
    <row r="74" spans="1:24" x14ac:dyDescent="0.3">
      <c r="A74" s="2" t="str">
        <f>HYPERLINK("https://hsdes.intel.com/resource/14013162869","14013162869")</f>
        <v>14013162869</v>
      </c>
      <c r="B74" s="7" t="s">
        <v>307</v>
      </c>
      <c r="C74" s="7" t="s">
        <v>2017</v>
      </c>
      <c r="D74" s="7" t="s">
        <v>77</v>
      </c>
      <c r="E74" s="7" t="s">
        <v>19</v>
      </c>
      <c r="F74" s="7" t="s">
        <v>20</v>
      </c>
      <c r="G74" s="28" t="s">
        <v>2027</v>
      </c>
      <c r="J74" s="7" t="s">
        <v>31</v>
      </c>
      <c r="M74" s="6"/>
      <c r="O74" s="7" t="s">
        <v>32</v>
      </c>
      <c r="P74" s="7" t="s">
        <v>78</v>
      </c>
      <c r="Q74" s="7" t="s">
        <v>34</v>
      </c>
      <c r="R74" s="7" t="s">
        <v>24</v>
      </c>
      <c r="S74" s="7" t="s">
        <v>308</v>
      </c>
      <c r="T74" s="7" t="s">
        <v>244</v>
      </c>
      <c r="U74" s="7" t="s">
        <v>309</v>
      </c>
      <c r="V74" s="7" t="s">
        <v>81</v>
      </c>
      <c r="X74" s="2" t="str">
        <f>HYPERLINK("https://hsdes.intel.com/resource/14013162869","14013162869")</f>
        <v>14013162869</v>
      </c>
    </row>
    <row r="75" spans="1:24" x14ac:dyDescent="0.3">
      <c r="A75" s="2" t="str">
        <f>HYPERLINK("https://hsdes.intel.com/resource/14013157057","14013157057")</f>
        <v>14013157057</v>
      </c>
      <c r="B75" s="7" t="s">
        <v>310</v>
      </c>
      <c r="C75" s="7" t="s">
        <v>2017</v>
      </c>
      <c r="D75" s="7" t="s">
        <v>77</v>
      </c>
      <c r="E75" s="7" t="s">
        <v>19</v>
      </c>
      <c r="F75" s="7" t="s">
        <v>20</v>
      </c>
      <c r="G75" s="28" t="s">
        <v>2027</v>
      </c>
      <c r="J75" s="7" t="s">
        <v>31</v>
      </c>
      <c r="M75" s="6"/>
      <c r="O75" s="7" t="s">
        <v>32</v>
      </c>
      <c r="P75" s="7" t="s">
        <v>78</v>
      </c>
      <c r="Q75" s="7" t="s">
        <v>34</v>
      </c>
      <c r="R75" s="7" t="s">
        <v>24</v>
      </c>
      <c r="S75" s="7" t="s">
        <v>311</v>
      </c>
      <c r="T75" s="7" t="s">
        <v>45</v>
      </c>
      <c r="U75" s="7" t="s">
        <v>312</v>
      </c>
      <c r="V75" s="7" t="s">
        <v>81</v>
      </c>
      <c r="X75" s="2" t="str">
        <f>HYPERLINK("https://hsdes.intel.com/resource/14013157057","14013157057")</f>
        <v>14013157057</v>
      </c>
    </row>
    <row r="76" spans="1:24" x14ac:dyDescent="0.3">
      <c r="A76" s="2" t="str">
        <f>HYPERLINK("https://hsdes.intel.com/resource/14013156894","14013156894")</f>
        <v>14013156894</v>
      </c>
      <c r="B76" s="7" t="s">
        <v>2012</v>
      </c>
      <c r="C76" s="7" t="s">
        <v>2017</v>
      </c>
      <c r="D76" s="7" t="s">
        <v>77</v>
      </c>
      <c r="E76" s="7" t="s">
        <v>19</v>
      </c>
      <c r="F76" s="7" t="s">
        <v>20</v>
      </c>
      <c r="G76" s="28" t="s">
        <v>2027</v>
      </c>
      <c r="J76" s="7" t="s">
        <v>1974</v>
      </c>
      <c r="M76" s="6">
        <v>44781</v>
      </c>
      <c r="O76" s="7" t="s">
        <v>32</v>
      </c>
      <c r="P76" s="7" t="s">
        <v>78</v>
      </c>
      <c r="Q76" s="7" t="s">
        <v>34</v>
      </c>
      <c r="R76" s="7" t="s">
        <v>24</v>
      </c>
      <c r="S76" s="7" t="s">
        <v>313</v>
      </c>
      <c r="T76" s="7" t="s">
        <v>45</v>
      </c>
      <c r="U76" s="7" t="s">
        <v>314</v>
      </c>
      <c r="V76" s="7" t="s">
        <v>81</v>
      </c>
      <c r="X76" s="2" t="str">
        <f>HYPERLINK("https://hsdes.intel.com/resource/14013156894","14013156894")</f>
        <v>14013156894</v>
      </c>
    </row>
    <row r="77" spans="1:24" x14ac:dyDescent="0.3">
      <c r="A77" s="2" t="str">
        <f>HYPERLINK("https://hsdes.intel.com/resource/14013185758","14013185758")</f>
        <v>14013185758</v>
      </c>
      <c r="B77" s="7" t="s">
        <v>315</v>
      </c>
      <c r="C77" s="7" t="s">
        <v>2017</v>
      </c>
      <c r="D77" s="7" t="s">
        <v>18</v>
      </c>
      <c r="E77" s="7" t="s">
        <v>19</v>
      </c>
      <c r="F77" s="7" t="s">
        <v>20</v>
      </c>
      <c r="G77" s="28" t="s">
        <v>2027</v>
      </c>
      <c r="J77" s="7" t="s">
        <v>2004</v>
      </c>
      <c r="M77" s="6">
        <v>44784</v>
      </c>
      <c r="O77" s="7" t="s">
        <v>104</v>
      </c>
      <c r="P77" s="7" t="s">
        <v>22</v>
      </c>
      <c r="Q77" s="7" t="s">
        <v>34</v>
      </c>
      <c r="R77" s="7" t="s">
        <v>24</v>
      </c>
      <c r="S77" s="7" t="s">
        <v>316</v>
      </c>
      <c r="T77" s="7" t="s">
        <v>116</v>
      </c>
      <c r="U77" s="7" t="s">
        <v>317</v>
      </c>
      <c r="V77" s="7" t="s">
        <v>28</v>
      </c>
      <c r="X77" s="2" t="str">
        <f>HYPERLINK("https://hsdes.intel.com/resource/14013185758","14013185758")</f>
        <v>14013185758</v>
      </c>
    </row>
    <row r="78" spans="1:24" x14ac:dyDescent="0.3">
      <c r="A78" s="2" t="str">
        <f>HYPERLINK("https://hsdes.intel.com/resource/14013158803","14013158803")</f>
        <v>14013158803</v>
      </c>
      <c r="B78" s="7" t="s">
        <v>318</v>
      </c>
      <c r="C78" s="7" t="s">
        <v>2017</v>
      </c>
      <c r="D78" s="7" t="s">
        <v>18</v>
      </c>
      <c r="E78" s="7" t="s">
        <v>19</v>
      </c>
      <c r="F78" s="7" t="s">
        <v>20</v>
      </c>
      <c r="G78" s="28" t="s">
        <v>2027</v>
      </c>
      <c r="J78" s="7" t="s">
        <v>2004</v>
      </c>
      <c r="M78" s="6">
        <v>44784</v>
      </c>
      <c r="O78" s="7" t="s">
        <v>104</v>
      </c>
      <c r="P78" s="7" t="s">
        <v>22</v>
      </c>
      <c r="Q78" s="7" t="s">
        <v>34</v>
      </c>
      <c r="R78" s="7" t="s">
        <v>24</v>
      </c>
      <c r="S78" s="7" t="s">
        <v>319</v>
      </c>
      <c r="T78" s="7" t="s">
        <v>116</v>
      </c>
      <c r="U78" s="7" t="s">
        <v>320</v>
      </c>
      <c r="V78" s="7" t="s">
        <v>28</v>
      </c>
      <c r="X78" s="2" t="str">
        <f>HYPERLINK("https://hsdes.intel.com/resource/14013158803","14013158803")</f>
        <v>14013158803</v>
      </c>
    </row>
    <row r="79" spans="1:24" x14ac:dyDescent="0.3">
      <c r="A79" s="2" t="str">
        <f>HYPERLINK("https://hsdes.intel.com/resource/14013185828","14013185828")</f>
        <v>14013185828</v>
      </c>
      <c r="B79" s="7" t="s">
        <v>321</v>
      </c>
      <c r="C79" s="7" t="s">
        <v>2017</v>
      </c>
      <c r="D79" s="7" t="s">
        <v>257</v>
      </c>
      <c r="E79" s="7" t="s">
        <v>19</v>
      </c>
      <c r="F79" s="7" t="s">
        <v>20</v>
      </c>
      <c r="G79" s="28" t="s">
        <v>2027</v>
      </c>
      <c r="J79" s="7" t="s">
        <v>1974</v>
      </c>
      <c r="M79" s="6">
        <v>44781</v>
      </c>
      <c r="O79" s="7" t="s">
        <v>32</v>
      </c>
      <c r="P79" s="7" t="s">
        <v>163</v>
      </c>
      <c r="Q79" s="7" t="s">
        <v>34</v>
      </c>
      <c r="R79" s="7" t="s">
        <v>147</v>
      </c>
      <c r="S79" s="7" t="s">
        <v>322</v>
      </c>
      <c r="T79" s="7" t="s">
        <v>205</v>
      </c>
      <c r="U79" s="7" t="s">
        <v>323</v>
      </c>
      <c r="V79" s="7" t="s">
        <v>166</v>
      </c>
      <c r="X79" s="2" t="str">
        <f>HYPERLINK("https://hsdes.intel.com/resource/14013185828","14013185828")</f>
        <v>14013185828</v>
      </c>
    </row>
    <row r="80" spans="1:24" x14ac:dyDescent="0.3">
      <c r="A80" s="2" t="str">
        <f>HYPERLINK("https://hsdes.intel.com/resource/14013185827","14013185827")</f>
        <v>14013185827</v>
      </c>
      <c r="B80" s="7" t="s">
        <v>324</v>
      </c>
      <c r="C80" s="7" t="s">
        <v>2017</v>
      </c>
      <c r="D80" s="7" t="s">
        <v>257</v>
      </c>
      <c r="E80" s="7" t="s">
        <v>19</v>
      </c>
      <c r="F80" s="7" t="s">
        <v>20</v>
      </c>
      <c r="G80" s="28" t="s">
        <v>2027</v>
      </c>
      <c r="J80" s="7" t="s">
        <v>31</v>
      </c>
      <c r="M80" s="6"/>
      <c r="O80" s="7" t="s">
        <v>104</v>
      </c>
      <c r="P80" s="7" t="s">
        <v>163</v>
      </c>
      <c r="Q80" s="7" t="s">
        <v>34</v>
      </c>
      <c r="R80" s="7" t="s">
        <v>24</v>
      </c>
      <c r="S80" s="7" t="s">
        <v>325</v>
      </c>
      <c r="T80" s="7" t="s">
        <v>326</v>
      </c>
      <c r="U80" s="7" t="s">
        <v>327</v>
      </c>
      <c r="V80" s="7" t="s">
        <v>166</v>
      </c>
      <c r="X80" s="2" t="str">
        <f>HYPERLINK("https://hsdes.intel.com/resource/14013185827","14013185827")</f>
        <v>14013185827</v>
      </c>
    </row>
    <row r="81" spans="1:24" x14ac:dyDescent="0.3">
      <c r="A81" s="2" t="str">
        <f>HYPERLINK("https://hsdes.intel.com/resource/14013185830","14013185830")</f>
        <v>14013185830</v>
      </c>
      <c r="B81" s="7" t="s">
        <v>328</v>
      </c>
      <c r="C81" s="7" t="s">
        <v>2017</v>
      </c>
      <c r="D81" s="7" t="s">
        <v>257</v>
      </c>
      <c r="E81" s="7" t="s">
        <v>19</v>
      </c>
      <c r="F81" s="7" t="s">
        <v>20</v>
      </c>
      <c r="G81" s="28" t="s">
        <v>2027</v>
      </c>
      <c r="J81" s="7" t="s">
        <v>1974</v>
      </c>
      <c r="L81" s="7" t="s">
        <v>2019</v>
      </c>
      <c r="M81" s="6">
        <v>44781</v>
      </c>
      <c r="O81" s="7" t="s">
        <v>104</v>
      </c>
      <c r="P81" s="7" t="s">
        <v>163</v>
      </c>
      <c r="Q81" s="7" t="s">
        <v>34</v>
      </c>
      <c r="R81" s="7" t="s">
        <v>147</v>
      </c>
      <c r="S81" s="7" t="s">
        <v>329</v>
      </c>
      <c r="T81" s="7" t="s">
        <v>326</v>
      </c>
      <c r="U81" s="7" t="s">
        <v>330</v>
      </c>
      <c r="V81" s="7" t="s">
        <v>166</v>
      </c>
      <c r="X81" s="2" t="str">
        <f>HYPERLINK("https://hsdes.intel.com/resource/14013185830","14013185830")</f>
        <v>14013185830</v>
      </c>
    </row>
    <row r="82" spans="1:24" x14ac:dyDescent="0.3">
      <c r="A82" s="2" t="str">
        <f>HYPERLINK("https://hsdes.intel.com/resource/14013185826","14013185826")</f>
        <v>14013185826</v>
      </c>
      <c r="B82" s="7" t="s">
        <v>331</v>
      </c>
      <c r="C82" s="7" t="s">
        <v>2017</v>
      </c>
      <c r="D82" s="7" t="s">
        <v>257</v>
      </c>
      <c r="E82" s="7" t="s">
        <v>19</v>
      </c>
      <c r="F82" s="7" t="s">
        <v>20</v>
      </c>
      <c r="G82" s="28" t="s">
        <v>2027</v>
      </c>
      <c r="J82" s="7" t="s">
        <v>31</v>
      </c>
      <c r="M82" s="6"/>
      <c r="O82" s="7" t="s">
        <v>104</v>
      </c>
      <c r="P82" s="7" t="s">
        <v>163</v>
      </c>
      <c r="Q82" s="7" t="s">
        <v>34</v>
      </c>
      <c r="R82" s="7" t="s">
        <v>24</v>
      </c>
      <c r="S82" s="7" t="s">
        <v>332</v>
      </c>
      <c r="T82" s="7" t="s">
        <v>326</v>
      </c>
      <c r="U82" s="7" t="s">
        <v>333</v>
      </c>
      <c r="V82" s="7" t="s">
        <v>166</v>
      </c>
      <c r="X82" s="2" t="str">
        <f>HYPERLINK("https://hsdes.intel.com/resource/14013185826","14013185826")</f>
        <v>14013185826</v>
      </c>
    </row>
    <row r="83" spans="1:24" x14ac:dyDescent="0.3">
      <c r="A83" s="2" t="str">
        <f>HYPERLINK("https://hsdes.intel.com/resource/14013185392","14013185392")</f>
        <v>14013185392</v>
      </c>
      <c r="B83" s="7" t="s">
        <v>334</v>
      </c>
      <c r="C83" s="7" t="s">
        <v>1975</v>
      </c>
      <c r="D83" s="7" t="s">
        <v>18</v>
      </c>
      <c r="E83" s="7" t="s">
        <v>19</v>
      </c>
      <c r="F83" s="7" t="s">
        <v>20</v>
      </c>
      <c r="G83" s="28" t="s">
        <v>2027</v>
      </c>
      <c r="J83" s="7" t="s">
        <v>1974</v>
      </c>
      <c r="L83" s="7" t="s">
        <v>335</v>
      </c>
      <c r="M83" s="6"/>
      <c r="O83" s="7" t="s">
        <v>104</v>
      </c>
      <c r="P83" s="7" t="s">
        <v>22</v>
      </c>
      <c r="Q83" s="7" t="s">
        <v>34</v>
      </c>
      <c r="R83" s="7" t="s">
        <v>24</v>
      </c>
      <c r="S83" s="7" t="s">
        <v>336</v>
      </c>
      <c r="T83" s="7" t="s">
        <v>337</v>
      </c>
      <c r="U83" s="7" t="s">
        <v>338</v>
      </c>
      <c r="V83" s="7" t="s">
        <v>28</v>
      </c>
      <c r="X83" s="2" t="str">
        <f>HYPERLINK("https://hsdes.intel.com/resource/14013185392","14013185392")</f>
        <v>14013185392</v>
      </c>
    </row>
    <row r="84" spans="1:24" x14ac:dyDescent="0.3">
      <c r="A84" s="2" t="str">
        <f>HYPERLINK("https://hsdes.intel.com/resource/14013185729","14013185729")</f>
        <v>14013185729</v>
      </c>
      <c r="B84" s="7" t="s">
        <v>339</v>
      </c>
      <c r="C84" s="7" t="s">
        <v>2017</v>
      </c>
      <c r="D84" s="7" t="s">
        <v>257</v>
      </c>
      <c r="E84" s="7" t="s">
        <v>19</v>
      </c>
      <c r="F84" s="7" t="s">
        <v>20</v>
      </c>
      <c r="G84" s="28" t="s">
        <v>2027</v>
      </c>
      <c r="J84" s="7" t="s">
        <v>31</v>
      </c>
      <c r="M84" s="6"/>
      <c r="O84" s="7" t="s">
        <v>32</v>
      </c>
      <c r="P84" s="7" t="s">
        <v>163</v>
      </c>
      <c r="Q84" s="7" t="s">
        <v>34</v>
      </c>
      <c r="R84" s="7" t="s">
        <v>24</v>
      </c>
      <c r="S84" s="7" t="s">
        <v>340</v>
      </c>
      <c r="T84" s="7" t="s">
        <v>205</v>
      </c>
      <c r="U84" s="7" t="s">
        <v>341</v>
      </c>
      <c r="V84" s="7" t="s">
        <v>166</v>
      </c>
      <c r="X84" s="2" t="str">
        <f>HYPERLINK("https://hsdes.intel.com/resource/14013185729","14013185729")</f>
        <v>14013185729</v>
      </c>
    </row>
    <row r="85" spans="1:24" x14ac:dyDescent="0.3">
      <c r="A85" s="2" t="str">
        <f>HYPERLINK("https://hsdes.intel.com/resource/14013185732","14013185732")</f>
        <v>14013185732</v>
      </c>
      <c r="B85" s="7" t="s">
        <v>342</v>
      </c>
      <c r="C85" s="7" t="s">
        <v>2017</v>
      </c>
      <c r="D85" s="7" t="s">
        <v>257</v>
      </c>
      <c r="E85" s="7" t="s">
        <v>19</v>
      </c>
      <c r="F85" s="7" t="s">
        <v>20</v>
      </c>
      <c r="G85" s="28" t="s">
        <v>2027</v>
      </c>
      <c r="J85" s="7" t="s">
        <v>31</v>
      </c>
      <c r="M85" s="6"/>
      <c r="O85" s="7" t="s">
        <v>32</v>
      </c>
      <c r="P85" s="7" t="s">
        <v>163</v>
      </c>
      <c r="Q85" s="7" t="s">
        <v>34</v>
      </c>
      <c r="R85" s="7" t="s">
        <v>24</v>
      </c>
      <c r="S85" s="7" t="s">
        <v>343</v>
      </c>
      <c r="T85" s="7" t="s">
        <v>326</v>
      </c>
      <c r="U85" s="7" t="s">
        <v>344</v>
      </c>
      <c r="V85" s="7" t="s">
        <v>166</v>
      </c>
      <c r="X85" s="2" t="str">
        <f>HYPERLINK("https://hsdes.intel.com/resource/14013185732","14013185732")</f>
        <v>14013185732</v>
      </c>
    </row>
    <row r="86" spans="1:24" x14ac:dyDescent="0.3">
      <c r="A86" s="2" t="str">
        <f>HYPERLINK("https://hsdes.intel.com/resource/14013115435","14013115435")</f>
        <v>14013115435</v>
      </c>
      <c r="B86" s="7" t="s">
        <v>345</v>
      </c>
      <c r="C86" s="7" t="s">
        <v>2017</v>
      </c>
      <c r="D86" s="7" t="s">
        <v>257</v>
      </c>
      <c r="E86" s="7" t="s">
        <v>19</v>
      </c>
      <c r="F86" s="7" t="s">
        <v>20</v>
      </c>
      <c r="G86" s="28" t="s">
        <v>2027</v>
      </c>
      <c r="J86" s="7" t="s">
        <v>1974</v>
      </c>
      <c r="M86" s="6">
        <v>44781</v>
      </c>
      <c r="O86" s="7" t="s">
        <v>21</v>
      </c>
      <c r="P86" s="7" t="s">
        <v>163</v>
      </c>
      <c r="Q86" s="7" t="s">
        <v>34</v>
      </c>
      <c r="R86" s="7" t="s">
        <v>24</v>
      </c>
      <c r="S86" s="7" t="s">
        <v>346</v>
      </c>
      <c r="T86" s="7" t="s">
        <v>205</v>
      </c>
      <c r="U86" s="7" t="s">
        <v>347</v>
      </c>
      <c r="V86" s="7" t="s">
        <v>166</v>
      </c>
      <c r="X86" s="2" t="str">
        <f>HYPERLINK("https://hsdes.intel.com/resource/14013115435","14013115435")</f>
        <v>14013115435</v>
      </c>
    </row>
    <row r="87" spans="1:24" x14ac:dyDescent="0.3">
      <c r="A87" s="2" t="str">
        <f>HYPERLINK("https://hsdes.intel.com/resource/14013185824","14013185824")</f>
        <v>14013185824</v>
      </c>
      <c r="B87" s="7" t="s">
        <v>348</v>
      </c>
      <c r="C87" s="7" t="s">
        <v>2017</v>
      </c>
      <c r="D87" s="7" t="s">
        <v>257</v>
      </c>
      <c r="E87" s="7" t="s">
        <v>19</v>
      </c>
      <c r="F87" s="7" t="s">
        <v>20</v>
      </c>
      <c r="G87" s="28" t="s">
        <v>2027</v>
      </c>
      <c r="J87" s="7" t="s">
        <v>1974</v>
      </c>
      <c r="M87" s="6">
        <v>44781</v>
      </c>
      <c r="O87" s="7" t="s">
        <v>104</v>
      </c>
      <c r="P87" s="7" t="s">
        <v>163</v>
      </c>
      <c r="Q87" s="7" t="s">
        <v>34</v>
      </c>
      <c r="R87" s="7" t="s">
        <v>24</v>
      </c>
      <c r="S87" s="7" t="s">
        <v>349</v>
      </c>
      <c r="T87" s="7" t="s">
        <v>326</v>
      </c>
      <c r="U87" s="7" t="s">
        <v>350</v>
      </c>
      <c r="V87" s="7" t="s">
        <v>166</v>
      </c>
      <c r="X87" s="2" t="str">
        <f>HYPERLINK("https://hsdes.intel.com/resource/14013185824","14013185824")</f>
        <v>14013185824</v>
      </c>
    </row>
    <row r="88" spans="1:24" x14ac:dyDescent="0.3">
      <c r="A88" s="2" t="str">
        <f>HYPERLINK("https://hsdes.intel.com/resource/22011843490","22011843490")</f>
        <v>22011843490</v>
      </c>
      <c r="B88" s="7" t="s">
        <v>351</v>
      </c>
      <c r="C88" s="7" t="s">
        <v>2017</v>
      </c>
      <c r="D88" s="7" t="s">
        <v>257</v>
      </c>
      <c r="E88" s="7" t="s">
        <v>19</v>
      </c>
      <c r="F88" s="7" t="s">
        <v>20</v>
      </c>
      <c r="G88" s="28" t="s">
        <v>2027</v>
      </c>
      <c r="J88" s="7" t="s">
        <v>31</v>
      </c>
      <c r="M88" s="6"/>
      <c r="O88" s="7" t="s">
        <v>32</v>
      </c>
      <c r="P88" s="7" t="s">
        <v>163</v>
      </c>
      <c r="Q88" s="7" t="s">
        <v>34</v>
      </c>
      <c r="R88" s="7" t="s">
        <v>24</v>
      </c>
      <c r="S88" s="7" t="s">
        <v>352</v>
      </c>
      <c r="T88" s="7" t="s">
        <v>205</v>
      </c>
      <c r="U88" s="7" t="s">
        <v>353</v>
      </c>
      <c r="V88" s="7" t="s">
        <v>166</v>
      </c>
      <c r="X88" s="2" t="str">
        <f>HYPERLINK("https://hsdes.intel.com/resource/22011843490","22011843490")</f>
        <v>22011843490</v>
      </c>
    </row>
    <row r="89" spans="1:24" x14ac:dyDescent="0.3">
      <c r="A89" s="2" t="str">
        <f>HYPERLINK("https://hsdes.intel.com/resource/22011843494","22011843494")</f>
        <v>22011843494</v>
      </c>
      <c r="B89" s="7" t="s">
        <v>354</v>
      </c>
      <c r="C89" s="7" t="s">
        <v>2017</v>
      </c>
      <c r="D89" s="7" t="s">
        <v>257</v>
      </c>
      <c r="E89" s="7" t="s">
        <v>19</v>
      </c>
      <c r="F89" s="7" t="s">
        <v>20</v>
      </c>
      <c r="G89" s="28" t="s">
        <v>2027</v>
      </c>
      <c r="J89" s="7" t="s">
        <v>31</v>
      </c>
      <c r="M89" s="6"/>
      <c r="O89" s="7" t="s">
        <v>32</v>
      </c>
      <c r="P89" s="7" t="s">
        <v>163</v>
      </c>
      <c r="Q89" s="7" t="s">
        <v>34</v>
      </c>
      <c r="R89" s="7" t="s">
        <v>24</v>
      </c>
      <c r="S89" s="7" t="s">
        <v>355</v>
      </c>
      <c r="T89" s="7" t="s">
        <v>205</v>
      </c>
      <c r="U89" s="7" t="s">
        <v>356</v>
      </c>
      <c r="V89" s="7" t="s">
        <v>166</v>
      </c>
      <c r="X89" s="2" t="str">
        <f>HYPERLINK("https://hsdes.intel.com/resource/22011843494","22011843494")</f>
        <v>22011843494</v>
      </c>
    </row>
    <row r="90" spans="1:24" x14ac:dyDescent="0.3">
      <c r="A90" s="4">
        <v>16013677643</v>
      </c>
      <c r="B90" s="7" t="s">
        <v>357</v>
      </c>
      <c r="C90" s="7" t="s">
        <v>2017</v>
      </c>
      <c r="D90" s="7" t="s">
        <v>18</v>
      </c>
      <c r="E90" s="7" t="s">
        <v>122</v>
      </c>
      <c r="F90" s="7" t="s">
        <v>20</v>
      </c>
      <c r="G90" s="28" t="s">
        <v>2027</v>
      </c>
      <c r="J90" s="7" t="s">
        <v>2004</v>
      </c>
      <c r="L90" s="7" t="s">
        <v>358</v>
      </c>
      <c r="M90" s="6">
        <v>44784</v>
      </c>
      <c r="O90" s="7" t="s">
        <v>32</v>
      </c>
      <c r="P90" s="7" t="s">
        <v>22</v>
      </c>
      <c r="Q90" s="7" t="s">
        <v>34</v>
      </c>
      <c r="R90" s="7" t="s">
        <v>24</v>
      </c>
      <c r="S90" s="7" t="s">
        <v>359</v>
      </c>
      <c r="T90" s="7" t="s">
        <v>360</v>
      </c>
      <c r="U90" s="7" t="s">
        <v>361</v>
      </c>
      <c r="V90" s="7" t="s">
        <v>28</v>
      </c>
      <c r="X90" s="4">
        <v>16013677643</v>
      </c>
    </row>
    <row r="91" spans="1:24" x14ac:dyDescent="0.3">
      <c r="A91" s="2" t="str">
        <f>HYPERLINK("https://hsdes.intel.com/resource/14013163390","14013163390")</f>
        <v>14013163390</v>
      </c>
      <c r="B91" s="7" t="s">
        <v>362</v>
      </c>
      <c r="C91" s="7" t="s">
        <v>2017</v>
      </c>
      <c r="D91" s="7" t="s">
        <v>18</v>
      </c>
      <c r="E91" s="7" t="s">
        <v>19</v>
      </c>
      <c r="F91" s="7" t="s">
        <v>20</v>
      </c>
      <c r="G91" s="28" t="s">
        <v>2027</v>
      </c>
      <c r="J91" s="7" t="s">
        <v>2004</v>
      </c>
      <c r="M91" s="6">
        <v>44784</v>
      </c>
      <c r="O91" s="7" t="s">
        <v>21</v>
      </c>
      <c r="P91" s="7" t="s">
        <v>22</v>
      </c>
      <c r="Q91" s="7" t="s">
        <v>34</v>
      </c>
      <c r="R91" s="7" t="s">
        <v>24</v>
      </c>
      <c r="S91" s="7" t="s">
        <v>359</v>
      </c>
      <c r="T91" s="7" t="s">
        <v>360</v>
      </c>
      <c r="U91" s="7" t="s">
        <v>363</v>
      </c>
      <c r="V91" s="7" t="s">
        <v>28</v>
      </c>
      <c r="X91" s="2" t="str">
        <f>HYPERLINK("https://hsdes.intel.com/resource/14013163390","14013163390")</f>
        <v>14013163390</v>
      </c>
    </row>
    <row r="92" spans="1:24" x14ac:dyDescent="0.3">
      <c r="A92" s="2" t="str">
        <f>HYPERLINK("https://hsdes.intel.com/resource/16013676942","16013676942")</f>
        <v>16013676942</v>
      </c>
      <c r="B92" s="7" t="s">
        <v>364</v>
      </c>
      <c r="C92" s="7" t="s">
        <v>2017</v>
      </c>
      <c r="D92" s="7" t="s">
        <v>18</v>
      </c>
      <c r="E92" s="7" t="s">
        <v>122</v>
      </c>
      <c r="F92" s="7" t="s">
        <v>20</v>
      </c>
      <c r="G92" s="28" t="s">
        <v>2027</v>
      </c>
      <c r="J92" s="7" t="s">
        <v>2004</v>
      </c>
      <c r="L92" s="10" t="s">
        <v>358</v>
      </c>
      <c r="M92" s="6">
        <v>44784</v>
      </c>
      <c r="O92" s="7" t="s">
        <v>32</v>
      </c>
      <c r="P92" s="7" t="s">
        <v>22</v>
      </c>
      <c r="Q92" s="7" t="s">
        <v>34</v>
      </c>
      <c r="R92" s="7" t="s">
        <v>24</v>
      </c>
      <c r="S92" s="7" t="s">
        <v>365</v>
      </c>
      <c r="T92" s="7" t="s">
        <v>360</v>
      </c>
      <c r="U92" s="7" t="s">
        <v>366</v>
      </c>
      <c r="V92" s="7" t="s">
        <v>28</v>
      </c>
      <c r="X92" s="2" t="str">
        <f>HYPERLINK("https://hsdes.intel.com/resource/16013676942","16013676942")</f>
        <v>16013676942</v>
      </c>
    </row>
    <row r="93" spans="1:24" x14ac:dyDescent="0.3">
      <c r="A93" s="2" t="str">
        <f>HYPERLINK("https://hsdes.intel.com/resource/14013163393","14013163393")</f>
        <v>14013163393</v>
      </c>
      <c r="B93" s="7" t="s">
        <v>367</v>
      </c>
      <c r="C93" s="7" t="s">
        <v>2017</v>
      </c>
      <c r="D93" s="7" t="s">
        <v>18</v>
      </c>
      <c r="E93" s="7" t="s">
        <v>19</v>
      </c>
      <c r="F93" s="7" t="s">
        <v>20</v>
      </c>
      <c r="G93" s="28" t="s">
        <v>2027</v>
      </c>
      <c r="J93" s="7" t="s">
        <v>2004</v>
      </c>
      <c r="M93" s="6">
        <v>44784</v>
      </c>
      <c r="O93" s="7" t="s">
        <v>104</v>
      </c>
      <c r="P93" s="7" t="s">
        <v>22</v>
      </c>
      <c r="Q93" s="7" t="s">
        <v>34</v>
      </c>
      <c r="R93" s="7" t="s">
        <v>24</v>
      </c>
      <c r="S93" s="7" t="s">
        <v>365</v>
      </c>
      <c r="T93" s="7" t="s">
        <v>360</v>
      </c>
      <c r="U93" s="7" t="s">
        <v>368</v>
      </c>
      <c r="V93" s="7" t="s">
        <v>28</v>
      </c>
      <c r="X93" s="2" t="str">
        <f>HYPERLINK("https://hsdes.intel.com/resource/14013163393","14013163393")</f>
        <v>14013163393</v>
      </c>
    </row>
    <row r="94" spans="1:24" x14ac:dyDescent="0.3">
      <c r="A94" s="2" t="str">
        <f>HYPERLINK("https://hsdes.intel.com/resource/14013163402","14013163402")</f>
        <v>14013163402</v>
      </c>
      <c r="B94" s="7" t="s">
        <v>369</v>
      </c>
      <c r="C94" s="7" t="s">
        <v>2017</v>
      </c>
      <c r="D94" s="7" t="s">
        <v>18</v>
      </c>
      <c r="E94" s="7" t="s">
        <v>19</v>
      </c>
      <c r="F94" s="7" t="s">
        <v>20</v>
      </c>
      <c r="G94" s="28" t="s">
        <v>2027</v>
      </c>
      <c r="J94" s="7" t="s">
        <v>2004</v>
      </c>
      <c r="L94" s="10"/>
      <c r="M94" s="6">
        <v>44784</v>
      </c>
      <c r="O94" s="7" t="s">
        <v>32</v>
      </c>
      <c r="P94" s="7" t="s">
        <v>22</v>
      </c>
      <c r="Q94" s="7" t="s">
        <v>34</v>
      </c>
      <c r="R94" s="7" t="s">
        <v>24</v>
      </c>
      <c r="S94" s="7" t="s">
        <v>370</v>
      </c>
      <c r="T94" s="7" t="s">
        <v>360</v>
      </c>
      <c r="U94" s="7" t="s">
        <v>371</v>
      </c>
      <c r="V94" s="7" t="s">
        <v>28</v>
      </c>
      <c r="X94" s="2" t="str">
        <f>HYPERLINK("https://hsdes.intel.com/resource/14013163402","14013163402")</f>
        <v>14013163402</v>
      </c>
    </row>
    <row r="95" spans="1:24" x14ac:dyDescent="0.3">
      <c r="A95" s="2" t="str">
        <f>HYPERLINK("https://hsdes.intel.com/resource/14013163371","14013163371")</f>
        <v>14013163371</v>
      </c>
      <c r="B95" t="s">
        <v>2013</v>
      </c>
      <c r="C95" s="7" t="s">
        <v>2017</v>
      </c>
      <c r="D95" s="7" t="s">
        <v>18</v>
      </c>
      <c r="E95" s="7" t="s">
        <v>19</v>
      </c>
      <c r="F95" s="7" t="s">
        <v>20</v>
      </c>
      <c r="G95" s="28" t="s">
        <v>2027</v>
      </c>
      <c r="J95" s="7" t="s">
        <v>2004</v>
      </c>
      <c r="M95" s="6">
        <v>44784</v>
      </c>
      <c r="O95" s="7" t="s">
        <v>104</v>
      </c>
      <c r="P95" s="7" t="s">
        <v>22</v>
      </c>
      <c r="Q95" s="7" t="s">
        <v>34</v>
      </c>
      <c r="R95" s="7" t="s">
        <v>24</v>
      </c>
      <c r="S95" s="7" t="s">
        <v>372</v>
      </c>
      <c r="T95" s="7" t="s">
        <v>360</v>
      </c>
      <c r="U95" s="7" t="s">
        <v>373</v>
      </c>
      <c r="V95" s="7" t="s">
        <v>28</v>
      </c>
      <c r="X95" s="5" t="str">
        <f>HYPERLINK("https://hsdes.intel.com/resource/14013163371","14013163371")</f>
        <v>14013163371</v>
      </c>
    </row>
    <row r="96" spans="1:24" x14ac:dyDescent="0.3">
      <c r="A96" s="2" t="str">
        <f>HYPERLINK("https://hsdes.intel.com/resource/16013686490","16013686490")</f>
        <v>16013686490</v>
      </c>
      <c r="B96" s="7" t="s">
        <v>374</v>
      </c>
      <c r="C96" s="7" t="s">
        <v>2017</v>
      </c>
      <c r="D96" s="7" t="s">
        <v>18</v>
      </c>
      <c r="E96" s="7" t="s">
        <v>122</v>
      </c>
      <c r="F96" s="7" t="s">
        <v>20</v>
      </c>
      <c r="G96" s="28" t="s">
        <v>2027</v>
      </c>
      <c r="J96" s="7" t="s">
        <v>2004</v>
      </c>
      <c r="M96" s="6">
        <v>44784</v>
      </c>
      <c r="O96" s="7" t="s">
        <v>32</v>
      </c>
      <c r="P96" s="7" t="s">
        <v>22</v>
      </c>
      <c r="Q96" s="7" t="s">
        <v>34</v>
      </c>
      <c r="R96" s="7" t="s">
        <v>24</v>
      </c>
      <c r="S96" s="7" t="s">
        <v>375</v>
      </c>
      <c r="T96" s="7" t="s">
        <v>360</v>
      </c>
      <c r="U96" s="7" t="s">
        <v>376</v>
      </c>
      <c r="V96" s="7" t="s">
        <v>28</v>
      </c>
      <c r="X96" s="2" t="str">
        <f>HYPERLINK("https://hsdes.intel.com/resource/16013686490","16013686490")</f>
        <v>16013686490</v>
      </c>
    </row>
    <row r="97" spans="1:24" x14ac:dyDescent="0.3">
      <c r="A97" s="2" t="str">
        <f>HYPERLINK("https://hsdes.intel.com/resource/14013163332","14013163332")</f>
        <v>14013163332</v>
      </c>
      <c r="B97" s="7" t="s">
        <v>377</v>
      </c>
      <c r="C97" s="7" t="s">
        <v>2017</v>
      </c>
      <c r="D97" s="7" t="s">
        <v>18</v>
      </c>
      <c r="E97" s="7" t="s">
        <v>19</v>
      </c>
      <c r="F97" s="7" t="s">
        <v>20</v>
      </c>
      <c r="G97" s="28" t="s">
        <v>2027</v>
      </c>
      <c r="J97" s="7" t="s">
        <v>2004</v>
      </c>
      <c r="L97" s="10"/>
      <c r="M97" s="6">
        <v>44784</v>
      </c>
      <c r="O97" s="7" t="s">
        <v>21</v>
      </c>
      <c r="P97" s="7" t="s">
        <v>22</v>
      </c>
      <c r="Q97" s="7" t="s">
        <v>34</v>
      </c>
      <c r="R97" s="7" t="s">
        <v>24</v>
      </c>
      <c r="S97" s="7" t="s">
        <v>375</v>
      </c>
      <c r="T97" s="7" t="s">
        <v>360</v>
      </c>
      <c r="U97" s="7" t="s">
        <v>378</v>
      </c>
      <c r="V97" s="7" t="s">
        <v>28</v>
      </c>
      <c r="X97" s="2" t="str">
        <f>HYPERLINK("https://hsdes.intel.com/resource/14013163332","14013163332")</f>
        <v>14013163332</v>
      </c>
    </row>
    <row r="98" spans="1:24" x14ac:dyDescent="0.3">
      <c r="A98" s="2" t="str">
        <f>HYPERLINK("https://hsdes.intel.com/resource/16013681042","16013681042")</f>
        <v>16013681042</v>
      </c>
      <c r="B98" s="7" t="s">
        <v>379</v>
      </c>
      <c r="C98" s="7" t="s">
        <v>2017</v>
      </c>
      <c r="D98" s="7" t="s">
        <v>18</v>
      </c>
      <c r="E98" s="7" t="s">
        <v>122</v>
      </c>
      <c r="F98" s="7" t="s">
        <v>20</v>
      </c>
      <c r="G98" s="28" t="s">
        <v>2027</v>
      </c>
      <c r="J98" s="7" t="s">
        <v>2004</v>
      </c>
      <c r="L98" s="7" t="s">
        <v>380</v>
      </c>
      <c r="M98" s="6">
        <v>44784</v>
      </c>
      <c r="O98" s="7" t="s">
        <v>32</v>
      </c>
      <c r="P98" s="7" t="s">
        <v>22</v>
      </c>
      <c r="Q98" s="7" t="s">
        <v>34</v>
      </c>
      <c r="R98" s="7" t="s">
        <v>24</v>
      </c>
      <c r="S98" s="7" t="s">
        <v>381</v>
      </c>
      <c r="T98" s="7" t="s">
        <v>360</v>
      </c>
      <c r="U98" s="7" t="s">
        <v>382</v>
      </c>
      <c r="V98" s="7" t="s">
        <v>28</v>
      </c>
      <c r="X98" s="2" t="str">
        <f>HYPERLINK("https://hsdes.intel.com/resource/16013681042","16013681042")</f>
        <v>16013681042</v>
      </c>
    </row>
    <row r="99" spans="1:24" x14ac:dyDescent="0.3">
      <c r="A99" s="3" t="str">
        <f>HYPERLINK("https://hsdes.intel.com/resource/14013163339","14013163339")</f>
        <v>14013163339</v>
      </c>
      <c r="B99" s="7" t="s">
        <v>383</v>
      </c>
      <c r="C99" s="7" t="s">
        <v>2017</v>
      </c>
      <c r="D99" s="7" t="s">
        <v>18</v>
      </c>
      <c r="E99" s="7" t="s">
        <v>19</v>
      </c>
      <c r="F99" s="7" t="s">
        <v>20</v>
      </c>
      <c r="G99" s="28" t="s">
        <v>2027</v>
      </c>
      <c r="J99" s="7" t="s">
        <v>2004</v>
      </c>
      <c r="L99" s="10"/>
      <c r="M99" s="6">
        <v>44784</v>
      </c>
      <c r="O99" s="7" t="s">
        <v>104</v>
      </c>
      <c r="P99" s="7" t="s">
        <v>22</v>
      </c>
      <c r="Q99" s="7" t="s">
        <v>34</v>
      </c>
      <c r="R99" s="7" t="s">
        <v>24</v>
      </c>
      <c r="S99" s="7" t="s">
        <v>381</v>
      </c>
      <c r="T99" s="7" t="s">
        <v>360</v>
      </c>
      <c r="U99" s="7" t="s">
        <v>384</v>
      </c>
      <c r="V99" s="7" t="s">
        <v>28</v>
      </c>
      <c r="X99" s="3" t="str">
        <f>HYPERLINK("https://hsdes.intel.com/resource/14013163339","14013163339")</f>
        <v>14013163339</v>
      </c>
    </row>
    <row r="100" spans="1:24" x14ac:dyDescent="0.3">
      <c r="A100" s="2" t="str">
        <f>HYPERLINK("https://hsdes.intel.com/resource/14013163359","14013163359")</f>
        <v>14013163359</v>
      </c>
      <c r="B100" s="7" t="s">
        <v>385</v>
      </c>
      <c r="C100" s="7" t="s">
        <v>2017</v>
      </c>
      <c r="D100" s="7" t="s">
        <v>18</v>
      </c>
      <c r="E100" s="7" t="s">
        <v>19</v>
      </c>
      <c r="F100" s="7" t="s">
        <v>20</v>
      </c>
      <c r="G100" s="28" t="s">
        <v>2027</v>
      </c>
      <c r="J100" s="7" t="s">
        <v>2004</v>
      </c>
      <c r="M100" s="6">
        <v>44784</v>
      </c>
      <c r="O100" s="7" t="s">
        <v>104</v>
      </c>
      <c r="P100" s="7" t="s">
        <v>22</v>
      </c>
      <c r="Q100" s="7" t="s">
        <v>34</v>
      </c>
      <c r="R100" s="7" t="s">
        <v>24</v>
      </c>
      <c r="S100" s="7" t="s">
        <v>386</v>
      </c>
      <c r="T100" s="7" t="s">
        <v>360</v>
      </c>
      <c r="U100" s="7" t="s">
        <v>387</v>
      </c>
      <c r="V100" s="7" t="s">
        <v>28</v>
      </c>
      <c r="X100" s="2" t="str">
        <f>HYPERLINK("https://hsdes.intel.com/resource/14013163359","14013163359")</f>
        <v>14013163359</v>
      </c>
    </row>
    <row r="101" spans="1:24" x14ac:dyDescent="0.3">
      <c r="A101" s="2" t="str">
        <f>HYPERLINK("https://hsdes.intel.com/resource/14013163315","14013163315")</f>
        <v>14013163315</v>
      </c>
      <c r="B101" s="7" t="s">
        <v>388</v>
      </c>
      <c r="C101" s="7" t="s">
        <v>2017</v>
      </c>
      <c r="D101" s="7" t="s">
        <v>18</v>
      </c>
      <c r="E101" s="7" t="s">
        <v>19</v>
      </c>
      <c r="F101" s="7" t="s">
        <v>20</v>
      </c>
      <c r="G101" s="28" t="s">
        <v>2027</v>
      </c>
      <c r="J101" s="7" t="s">
        <v>2004</v>
      </c>
      <c r="M101" s="6">
        <v>44784</v>
      </c>
      <c r="O101" s="7" t="s">
        <v>104</v>
      </c>
      <c r="P101" s="7" t="s">
        <v>22</v>
      </c>
      <c r="Q101" s="7" t="s">
        <v>34</v>
      </c>
      <c r="R101" s="7" t="s">
        <v>24</v>
      </c>
      <c r="S101" s="7" t="s">
        <v>389</v>
      </c>
      <c r="T101" s="7" t="s">
        <v>360</v>
      </c>
      <c r="U101" s="7" t="s">
        <v>390</v>
      </c>
      <c r="V101" s="7" t="s">
        <v>28</v>
      </c>
      <c r="X101" s="2" t="str">
        <f>HYPERLINK("https://hsdes.intel.com/resource/14013163315","14013163315")</f>
        <v>14013163315</v>
      </c>
    </row>
    <row r="102" spans="1:24" x14ac:dyDescent="0.3">
      <c r="A102" s="2" t="str">
        <f>HYPERLINK("https://hsdes.intel.com/resource/14013120195","14013120195")</f>
        <v>14013120195</v>
      </c>
      <c r="B102" s="7" t="s">
        <v>391</v>
      </c>
      <c r="C102" s="7" t="s">
        <v>2017</v>
      </c>
      <c r="D102" s="7" t="s">
        <v>257</v>
      </c>
      <c r="E102" s="7" t="s">
        <v>19</v>
      </c>
      <c r="F102" s="7" t="s">
        <v>20</v>
      </c>
      <c r="G102" s="28" t="s">
        <v>2027</v>
      </c>
      <c r="J102" s="7" t="s">
        <v>31</v>
      </c>
      <c r="M102" s="6"/>
      <c r="O102" s="7" t="s">
        <v>32</v>
      </c>
      <c r="P102" s="7" t="s">
        <v>163</v>
      </c>
      <c r="Q102" s="7" t="s">
        <v>34</v>
      </c>
      <c r="R102" s="7" t="s">
        <v>24</v>
      </c>
      <c r="S102" s="7" t="s">
        <v>392</v>
      </c>
      <c r="T102" s="7" t="s">
        <v>326</v>
      </c>
      <c r="U102" s="7" t="s">
        <v>393</v>
      </c>
      <c r="V102" s="7" t="s">
        <v>166</v>
      </c>
      <c r="X102" s="2" t="str">
        <f>HYPERLINK("https://hsdes.intel.com/resource/14013120195","14013120195")</f>
        <v>14013120195</v>
      </c>
    </row>
    <row r="103" spans="1:24" s="18" customFormat="1" x14ac:dyDescent="0.3">
      <c r="A103" s="19" t="str">
        <f>HYPERLINK("https://hsdes.intel.com/resource/14013160631","14013160631")</f>
        <v>14013160631</v>
      </c>
      <c r="B103" s="18" t="s">
        <v>394</v>
      </c>
      <c r="C103" s="7" t="s">
        <v>2017</v>
      </c>
      <c r="D103" s="7" t="s">
        <v>267</v>
      </c>
      <c r="E103" s="7" t="s">
        <v>19</v>
      </c>
      <c r="F103" s="7" t="s">
        <v>20</v>
      </c>
      <c r="G103" s="28" t="s">
        <v>2027</v>
      </c>
      <c r="J103" s="7" t="s">
        <v>2020</v>
      </c>
      <c r="M103" s="22">
        <v>44783</v>
      </c>
      <c r="O103" s="18" t="s">
        <v>32</v>
      </c>
      <c r="P103" s="18" t="s">
        <v>33</v>
      </c>
      <c r="Q103" s="18" t="s">
        <v>34</v>
      </c>
      <c r="R103" s="18" t="s">
        <v>24</v>
      </c>
      <c r="S103" s="18" t="s">
        <v>395</v>
      </c>
      <c r="T103" s="18" t="s">
        <v>205</v>
      </c>
      <c r="U103" s="18" t="s">
        <v>396</v>
      </c>
      <c r="V103" s="18" t="s">
        <v>270</v>
      </c>
      <c r="X103" s="17" t="str">
        <f>HYPERLINK("https://hsdes.intel.com/resource/14013160631","14013160631")</f>
        <v>14013160631</v>
      </c>
    </row>
    <row r="104" spans="1:24" x14ac:dyDescent="0.3">
      <c r="A104" s="2" t="str">
        <f>HYPERLINK("https://hsdes.intel.com/resource/14013184823","14013184823")</f>
        <v>14013184823</v>
      </c>
      <c r="B104" s="7" t="s">
        <v>397</v>
      </c>
      <c r="C104" s="7" t="s">
        <v>2017</v>
      </c>
      <c r="D104" s="7" t="s">
        <v>138</v>
      </c>
      <c r="E104" s="7" t="s">
        <v>19</v>
      </c>
      <c r="F104" s="7" t="s">
        <v>20</v>
      </c>
      <c r="G104" s="28" t="s">
        <v>2027</v>
      </c>
      <c r="J104" s="7" t="s">
        <v>31</v>
      </c>
      <c r="M104" s="6"/>
      <c r="O104" s="7" t="s">
        <v>32</v>
      </c>
      <c r="P104" s="7" t="s">
        <v>78</v>
      </c>
      <c r="Q104" s="7" t="s">
        <v>34</v>
      </c>
      <c r="R104" s="7" t="s">
        <v>24</v>
      </c>
      <c r="S104" s="7" t="s">
        <v>398</v>
      </c>
      <c r="T104" s="7" t="s">
        <v>140</v>
      </c>
      <c r="U104" s="7" t="s">
        <v>399</v>
      </c>
      <c r="V104" s="7" t="s">
        <v>142</v>
      </c>
      <c r="X104" s="2" t="str">
        <f>HYPERLINK("https://hsdes.intel.com/resource/14013184823","14013184823")</f>
        <v>14013184823</v>
      </c>
    </row>
    <row r="105" spans="1:24" x14ac:dyDescent="0.3">
      <c r="A105" s="2" t="str">
        <f>HYPERLINK("https://hsdes.intel.com/resource/14013174476","14013174476")</f>
        <v>14013174476</v>
      </c>
      <c r="B105" s="7" t="s">
        <v>400</v>
      </c>
      <c r="C105" s="7" t="s">
        <v>2017</v>
      </c>
      <c r="D105" s="7" t="s">
        <v>401</v>
      </c>
      <c r="E105" s="7" t="s">
        <v>19</v>
      </c>
      <c r="F105" s="7" t="s">
        <v>20</v>
      </c>
      <c r="G105" s="28" t="s">
        <v>2027</v>
      </c>
      <c r="J105" s="7" t="s">
        <v>2006</v>
      </c>
      <c r="M105" s="6">
        <v>44781</v>
      </c>
      <c r="O105" s="7" t="s">
        <v>32</v>
      </c>
      <c r="P105" s="7" t="s">
        <v>186</v>
      </c>
      <c r="Q105" s="7" t="s">
        <v>34</v>
      </c>
      <c r="R105" s="7" t="s">
        <v>147</v>
      </c>
      <c r="S105" s="7" t="s">
        <v>402</v>
      </c>
      <c r="T105" s="7" t="s">
        <v>244</v>
      </c>
      <c r="U105" s="7" t="s">
        <v>403</v>
      </c>
      <c r="V105" s="7" t="s">
        <v>189</v>
      </c>
      <c r="X105" s="2" t="str">
        <f>HYPERLINK("https://hsdes.intel.com/resource/14013174476","14013174476")</f>
        <v>14013174476</v>
      </c>
    </row>
    <row r="106" spans="1:24" x14ac:dyDescent="0.3">
      <c r="A106" s="2" t="str">
        <f>HYPERLINK("https://hsdes.intel.com/resource/14013174630","14013174630")</f>
        <v>14013174630</v>
      </c>
      <c r="B106" s="18" t="s">
        <v>404</v>
      </c>
      <c r="C106" s="7" t="s">
        <v>2017</v>
      </c>
      <c r="D106" s="7" t="s">
        <v>401</v>
      </c>
      <c r="E106" s="7" t="s">
        <v>19</v>
      </c>
      <c r="F106" s="7" t="s">
        <v>20</v>
      </c>
      <c r="G106" s="28" t="s">
        <v>2027</v>
      </c>
      <c r="J106" s="7" t="s">
        <v>1974</v>
      </c>
      <c r="M106" s="6">
        <v>44783</v>
      </c>
      <c r="O106" s="7" t="s">
        <v>32</v>
      </c>
      <c r="P106" s="7" t="s">
        <v>186</v>
      </c>
      <c r="Q106" s="7" t="s">
        <v>34</v>
      </c>
      <c r="R106" s="7" t="s">
        <v>147</v>
      </c>
      <c r="S106" s="7" t="s">
        <v>405</v>
      </c>
      <c r="T106" s="7" t="s">
        <v>140</v>
      </c>
      <c r="U106" s="7" t="s">
        <v>406</v>
      </c>
      <c r="V106" s="7" t="s">
        <v>189</v>
      </c>
      <c r="X106" s="20" t="str">
        <f>HYPERLINK("https://hsdes.intel.com/resource/14013174630","14013174630")</f>
        <v>14013174630</v>
      </c>
    </row>
    <row r="107" spans="1:24" x14ac:dyDescent="0.3">
      <c r="A107" s="4">
        <v>14013174625</v>
      </c>
      <c r="B107" s="18" t="s">
        <v>407</v>
      </c>
      <c r="C107" s="7" t="s">
        <v>2017</v>
      </c>
      <c r="D107" s="7" t="s">
        <v>401</v>
      </c>
      <c r="E107" s="7" t="s">
        <v>19</v>
      </c>
      <c r="F107" s="7" t="s">
        <v>20</v>
      </c>
      <c r="G107" s="28" t="s">
        <v>2027</v>
      </c>
      <c r="J107" s="7" t="s">
        <v>1974</v>
      </c>
      <c r="M107" s="6">
        <v>44783</v>
      </c>
      <c r="O107" s="7" t="s">
        <v>32</v>
      </c>
      <c r="P107" s="7" t="s">
        <v>186</v>
      </c>
      <c r="Q107" s="7" t="s">
        <v>34</v>
      </c>
      <c r="R107" s="7" t="s">
        <v>147</v>
      </c>
      <c r="S107" s="7" t="s">
        <v>408</v>
      </c>
      <c r="T107" s="7" t="s">
        <v>244</v>
      </c>
      <c r="U107" s="7" t="s">
        <v>409</v>
      </c>
      <c r="V107" s="7" t="s">
        <v>189</v>
      </c>
      <c r="X107" s="21">
        <v>14013174625</v>
      </c>
    </row>
    <row r="108" spans="1:24" x14ac:dyDescent="0.3">
      <c r="A108" s="2" t="str">
        <f>HYPERLINK("https://hsdes.intel.com/resource/14013175738","14013175738")</f>
        <v>14013175738</v>
      </c>
      <c r="B108" s="7" t="s">
        <v>410</v>
      </c>
      <c r="C108" s="7" t="s">
        <v>2017</v>
      </c>
      <c r="D108" s="7" t="s">
        <v>168</v>
      </c>
      <c r="E108" s="7" t="s">
        <v>122</v>
      </c>
      <c r="F108" s="7" t="s">
        <v>20</v>
      </c>
      <c r="G108" s="28" t="s">
        <v>2027</v>
      </c>
      <c r="J108" s="7" t="s">
        <v>31</v>
      </c>
      <c r="M108" s="6"/>
      <c r="O108" s="7" t="s">
        <v>104</v>
      </c>
      <c r="P108" s="7" t="s">
        <v>175</v>
      </c>
      <c r="Q108" s="7" t="s">
        <v>34</v>
      </c>
      <c r="R108" s="7" t="s">
        <v>24</v>
      </c>
      <c r="S108" s="7" t="s">
        <v>411</v>
      </c>
      <c r="T108" s="7" t="s">
        <v>135</v>
      </c>
      <c r="U108" s="7" t="s">
        <v>412</v>
      </c>
      <c r="V108" s="7" t="s">
        <v>179</v>
      </c>
      <c r="X108" s="2" t="str">
        <f>HYPERLINK("https://hsdes.intel.com/resource/14013175738","14013175738")</f>
        <v>14013175738</v>
      </c>
    </row>
    <row r="109" spans="1:24" x14ac:dyDescent="0.3">
      <c r="A109" s="2" t="str">
        <f>HYPERLINK("https://hsdes.intel.com/resource/14013178001","14013178001")</f>
        <v>14013178001</v>
      </c>
      <c r="B109" s="7" t="s">
        <v>413</v>
      </c>
      <c r="C109" s="7" t="s">
        <v>2017</v>
      </c>
      <c r="D109" s="7" t="s">
        <v>283</v>
      </c>
      <c r="E109" s="7" t="s">
        <v>19</v>
      </c>
      <c r="F109" s="7" t="s">
        <v>20</v>
      </c>
      <c r="G109" s="28" t="s">
        <v>2027</v>
      </c>
      <c r="J109" s="7" t="s">
        <v>2006</v>
      </c>
      <c r="M109" s="6">
        <v>44781</v>
      </c>
      <c r="O109" s="7" t="s">
        <v>32</v>
      </c>
      <c r="P109" s="7" t="s">
        <v>175</v>
      </c>
      <c r="Q109" s="7" t="s">
        <v>34</v>
      </c>
      <c r="R109" s="7" t="s">
        <v>24</v>
      </c>
      <c r="S109" s="7" t="s">
        <v>414</v>
      </c>
      <c r="T109" s="7" t="s">
        <v>205</v>
      </c>
      <c r="U109" s="7" t="s">
        <v>415</v>
      </c>
      <c r="V109" s="7" t="s">
        <v>286</v>
      </c>
      <c r="X109" s="2" t="str">
        <f>HYPERLINK("https://hsdes.intel.com/resource/14013178001","14013178001")</f>
        <v>14013178001</v>
      </c>
    </row>
    <row r="110" spans="1:24" x14ac:dyDescent="0.3">
      <c r="A110" s="5" t="str">
        <f>HYPERLINK("https://hsdes.intel.com/resource/14013169128","14013169128")</f>
        <v>14013169128</v>
      </c>
      <c r="B110" s="18" t="s">
        <v>416</v>
      </c>
      <c r="C110" s="7" t="s">
        <v>2017</v>
      </c>
      <c r="D110" s="7" t="s">
        <v>417</v>
      </c>
      <c r="E110" s="7" t="s">
        <v>19</v>
      </c>
      <c r="F110" s="7" t="s">
        <v>20</v>
      </c>
      <c r="G110" s="28" t="s">
        <v>2027</v>
      </c>
      <c r="J110" s="7" t="s">
        <v>2006</v>
      </c>
      <c r="M110" s="6">
        <v>44785</v>
      </c>
      <c r="O110" s="7" t="s">
        <v>104</v>
      </c>
      <c r="P110" s="7" t="s">
        <v>163</v>
      </c>
      <c r="Q110" s="7" t="s">
        <v>34</v>
      </c>
      <c r="R110" s="7" t="s">
        <v>24</v>
      </c>
      <c r="S110" s="7" t="s">
        <v>418</v>
      </c>
      <c r="T110" s="7" t="s">
        <v>419</v>
      </c>
      <c r="U110" s="7" t="s">
        <v>420</v>
      </c>
      <c r="V110" s="7" t="s">
        <v>421</v>
      </c>
      <c r="X110" s="2" t="str">
        <f>HYPERLINK("https://hsdes.intel.com/resource/14013169128","14013169128")</f>
        <v>14013169128</v>
      </c>
    </row>
    <row r="111" spans="1:24" x14ac:dyDescent="0.3">
      <c r="A111" s="2" t="str">
        <f>HYPERLINK("https://hsdes.intel.com/resource/14013169126","14013169126")</f>
        <v>14013169126</v>
      </c>
      <c r="B111" s="7" t="s">
        <v>422</v>
      </c>
      <c r="C111" s="7" t="s">
        <v>2017</v>
      </c>
      <c r="D111" s="7" t="s">
        <v>417</v>
      </c>
      <c r="E111" s="7" t="s">
        <v>19</v>
      </c>
      <c r="F111" s="7" t="s">
        <v>20</v>
      </c>
      <c r="G111" s="28" t="s">
        <v>2027</v>
      </c>
      <c r="J111" s="7" t="s">
        <v>31</v>
      </c>
      <c r="M111" s="6"/>
      <c r="O111" s="7" t="s">
        <v>104</v>
      </c>
      <c r="P111" s="7" t="s">
        <v>163</v>
      </c>
      <c r="Q111" s="7" t="s">
        <v>34</v>
      </c>
      <c r="R111" s="7" t="s">
        <v>24</v>
      </c>
      <c r="S111" s="7" t="s">
        <v>423</v>
      </c>
      <c r="T111" s="7" t="s">
        <v>419</v>
      </c>
      <c r="U111" s="7" t="s">
        <v>424</v>
      </c>
      <c r="V111" s="7" t="s">
        <v>421</v>
      </c>
      <c r="X111" s="2" t="str">
        <f>HYPERLINK("https://hsdes.intel.com/resource/14013169126","14013169126")</f>
        <v>14013169126</v>
      </c>
    </row>
    <row r="112" spans="1:24" x14ac:dyDescent="0.3">
      <c r="A112" s="2" t="str">
        <f>HYPERLINK("https://hsdes.intel.com/resource/14013163226","14013163226")</f>
        <v>14013163226</v>
      </c>
      <c r="B112" s="7" t="s">
        <v>425</v>
      </c>
      <c r="C112" s="7" t="s">
        <v>2017</v>
      </c>
      <c r="D112" s="7" t="s">
        <v>18</v>
      </c>
      <c r="E112" s="7" t="s">
        <v>19</v>
      </c>
      <c r="F112" s="7" t="s">
        <v>20</v>
      </c>
      <c r="G112" s="28" t="s">
        <v>2027</v>
      </c>
      <c r="J112" s="7" t="s">
        <v>2004</v>
      </c>
      <c r="M112" s="6">
        <v>44784</v>
      </c>
      <c r="O112" s="7" t="s">
        <v>104</v>
      </c>
      <c r="P112" s="7" t="s">
        <v>22</v>
      </c>
      <c r="Q112" s="7" t="s">
        <v>34</v>
      </c>
      <c r="R112" s="7" t="s">
        <v>24</v>
      </c>
      <c r="S112" s="7" t="s">
        <v>426</v>
      </c>
      <c r="T112" s="7" t="s">
        <v>427</v>
      </c>
      <c r="U112" s="7" t="s">
        <v>428</v>
      </c>
      <c r="V112" s="7" t="s">
        <v>28</v>
      </c>
      <c r="X112" s="2" t="str">
        <f>HYPERLINK("https://hsdes.intel.com/resource/14013163226","14013163226")</f>
        <v>14013163226</v>
      </c>
    </row>
    <row r="113" spans="1:24" x14ac:dyDescent="0.3">
      <c r="A113" s="5" t="str">
        <f>HYPERLINK("https://hsdes.intel.com/resource/14013176650","14013176650")</f>
        <v>14013176650</v>
      </c>
      <c r="B113" s="7" t="s">
        <v>429</v>
      </c>
      <c r="C113" s="7" t="s">
        <v>2017</v>
      </c>
      <c r="D113" s="7" t="s">
        <v>275</v>
      </c>
      <c r="E113" s="7" t="s">
        <v>122</v>
      </c>
      <c r="F113" s="7" t="s">
        <v>20</v>
      </c>
      <c r="G113" s="28" t="s">
        <v>2027</v>
      </c>
      <c r="J113" s="7" t="s">
        <v>2020</v>
      </c>
      <c r="M113" s="6">
        <v>44783</v>
      </c>
      <c r="O113" s="7" t="s">
        <v>32</v>
      </c>
      <c r="P113" s="7" t="s">
        <v>78</v>
      </c>
      <c r="Q113" s="7" t="s">
        <v>34</v>
      </c>
      <c r="R113" s="7" t="s">
        <v>24</v>
      </c>
      <c r="S113" s="7" t="s">
        <v>430</v>
      </c>
      <c r="T113" s="7" t="s">
        <v>244</v>
      </c>
      <c r="U113" s="7" t="s">
        <v>431</v>
      </c>
      <c r="V113" s="7" t="s">
        <v>278</v>
      </c>
      <c r="X113" s="2" t="str">
        <f>HYPERLINK("https://hsdes.intel.com/resource/14013176650","14013176650")</f>
        <v>14013176650</v>
      </c>
    </row>
    <row r="114" spans="1:24" x14ac:dyDescent="0.3">
      <c r="A114" s="5" t="str">
        <f>HYPERLINK("https://hsdes.intel.com/resource/14013176647","14013176647")</f>
        <v>14013176647</v>
      </c>
      <c r="B114" s="7" t="s">
        <v>432</v>
      </c>
      <c r="C114" s="7" t="s">
        <v>2017</v>
      </c>
      <c r="D114" s="7" t="s">
        <v>275</v>
      </c>
      <c r="E114" s="7" t="s">
        <v>122</v>
      </c>
      <c r="F114" s="7" t="s">
        <v>20</v>
      </c>
      <c r="G114" s="28" t="s">
        <v>2027</v>
      </c>
      <c r="J114" s="7" t="s">
        <v>2006</v>
      </c>
      <c r="M114" s="6">
        <v>44785</v>
      </c>
      <c r="O114" s="7" t="s">
        <v>32</v>
      </c>
      <c r="P114" s="7" t="s">
        <v>78</v>
      </c>
      <c r="Q114" s="7" t="s">
        <v>34</v>
      </c>
      <c r="R114" s="7" t="s">
        <v>24</v>
      </c>
      <c r="S114" s="7" t="s">
        <v>433</v>
      </c>
      <c r="T114" s="7" t="s">
        <v>244</v>
      </c>
      <c r="U114" s="7" t="s">
        <v>434</v>
      </c>
      <c r="V114" s="7" t="s">
        <v>278</v>
      </c>
      <c r="X114" s="2" t="str">
        <f>HYPERLINK("https://hsdes.intel.com/resource/14013176647","14013176647")</f>
        <v>14013176647</v>
      </c>
    </row>
    <row r="115" spans="1:24" x14ac:dyDescent="0.3">
      <c r="A115" s="2" t="str">
        <f>HYPERLINK("https://hsdes.intel.com/resource/14013176644","14013176644")</f>
        <v>14013176644</v>
      </c>
      <c r="B115" s="7" t="s">
        <v>435</v>
      </c>
      <c r="C115" s="7" t="s">
        <v>2017</v>
      </c>
      <c r="D115" s="7" t="s">
        <v>275</v>
      </c>
      <c r="E115" s="7" t="s">
        <v>122</v>
      </c>
      <c r="F115" s="7" t="s">
        <v>20</v>
      </c>
      <c r="G115" s="28" t="s">
        <v>2027</v>
      </c>
      <c r="J115" s="7" t="s">
        <v>31</v>
      </c>
      <c r="M115" s="6"/>
      <c r="O115" s="7" t="s">
        <v>32</v>
      </c>
      <c r="P115" s="7" t="s">
        <v>78</v>
      </c>
      <c r="Q115" s="7" t="s">
        <v>23</v>
      </c>
      <c r="R115" s="7" t="s">
        <v>24</v>
      </c>
      <c r="S115" s="7" t="s">
        <v>436</v>
      </c>
      <c r="T115" s="7" t="s">
        <v>244</v>
      </c>
      <c r="U115" s="7" t="s">
        <v>437</v>
      </c>
      <c r="V115" s="7" t="s">
        <v>278</v>
      </c>
      <c r="X115" s="2" t="str">
        <f>HYPERLINK("https://hsdes.intel.com/resource/14013176644","14013176644")</f>
        <v>14013176644</v>
      </c>
    </row>
    <row r="116" spans="1:24" x14ac:dyDescent="0.3">
      <c r="A116" s="2" t="str">
        <f>HYPERLINK("https://hsdes.intel.com/resource/14013176415","14013176415")</f>
        <v>14013176415</v>
      </c>
      <c r="B116" s="7" t="s">
        <v>438</v>
      </c>
      <c r="C116" s="7" t="s">
        <v>2017</v>
      </c>
      <c r="D116" s="7" t="s">
        <v>275</v>
      </c>
      <c r="E116" s="7" t="s">
        <v>19</v>
      </c>
      <c r="F116" s="7" t="s">
        <v>20</v>
      </c>
      <c r="G116" s="28" t="s">
        <v>2027</v>
      </c>
      <c r="J116" s="7" t="s">
        <v>31</v>
      </c>
      <c r="M116" s="6"/>
      <c r="O116" s="7" t="s">
        <v>104</v>
      </c>
      <c r="P116" s="7" t="s">
        <v>78</v>
      </c>
      <c r="Q116" s="7" t="s">
        <v>34</v>
      </c>
      <c r="R116" s="7" t="s">
        <v>24</v>
      </c>
      <c r="S116" s="7" t="s">
        <v>439</v>
      </c>
      <c r="T116" s="7" t="s">
        <v>244</v>
      </c>
      <c r="U116" s="7" t="s">
        <v>440</v>
      </c>
      <c r="V116" s="7" t="s">
        <v>278</v>
      </c>
      <c r="X116" s="2" t="str">
        <f>HYPERLINK("https://hsdes.intel.com/resource/14013176415","14013176415")</f>
        <v>14013176415</v>
      </c>
    </row>
    <row r="117" spans="1:24" x14ac:dyDescent="0.3">
      <c r="A117" s="5" t="str">
        <f>HYPERLINK("https://hsdes.intel.com/resource/14013160446","14013160446")</f>
        <v>14013160446</v>
      </c>
      <c r="B117" s="7" t="s">
        <v>441</v>
      </c>
      <c r="C117" s="7" t="s">
        <v>2017</v>
      </c>
      <c r="D117" s="7" t="s">
        <v>275</v>
      </c>
      <c r="E117" s="7" t="s">
        <v>19</v>
      </c>
      <c r="F117" s="7" t="s">
        <v>20</v>
      </c>
      <c r="G117" s="28" t="s">
        <v>2027</v>
      </c>
      <c r="J117" s="7" t="s">
        <v>2020</v>
      </c>
      <c r="L117" s="7" t="s">
        <v>288</v>
      </c>
      <c r="M117" s="6">
        <v>44784</v>
      </c>
      <c r="O117" s="7" t="s">
        <v>104</v>
      </c>
      <c r="P117" s="7" t="s">
        <v>78</v>
      </c>
      <c r="Q117" s="7" t="s">
        <v>34</v>
      </c>
      <c r="R117" s="7" t="s">
        <v>24</v>
      </c>
      <c r="S117" s="7" t="s">
        <v>442</v>
      </c>
      <c r="T117" s="7" t="s">
        <v>244</v>
      </c>
      <c r="U117" s="7" t="s">
        <v>443</v>
      </c>
      <c r="V117" s="7" t="s">
        <v>278</v>
      </c>
      <c r="X117" s="2" t="str">
        <f>HYPERLINK("https://hsdes.intel.com/resource/14013160446","14013160446")</f>
        <v>14013160446</v>
      </c>
    </row>
    <row r="118" spans="1:24" x14ac:dyDescent="0.3">
      <c r="A118" s="2" t="str">
        <f>HYPERLINK("https://hsdes.intel.com/resource/14013172908","14013172908")</f>
        <v>14013172908</v>
      </c>
      <c r="B118" s="7" t="s">
        <v>444</v>
      </c>
      <c r="C118" s="7" t="s">
        <v>2017</v>
      </c>
      <c r="D118" s="7" t="s">
        <v>283</v>
      </c>
      <c r="E118" s="7" t="s">
        <v>19</v>
      </c>
      <c r="F118" s="7" t="s">
        <v>20</v>
      </c>
      <c r="G118" s="28" t="s">
        <v>2027</v>
      </c>
      <c r="J118" s="7" t="s">
        <v>2006</v>
      </c>
      <c r="M118" s="6">
        <v>44781</v>
      </c>
      <c r="O118" s="7" t="s">
        <v>32</v>
      </c>
      <c r="P118" s="7" t="s">
        <v>175</v>
      </c>
      <c r="Q118" s="7" t="s">
        <v>34</v>
      </c>
      <c r="R118" s="7" t="s">
        <v>24</v>
      </c>
      <c r="S118" s="7" t="s">
        <v>445</v>
      </c>
      <c r="T118" s="7" t="s">
        <v>446</v>
      </c>
      <c r="U118" s="7" t="s">
        <v>447</v>
      </c>
      <c r="V118" s="7" t="s">
        <v>286</v>
      </c>
      <c r="X118" s="2" t="str">
        <f>HYPERLINK("https://hsdes.intel.com/resource/14013172908","14013172908")</f>
        <v>14013172908</v>
      </c>
    </row>
    <row r="119" spans="1:24" x14ac:dyDescent="0.3">
      <c r="A119" s="5" t="str">
        <f>HYPERLINK("https://hsdes.intel.com/resource/14013161111","14013161111")</f>
        <v>14013161111</v>
      </c>
      <c r="B119" s="7" t="s">
        <v>448</v>
      </c>
      <c r="C119" s="7" t="s">
        <v>2017</v>
      </c>
      <c r="D119" s="7" t="s">
        <v>238</v>
      </c>
      <c r="E119" s="7" t="s">
        <v>19</v>
      </c>
      <c r="F119" s="7" t="s">
        <v>20</v>
      </c>
      <c r="G119" s="28" t="s">
        <v>2027</v>
      </c>
      <c r="J119" s="7" t="s">
        <v>31</v>
      </c>
      <c r="M119" s="6"/>
      <c r="O119" s="7" t="s">
        <v>32</v>
      </c>
      <c r="P119" s="7" t="s">
        <v>186</v>
      </c>
      <c r="Q119" s="7" t="s">
        <v>23</v>
      </c>
      <c r="R119" s="7" t="s">
        <v>147</v>
      </c>
      <c r="S119" s="7" t="s">
        <v>449</v>
      </c>
      <c r="T119" s="7" t="s">
        <v>205</v>
      </c>
      <c r="U119" s="7" t="s">
        <v>450</v>
      </c>
      <c r="V119" s="7" t="s">
        <v>189</v>
      </c>
      <c r="X119" s="2" t="str">
        <f>HYPERLINK("https://hsdes.intel.com/resource/14013161111","14013161111")</f>
        <v>14013161111</v>
      </c>
    </row>
    <row r="120" spans="1:24" x14ac:dyDescent="0.3">
      <c r="A120" s="2" t="str">
        <f>HYPERLINK("https://hsdes.intel.com/resource/14013161102","14013161102")</f>
        <v>14013161102</v>
      </c>
      <c r="B120" s="7" t="s">
        <v>451</v>
      </c>
      <c r="C120" s="7" t="s">
        <v>2017</v>
      </c>
      <c r="D120" s="7" t="s">
        <v>238</v>
      </c>
      <c r="E120" s="7" t="s">
        <v>19</v>
      </c>
      <c r="F120" s="7" t="s">
        <v>20</v>
      </c>
      <c r="G120" s="28" t="s">
        <v>2027</v>
      </c>
      <c r="J120" s="7" t="s">
        <v>2006</v>
      </c>
      <c r="M120" s="6">
        <v>44781</v>
      </c>
      <c r="O120" s="7" t="s">
        <v>32</v>
      </c>
      <c r="P120" s="7" t="s">
        <v>186</v>
      </c>
      <c r="Q120" s="7" t="s">
        <v>23</v>
      </c>
      <c r="R120" s="7" t="s">
        <v>147</v>
      </c>
      <c r="S120" s="7" t="s">
        <v>452</v>
      </c>
      <c r="T120" s="7" t="s">
        <v>326</v>
      </c>
      <c r="U120" s="7" t="s">
        <v>453</v>
      </c>
      <c r="V120" s="7" t="s">
        <v>189</v>
      </c>
      <c r="X120" s="2" t="str">
        <f>HYPERLINK("https://hsdes.intel.com/resource/14013161102","14013161102")</f>
        <v>14013161102</v>
      </c>
    </row>
    <row r="121" spans="1:24" x14ac:dyDescent="0.3">
      <c r="A121" s="2" t="str">
        <f>HYPERLINK("https://hsdes.intel.com/resource/14013179162","14013179162")</f>
        <v>14013179162</v>
      </c>
      <c r="B121" s="7" t="s">
        <v>454</v>
      </c>
      <c r="C121" s="7" t="s">
        <v>2017</v>
      </c>
      <c r="D121" s="7" t="s">
        <v>238</v>
      </c>
      <c r="E121" s="7" t="s">
        <v>19</v>
      </c>
      <c r="F121" s="7" t="s">
        <v>20</v>
      </c>
      <c r="G121" s="28" t="s">
        <v>2027</v>
      </c>
      <c r="J121" s="7" t="s">
        <v>2006</v>
      </c>
      <c r="M121" s="6">
        <v>44781</v>
      </c>
      <c r="O121" s="7" t="s">
        <v>104</v>
      </c>
      <c r="P121" s="7" t="s">
        <v>186</v>
      </c>
      <c r="Q121" s="7" t="s">
        <v>34</v>
      </c>
      <c r="R121" s="7" t="s">
        <v>147</v>
      </c>
      <c r="S121" s="7" t="s">
        <v>455</v>
      </c>
      <c r="T121" s="7" t="s">
        <v>205</v>
      </c>
      <c r="U121" s="7" t="s">
        <v>456</v>
      </c>
      <c r="V121" s="7" t="s">
        <v>189</v>
      </c>
      <c r="X121" s="2" t="str">
        <f>HYPERLINK("https://hsdes.intel.com/resource/14013179162","14013179162")</f>
        <v>14013179162</v>
      </c>
    </row>
    <row r="122" spans="1:24" x14ac:dyDescent="0.3">
      <c r="A122" s="2" t="str">
        <f>HYPERLINK("https://hsdes.intel.com/resource/14013164115","14013164115")</f>
        <v>14013164115</v>
      </c>
      <c r="B122" s="7" t="s">
        <v>457</v>
      </c>
      <c r="C122" s="7" t="s">
        <v>2017</v>
      </c>
      <c r="D122" s="7" t="s">
        <v>18</v>
      </c>
      <c r="E122" s="7" t="s">
        <v>122</v>
      </c>
      <c r="F122" s="7" t="s">
        <v>20</v>
      </c>
      <c r="G122" s="28" t="s">
        <v>2027</v>
      </c>
      <c r="J122" s="7" t="s">
        <v>2004</v>
      </c>
      <c r="M122" s="6">
        <v>44784</v>
      </c>
      <c r="O122" s="7" t="s">
        <v>32</v>
      </c>
      <c r="P122" s="7" t="s">
        <v>22</v>
      </c>
      <c r="Q122" s="7" t="s">
        <v>34</v>
      </c>
      <c r="R122" s="7" t="s">
        <v>24</v>
      </c>
      <c r="S122" s="7" t="s">
        <v>458</v>
      </c>
      <c r="T122" s="7" t="s">
        <v>106</v>
      </c>
      <c r="U122" s="7" t="s">
        <v>459</v>
      </c>
      <c r="V122" s="7" t="s">
        <v>28</v>
      </c>
      <c r="X122" s="2" t="str">
        <f>HYPERLINK("https://hsdes.intel.com/resource/14013164115","14013164115")</f>
        <v>14013164115</v>
      </c>
    </row>
    <row r="123" spans="1:24" x14ac:dyDescent="0.3">
      <c r="A123" s="2" t="str">
        <f>HYPERLINK("https://hsdes.intel.com/resource/14013163931","14013163931")</f>
        <v>14013163931</v>
      </c>
      <c r="B123" s="7" t="s">
        <v>460</v>
      </c>
      <c r="C123" s="7" t="s">
        <v>2017</v>
      </c>
      <c r="D123" s="7" t="s">
        <v>18</v>
      </c>
      <c r="E123" s="7" t="s">
        <v>122</v>
      </c>
      <c r="F123" s="7" t="s">
        <v>20</v>
      </c>
      <c r="G123" s="28" t="s">
        <v>2027</v>
      </c>
      <c r="J123" s="7" t="s">
        <v>2004</v>
      </c>
      <c r="K123" s="7" t="s">
        <v>2007</v>
      </c>
      <c r="M123" s="6">
        <v>44784</v>
      </c>
      <c r="O123" s="7" t="s">
        <v>104</v>
      </c>
      <c r="P123" s="7" t="s">
        <v>22</v>
      </c>
      <c r="Q123" s="7" t="s">
        <v>34</v>
      </c>
      <c r="R123" s="7" t="s">
        <v>24</v>
      </c>
      <c r="S123" s="7" t="s">
        <v>461</v>
      </c>
      <c r="T123" s="7" t="s">
        <v>106</v>
      </c>
      <c r="U123" s="7" t="s">
        <v>462</v>
      </c>
      <c r="V123" s="7" t="s">
        <v>28</v>
      </c>
      <c r="X123" s="2" t="str">
        <f>HYPERLINK("https://hsdes.intel.com/resource/14013163931","14013163931")</f>
        <v>14013163931</v>
      </c>
    </row>
    <row r="124" spans="1:24" x14ac:dyDescent="0.3">
      <c r="A124" s="2" t="str">
        <f>HYPERLINK("https://hsdes.intel.com/resource/14013174623","14013174623")</f>
        <v>14013174623</v>
      </c>
      <c r="B124" s="18" t="s">
        <v>463</v>
      </c>
      <c r="C124" s="7" t="s">
        <v>2017</v>
      </c>
      <c r="D124" s="7" t="s">
        <v>401</v>
      </c>
      <c r="E124" s="7" t="s">
        <v>19</v>
      </c>
      <c r="F124" s="7" t="s">
        <v>20</v>
      </c>
      <c r="G124" s="28" t="s">
        <v>2027</v>
      </c>
      <c r="J124" s="7" t="s">
        <v>1974</v>
      </c>
      <c r="M124" s="6">
        <v>44783</v>
      </c>
      <c r="O124" s="7" t="s">
        <v>32</v>
      </c>
      <c r="P124" s="7" t="s">
        <v>186</v>
      </c>
      <c r="Q124" s="7" t="s">
        <v>23</v>
      </c>
      <c r="R124" s="7" t="s">
        <v>147</v>
      </c>
      <c r="S124" s="7" t="s">
        <v>464</v>
      </c>
      <c r="T124" s="7" t="s">
        <v>244</v>
      </c>
      <c r="U124" s="7" t="s">
        <v>465</v>
      </c>
      <c r="V124" s="7" t="s">
        <v>189</v>
      </c>
      <c r="X124" s="20" t="str">
        <f>HYPERLINK("https://hsdes.intel.com/resource/14013174623","14013174623")</f>
        <v>14013174623</v>
      </c>
    </row>
    <row r="125" spans="1:24" x14ac:dyDescent="0.3">
      <c r="A125" s="2" t="str">
        <f>HYPERLINK("https://hsdes.intel.com/resource/16013677281","16013677281")</f>
        <v>16013677281</v>
      </c>
      <c r="B125" s="18" t="s">
        <v>466</v>
      </c>
      <c r="C125" s="7" t="s">
        <v>2017</v>
      </c>
      <c r="D125" s="7" t="s">
        <v>401</v>
      </c>
      <c r="E125" s="7" t="s">
        <v>19</v>
      </c>
      <c r="F125" s="7" t="s">
        <v>20</v>
      </c>
      <c r="G125" s="28" t="s">
        <v>2027</v>
      </c>
      <c r="J125" s="7" t="s">
        <v>1974</v>
      </c>
      <c r="M125" s="6">
        <v>44783</v>
      </c>
      <c r="O125" s="7" t="s">
        <v>32</v>
      </c>
      <c r="P125" s="7" t="s">
        <v>186</v>
      </c>
      <c r="Q125" s="7" t="s">
        <v>34</v>
      </c>
      <c r="R125" s="7" t="s">
        <v>147</v>
      </c>
      <c r="S125" s="7" t="s">
        <v>467</v>
      </c>
      <c r="T125" s="7" t="s">
        <v>244</v>
      </c>
      <c r="U125" s="7" t="s">
        <v>468</v>
      </c>
      <c r="V125" s="7" t="s">
        <v>189</v>
      </c>
      <c r="X125" s="20" t="str">
        <f>HYPERLINK("https://hsdes.intel.com/resource/16013677281","16013677281")</f>
        <v>16013677281</v>
      </c>
    </row>
    <row r="126" spans="1:24" x14ac:dyDescent="0.3">
      <c r="A126" s="2" t="str">
        <f>HYPERLINK("https://hsdes.intel.com/resource/14013160458","14013160458")</f>
        <v>14013160458</v>
      </c>
      <c r="B126" s="7" t="s">
        <v>469</v>
      </c>
      <c r="C126" s="7" t="s">
        <v>2017</v>
      </c>
      <c r="D126" s="7" t="s">
        <v>138</v>
      </c>
      <c r="E126" s="7" t="s">
        <v>19</v>
      </c>
      <c r="F126" s="7" t="s">
        <v>20</v>
      </c>
      <c r="G126" s="28" t="s">
        <v>2027</v>
      </c>
      <c r="J126" s="7" t="s">
        <v>2006</v>
      </c>
      <c r="M126" s="6">
        <v>44784</v>
      </c>
      <c r="O126" s="7" t="s">
        <v>32</v>
      </c>
      <c r="P126" s="7" t="s">
        <v>22</v>
      </c>
      <c r="Q126" s="7" t="s">
        <v>34</v>
      </c>
      <c r="R126" s="7" t="s">
        <v>24</v>
      </c>
      <c r="S126" s="7" t="s">
        <v>470</v>
      </c>
      <c r="T126" s="7" t="s">
        <v>471</v>
      </c>
      <c r="U126" s="7" t="s">
        <v>472</v>
      </c>
      <c r="V126" s="7" t="s">
        <v>172</v>
      </c>
      <c r="X126" s="2" t="str">
        <f>HYPERLINK("https://hsdes.intel.com/resource/14013160458","14013160458")</f>
        <v>14013160458</v>
      </c>
    </row>
    <row r="127" spans="1:24" x14ac:dyDescent="0.3">
      <c r="A127" s="2" t="str">
        <f>HYPERLINK("https://hsdes.intel.com/resource/14013174344","14013174344")</f>
        <v>14013174344</v>
      </c>
      <c r="B127" s="7" t="s">
        <v>473</v>
      </c>
      <c r="C127" s="7" t="s">
        <v>2017</v>
      </c>
      <c r="D127" s="7" t="s">
        <v>238</v>
      </c>
      <c r="E127" s="7" t="s">
        <v>19</v>
      </c>
      <c r="F127" s="7" t="s">
        <v>20</v>
      </c>
      <c r="G127" s="28" t="s">
        <v>2027</v>
      </c>
      <c r="J127" s="7" t="s">
        <v>2006</v>
      </c>
      <c r="M127" s="6">
        <v>44781</v>
      </c>
      <c r="O127" s="7" t="s">
        <v>32</v>
      </c>
      <c r="P127" s="7" t="s">
        <v>186</v>
      </c>
      <c r="Q127" s="7" t="s">
        <v>23</v>
      </c>
      <c r="R127" s="7" t="s">
        <v>147</v>
      </c>
      <c r="S127" s="7" t="s">
        <v>474</v>
      </c>
      <c r="T127" s="7" t="s">
        <v>205</v>
      </c>
      <c r="U127" s="7" t="s">
        <v>475</v>
      </c>
      <c r="V127" s="7" t="s">
        <v>189</v>
      </c>
      <c r="X127" s="2" t="str">
        <f>HYPERLINK("https://hsdes.intel.com/resource/14013174344","14013174344")</f>
        <v>14013174344</v>
      </c>
    </row>
    <row r="128" spans="1:24" x14ac:dyDescent="0.3">
      <c r="A128" s="2" t="str">
        <f>HYPERLINK("https://hsdes.intel.com/resource/14013158359","14013158359")</f>
        <v>14013158359</v>
      </c>
      <c r="B128" s="7" t="s">
        <v>476</v>
      </c>
      <c r="C128" s="7" t="s">
        <v>2017</v>
      </c>
      <c r="D128" s="7" t="s">
        <v>30</v>
      </c>
      <c r="E128" s="7" t="s">
        <v>19</v>
      </c>
      <c r="F128" s="7" t="s">
        <v>20</v>
      </c>
      <c r="G128" s="28" t="s">
        <v>2027</v>
      </c>
      <c r="J128" s="7" t="s">
        <v>31</v>
      </c>
      <c r="M128" s="6"/>
      <c r="O128" s="7" t="s">
        <v>32</v>
      </c>
      <c r="P128" s="7" t="s">
        <v>33</v>
      </c>
      <c r="Q128" s="7" t="s">
        <v>34</v>
      </c>
      <c r="R128" s="7" t="s">
        <v>24</v>
      </c>
      <c r="S128" s="7" t="s">
        <v>477</v>
      </c>
      <c r="T128" s="7" t="s">
        <v>478</v>
      </c>
      <c r="U128" s="7" t="s">
        <v>479</v>
      </c>
      <c r="V128" s="7" t="s">
        <v>38</v>
      </c>
      <c r="X128" s="2" t="str">
        <f>HYPERLINK("https://hsdes.intel.com/resource/14013158359","14013158359")</f>
        <v>14013158359</v>
      </c>
    </row>
    <row r="129" spans="1:24" x14ac:dyDescent="0.3">
      <c r="A129" s="2" t="str">
        <f>HYPERLINK("https://hsdes.intel.com/resource/14013163232","14013163232")</f>
        <v>14013163232</v>
      </c>
      <c r="B129" s="7" t="s">
        <v>480</v>
      </c>
      <c r="C129" s="7" t="s">
        <v>2017</v>
      </c>
      <c r="D129" s="7" t="s">
        <v>18</v>
      </c>
      <c r="E129" s="7" t="s">
        <v>19</v>
      </c>
      <c r="F129" s="7" t="s">
        <v>20</v>
      </c>
      <c r="G129" s="28" t="s">
        <v>2027</v>
      </c>
      <c r="J129" s="7" t="s">
        <v>2004</v>
      </c>
      <c r="M129" s="6">
        <v>44784</v>
      </c>
      <c r="O129" s="7" t="s">
        <v>104</v>
      </c>
      <c r="P129" s="7" t="s">
        <v>22</v>
      </c>
      <c r="Q129" s="7" t="s">
        <v>34</v>
      </c>
      <c r="R129" s="7" t="s">
        <v>24</v>
      </c>
      <c r="S129" s="7" t="s">
        <v>481</v>
      </c>
      <c r="T129" s="7" t="s">
        <v>106</v>
      </c>
      <c r="U129" s="7" t="s">
        <v>482</v>
      </c>
      <c r="V129" s="7" t="s">
        <v>28</v>
      </c>
      <c r="X129" s="2" t="str">
        <f>HYPERLINK("https://hsdes.intel.com/resource/14013163232","14013163232")</f>
        <v>14013163232</v>
      </c>
    </row>
    <row r="130" spans="1:24" x14ac:dyDescent="0.3">
      <c r="A130" s="2" t="str">
        <f>HYPERLINK("https://hsdes.intel.com/resource/14013184856","14013184856")</f>
        <v>14013184856</v>
      </c>
      <c r="B130" s="7" t="s">
        <v>483</v>
      </c>
      <c r="C130" s="7" t="s">
        <v>2017</v>
      </c>
      <c r="D130" s="7" t="s">
        <v>238</v>
      </c>
      <c r="E130" s="7" t="s">
        <v>19</v>
      </c>
      <c r="F130" s="7" t="s">
        <v>20</v>
      </c>
      <c r="G130" s="28" t="s">
        <v>2027</v>
      </c>
      <c r="J130" s="7" t="s">
        <v>2006</v>
      </c>
      <c r="L130" s="7" t="s">
        <v>2009</v>
      </c>
      <c r="M130" s="6">
        <v>44781</v>
      </c>
      <c r="O130" s="7" t="s">
        <v>32</v>
      </c>
      <c r="P130" s="7" t="s">
        <v>186</v>
      </c>
      <c r="Q130" s="7" t="s">
        <v>23</v>
      </c>
      <c r="R130" s="7" t="s">
        <v>147</v>
      </c>
      <c r="S130" s="7" t="s">
        <v>484</v>
      </c>
      <c r="T130" s="7" t="s">
        <v>485</v>
      </c>
      <c r="U130" s="7" t="s">
        <v>486</v>
      </c>
      <c r="V130" s="7" t="s">
        <v>189</v>
      </c>
      <c r="X130" s="2" t="str">
        <f>HYPERLINK("https://hsdes.intel.com/resource/14013184856","14013184856")</f>
        <v>14013184856</v>
      </c>
    </row>
    <row r="131" spans="1:24" x14ac:dyDescent="0.3">
      <c r="A131" s="2" t="str">
        <f>HYPERLINK("https://hsdes.intel.com/resource/14013185503","14013185503")</f>
        <v>14013185503</v>
      </c>
      <c r="B131" s="7" t="s">
        <v>487</v>
      </c>
      <c r="C131" s="7" t="s">
        <v>2017</v>
      </c>
      <c r="D131" s="7" t="s">
        <v>238</v>
      </c>
      <c r="E131" s="7" t="s">
        <v>19</v>
      </c>
      <c r="F131" s="7" t="s">
        <v>20</v>
      </c>
      <c r="G131" s="28" t="s">
        <v>2027</v>
      </c>
      <c r="J131" s="7" t="s">
        <v>2006</v>
      </c>
      <c r="M131" s="6">
        <v>44781</v>
      </c>
      <c r="O131" s="7" t="s">
        <v>32</v>
      </c>
      <c r="P131" s="7" t="s">
        <v>186</v>
      </c>
      <c r="Q131" s="7" t="s">
        <v>23</v>
      </c>
      <c r="R131" s="7" t="s">
        <v>147</v>
      </c>
      <c r="S131" s="7" t="s">
        <v>488</v>
      </c>
      <c r="T131" s="7" t="s">
        <v>489</v>
      </c>
      <c r="U131" s="7" t="s">
        <v>490</v>
      </c>
      <c r="V131" s="7" t="s">
        <v>189</v>
      </c>
      <c r="X131" s="2" t="str">
        <f>HYPERLINK("https://hsdes.intel.com/resource/14013185503","14013185503")</f>
        <v>14013185503</v>
      </c>
    </row>
    <row r="132" spans="1:24" x14ac:dyDescent="0.3">
      <c r="A132" s="2" t="str">
        <f>HYPERLINK("https://hsdes.intel.com/resource/14013176151","14013176151")</f>
        <v>14013176151</v>
      </c>
      <c r="B132" s="7" t="s">
        <v>491</v>
      </c>
      <c r="C132" s="7" t="s">
        <v>2017</v>
      </c>
      <c r="D132" s="7" t="s">
        <v>174</v>
      </c>
      <c r="E132" s="7" t="s">
        <v>19</v>
      </c>
      <c r="F132" s="7" t="s">
        <v>20</v>
      </c>
      <c r="G132" s="28" t="s">
        <v>2027</v>
      </c>
      <c r="J132" s="7" t="s">
        <v>31</v>
      </c>
      <c r="M132" s="6"/>
      <c r="O132" s="7" t="s">
        <v>32</v>
      </c>
      <c r="P132" s="7" t="s">
        <v>175</v>
      </c>
      <c r="Q132" s="7" t="s">
        <v>34</v>
      </c>
      <c r="R132" s="7" t="s">
        <v>24</v>
      </c>
      <c r="S132" s="7" t="s">
        <v>492</v>
      </c>
      <c r="T132" s="7" t="s">
        <v>135</v>
      </c>
      <c r="U132" s="7" t="s">
        <v>493</v>
      </c>
      <c r="V132" s="7" t="s">
        <v>179</v>
      </c>
      <c r="X132" s="2" t="str">
        <f>HYPERLINK("https://hsdes.intel.com/resource/14013176151","14013176151")</f>
        <v>14013176151</v>
      </c>
    </row>
    <row r="133" spans="1:24" x14ac:dyDescent="0.3">
      <c r="A133" s="2" t="str">
        <f>HYPERLINK("https://hsdes.intel.com/resource/14013177940","14013177940")</f>
        <v>14013177940</v>
      </c>
      <c r="B133" s="7" t="s">
        <v>494</v>
      </c>
      <c r="C133" s="7" t="s">
        <v>2017</v>
      </c>
      <c r="D133" s="7" t="s">
        <v>238</v>
      </c>
      <c r="E133" s="7" t="s">
        <v>19</v>
      </c>
      <c r="F133" s="7" t="s">
        <v>20</v>
      </c>
      <c r="G133" s="28" t="s">
        <v>2027</v>
      </c>
      <c r="J133" s="7" t="s">
        <v>2006</v>
      </c>
      <c r="M133" s="6">
        <v>44781</v>
      </c>
      <c r="O133" s="7" t="s">
        <v>32</v>
      </c>
      <c r="P133" s="7" t="s">
        <v>186</v>
      </c>
      <c r="Q133" s="7" t="s">
        <v>23</v>
      </c>
      <c r="R133" s="7" t="s">
        <v>147</v>
      </c>
      <c r="S133" s="7" t="s">
        <v>495</v>
      </c>
      <c r="T133" s="7" t="s">
        <v>496</v>
      </c>
      <c r="U133" s="7" t="s">
        <v>497</v>
      </c>
      <c r="V133" s="7" t="s">
        <v>189</v>
      </c>
      <c r="X133" s="2" t="str">
        <f>HYPERLINK("https://hsdes.intel.com/resource/14013177940","14013177940")</f>
        <v>14013177940</v>
      </c>
    </row>
    <row r="134" spans="1:24" x14ac:dyDescent="0.3">
      <c r="A134" s="2" t="str">
        <f>HYPERLINK("https://hsdes.intel.com/resource/14013174814","14013174814")</f>
        <v>14013174814</v>
      </c>
      <c r="B134" s="18" t="s">
        <v>498</v>
      </c>
      <c r="C134" s="7" t="s">
        <v>2017</v>
      </c>
      <c r="D134" s="7" t="s">
        <v>401</v>
      </c>
      <c r="E134" s="7" t="s">
        <v>19</v>
      </c>
      <c r="F134" s="7" t="s">
        <v>20</v>
      </c>
      <c r="G134" s="28" t="s">
        <v>2027</v>
      </c>
      <c r="J134" s="7" t="s">
        <v>1974</v>
      </c>
      <c r="M134" s="6">
        <v>44783</v>
      </c>
      <c r="O134" s="7" t="s">
        <v>32</v>
      </c>
      <c r="P134" s="7" t="s">
        <v>186</v>
      </c>
      <c r="Q134" s="7" t="s">
        <v>34</v>
      </c>
      <c r="R134" s="7" t="s">
        <v>147</v>
      </c>
      <c r="S134" s="7" t="s">
        <v>499</v>
      </c>
      <c r="T134" s="7" t="s">
        <v>205</v>
      </c>
      <c r="U134" s="7" t="s">
        <v>500</v>
      </c>
      <c r="V134" s="7" t="s">
        <v>189</v>
      </c>
      <c r="X134" s="20" t="str">
        <f>HYPERLINK("https://hsdes.intel.com/resource/14013174814","14013174814")</f>
        <v>14013174814</v>
      </c>
    </row>
    <row r="135" spans="1:24" x14ac:dyDescent="0.3">
      <c r="A135" s="5" t="str">
        <f>HYPERLINK("https://hsdes.intel.com/resource/14013174731","14013174731")</f>
        <v>14013174731</v>
      </c>
      <c r="B135" s="18" t="s">
        <v>501</v>
      </c>
      <c r="C135" s="7" t="s">
        <v>2017</v>
      </c>
      <c r="D135" s="7" t="s">
        <v>401</v>
      </c>
      <c r="E135" s="7" t="s">
        <v>19</v>
      </c>
      <c r="F135" s="7" t="s">
        <v>20</v>
      </c>
      <c r="G135" s="28" t="s">
        <v>2027</v>
      </c>
      <c r="J135" s="7" t="s">
        <v>2020</v>
      </c>
      <c r="M135" s="6">
        <v>44783</v>
      </c>
      <c r="O135" s="7" t="s">
        <v>32</v>
      </c>
      <c r="P135" s="7" t="s">
        <v>186</v>
      </c>
      <c r="Q135" s="7" t="s">
        <v>34</v>
      </c>
      <c r="R135" s="7" t="s">
        <v>147</v>
      </c>
      <c r="S135" s="7" t="s">
        <v>502</v>
      </c>
      <c r="T135" s="7" t="s">
        <v>45</v>
      </c>
      <c r="U135" s="7" t="s">
        <v>503</v>
      </c>
      <c r="V135" s="7" t="s">
        <v>189</v>
      </c>
      <c r="X135" s="2" t="str">
        <f>HYPERLINK("https://hsdes.intel.com/resource/14013174731","14013174731")</f>
        <v>14013174731</v>
      </c>
    </row>
    <row r="136" spans="1:24" x14ac:dyDescent="0.3">
      <c r="A136" s="2" t="str">
        <f>HYPERLINK("https://hsdes.intel.com/resource/14013174768","14013174768")</f>
        <v>14013174768</v>
      </c>
      <c r="B136" s="7" t="s">
        <v>504</v>
      </c>
      <c r="C136" s="7" t="s">
        <v>2017</v>
      </c>
      <c r="D136" s="7" t="s">
        <v>238</v>
      </c>
      <c r="E136" s="7" t="s">
        <v>19</v>
      </c>
      <c r="F136" s="7" t="s">
        <v>20</v>
      </c>
      <c r="G136" s="28" t="s">
        <v>2027</v>
      </c>
      <c r="J136" s="7" t="s">
        <v>2006</v>
      </c>
      <c r="M136" s="6">
        <v>44781</v>
      </c>
      <c r="O136" s="7" t="s">
        <v>32</v>
      </c>
      <c r="P136" s="7" t="s">
        <v>186</v>
      </c>
      <c r="Q136" s="7" t="s">
        <v>34</v>
      </c>
      <c r="R136" s="7" t="s">
        <v>147</v>
      </c>
      <c r="S136" s="7" t="s">
        <v>505</v>
      </c>
      <c r="T136" s="7" t="s">
        <v>506</v>
      </c>
      <c r="U136" s="7" t="s">
        <v>507</v>
      </c>
      <c r="V136" s="7" t="s">
        <v>189</v>
      </c>
      <c r="X136" s="2" t="str">
        <f>HYPERLINK("https://hsdes.intel.com/resource/14013174768","14013174768")</f>
        <v>14013174768</v>
      </c>
    </row>
    <row r="137" spans="1:24" x14ac:dyDescent="0.3">
      <c r="A137" s="2" t="str">
        <f>HYPERLINK("https://hsdes.intel.com/resource/14013174775","14013174775")</f>
        <v>14013174775</v>
      </c>
      <c r="B137" s="7" t="s">
        <v>508</v>
      </c>
      <c r="C137" s="7" t="s">
        <v>2017</v>
      </c>
      <c r="D137" s="7" t="s">
        <v>238</v>
      </c>
      <c r="E137" s="7" t="s">
        <v>19</v>
      </c>
      <c r="F137" s="7" t="s">
        <v>20</v>
      </c>
      <c r="G137" s="28" t="s">
        <v>2027</v>
      </c>
      <c r="J137" s="7" t="s">
        <v>2006</v>
      </c>
      <c r="M137" s="6">
        <v>44781</v>
      </c>
      <c r="O137" s="7" t="s">
        <v>32</v>
      </c>
      <c r="P137" s="7" t="s">
        <v>186</v>
      </c>
      <c r="Q137" s="7" t="s">
        <v>34</v>
      </c>
      <c r="R137" s="7" t="s">
        <v>147</v>
      </c>
      <c r="S137" s="7" t="s">
        <v>509</v>
      </c>
      <c r="T137" s="7" t="s">
        <v>510</v>
      </c>
      <c r="U137" s="7" t="s">
        <v>511</v>
      </c>
      <c r="V137" s="7" t="s">
        <v>189</v>
      </c>
      <c r="X137" s="2" t="str">
        <f>HYPERLINK("https://hsdes.intel.com/resource/14013174775","14013174775")</f>
        <v>14013174775</v>
      </c>
    </row>
    <row r="138" spans="1:24" x14ac:dyDescent="0.3">
      <c r="A138" s="2" t="str">
        <f>HYPERLINK("https://hsdes.intel.com/resource/14013179142","14013179142")</f>
        <v>14013179142</v>
      </c>
      <c r="B138" s="7" t="s">
        <v>512</v>
      </c>
      <c r="C138" s="7" t="s">
        <v>2017</v>
      </c>
      <c r="D138" s="7" t="s">
        <v>238</v>
      </c>
      <c r="E138" s="7" t="s">
        <v>19</v>
      </c>
      <c r="F138" s="7" t="s">
        <v>20</v>
      </c>
      <c r="G138" s="28" t="s">
        <v>2027</v>
      </c>
      <c r="J138" s="7" t="s">
        <v>2006</v>
      </c>
      <c r="M138" s="6">
        <v>44781</v>
      </c>
      <c r="O138" s="7" t="s">
        <v>32</v>
      </c>
      <c r="P138" s="7" t="s">
        <v>186</v>
      </c>
      <c r="Q138" s="7" t="s">
        <v>23</v>
      </c>
      <c r="R138" s="7" t="s">
        <v>147</v>
      </c>
      <c r="S138" s="7" t="s">
        <v>513</v>
      </c>
      <c r="T138" s="7" t="s">
        <v>485</v>
      </c>
      <c r="U138" s="7" t="s">
        <v>514</v>
      </c>
      <c r="V138" s="7" t="s">
        <v>189</v>
      </c>
      <c r="X138" s="2" t="str">
        <f>HYPERLINK("https://hsdes.intel.com/resource/14013179142","14013179142")</f>
        <v>14013179142</v>
      </c>
    </row>
    <row r="139" spans="1:24" x14ac:dyDescent="0.3">
      <c r="A139" s="2" t="str">
        <f>HYPERLINK("https://hsdes.intel.com/resource/14013174033","14013174033")</f>
        <v>14013174033</v>
      </c>
      <c r="B139" s="7" t="s">
        <v>515</v>
      </c>
      <c r="C139" s="7" t="s">
        <v>2017</v>
      </c>
      <c r="D139" s="7" t="s">
        <v>238</v>
      </c>
      <c r="E139" s="7" t="s">
        <v>19</v>
      </c>
      <c r="F139" s="7" t="s">
        <v>20</v>
      </c>
      <c r="G139" s="28" t="s">
        <v>2027</v>
      </c>
      <c r="J139" s="7" t="s">
        <v>2006</v>
      </c>
      <c r="M139" s="6">
        <v>44781</v>
      </c>
      <c r="O139" s="7" t="s">
        <v>104</v>
      </c>
      <c r="P139" s="7" t="s">
        <v>186</v>
      </c>
      <c r="Q139" s="7" t="s">
        <v>23</v>
      </c>
      <c r="R139" s="7" t="s">
        <v>147</v>
      </c>
      <c r="S139" s="7" t="s">
        <v>516</v>
      </c>
      <c r="T139" s="7" t="s">
        <v>205</v>
      </c>
      <c r="U139" s="7" t="s">
        <v>517</v>
      </c>
      <c r="V139" s="7" t="s">
        <v>189</v>
      </c>
      <c r="X139" s="2" t="str">
        <f>HYPERLINK("https://hsdes.intel.com/resource/14013174033","14013174033")</f>
        <v>14013174033</v>
      </c>
    </row>
    <row r="140" spans="1:24" x14ac:dyDescent="0.3">
      <c r="A140" s="3" t="str">
        <f>HYPERLINK("https://hsdes.intel.com/resource/14013178318","14013178318")</f>
        <v>14013178318</v>
      </c>
      <c r="B140" s="7" t="s">
        <v>518</v>
      </c>
      <c r="C140" s="7" t="s">
        <v>2017</v>
      </c>
      <c r="D140" s="7" t="s">
        <v>238</v>
      </c>
      <c r="E140" s="7" t="s">
        <v>19</v>
      </c>
      <c r="F140" s="7" t="s">
        <v>20</v>
      </c>
      <c r="G140" s="28" t="s">
        <v>2027</v>
      </c>
      <c r="J140" s="7" t="s">
        <v>2006</v>
      </c>
      <c r="M140" s="6">
        <v>44781</v>
      </c>
      <c r="O140" s="7" t="s">
        <v>32</v>
      </c>
      <c r="P140" s="7" t="s">
        <v>186</v>
      </c>
      <c r="Q140" s="7" t="s">
        <v>23</v>
      </c>
      <c r="R140" s="7" t="s">
        <v>147</v>
      </c>
      <c r="S140" s="7" t="s">
        <v>519</v>
      </c>
      <c r="T140" s="7" t="s">
        <v>205</v>
      </c>
      <c r="U140" s="7" t="s">
        <v>520</v>
      </c>
      <c r="V140" s="7" t="s">
        <v>189</v>
      </c>
      <c r="X140" s="3" t="str">
        <f>HYPERLINK("https://hsdes.intel.com/resource/14013178318","14013178318")</f>
        <v>14013178318</v>
      </c>
    </row>
    <row r="141" spans="1:24" x14ac:dyDescent="0.3">
      <c r="A141" s="2" t="str">
        <f>HYPERLINK("https://hsdes.intel.com/resource/14013177930","14013177930")</f>
        <v>14013177930</v>
      </c>
      <c r="B141" s="7" t="s">
        <v>521</v>
      </c>
      <c r="C141" s="7" t="s">
        <v>2017</v>
      </c>
      <c r="D141" s="7" t="s">
        <v>238</v>
      </c>
      <c r="E141" s="7" t="s">
        <v>19</v>
      </c>
      <c r="F141" s="7" t="s">
        <v>20</v>
      </c>
      <c r="G141" s="28" t="s">
        <v>2027</v>
      </c>
      <c r="J141" s="7" t="s">
        <v>2006</v>
      </c>
      <c r="M141" s="6">
        <v>44781</v>
      </c>
      <c r="O141" s="7" t="s">
        <v>104</v>
      </c>
      <c r="P141" s="7" t="s">
        <v>186</v>
      </c>
      <c r="Q141" s="7" t="s">
        <v>34</v>
      </c>
      <c r="R141" s="7" t="s">
        <v>147</v>
      </c>
      <c r="S141" s="7" t="s">
        <v>522</v>
      </c>
      <c r="T141" s="7" t="s">
        <v>205</v>
      </c>
      <c r="U141" s="7" t="s">
        <v>523</v>
      </c>
      <c r="V141" s="7" t="s">
        <v>189</v>
      </c>
      <c r="X141" s="2" t="str">
        <f>HYPERLINK("https://hsdes.intel.com/resource/14013177930","14013177930")</f>
        <v>14013177930</v>
      </c>
    </row>
    <row r="142" spans="1:24" x14ac:dyDescent="0.3">
      <c r="A142" s="5" t="str">
        <f>HYPERLINK("https://hsdes.intel.com/resource/14013177961","14013177961")</f>
        <v>14013177961</v>
      </c>
      <c r="B142" s="18" t="s">
        <v>524</v>
      </c>
      <c r="C142" s="7" t="s">
        <v>2017</v>
      </c>
      <c r="D142" s="7" t="s">
        <v>238</v>
      </c>
      <c r="E142" s="7" t="s">
        <v>19</v>
      </c>
      <c r="F142" s="7" t="s">
        <v>20</v>
      </c>
      <c r="G142" s="28" t="s">
        <v>2027</v>
      </c>
      <c r="J142" s="7" t="s">
        <v>2006</v>
      </c>
      <c r="L142" s="7" t="s">
        <v>2005</v>
      </c>
      <c r="M142" s="6">
        <v>44785</v>
      </c>
      <c r="N142" s="6"/>
      <c r="O142" s="7" t="s">
        <v>104</v>
      </c>
      <c r="P142" s="7" t="s">
        <v>186</v>
      </c>
      <c r="Q142" s="7" t="s">
        <v>23</v>
      </c>
      <c r="R142" s="7" t="s">
        <v>147</v>
      </c>
      <c r="S142" s="7" t="s">
        <v>525</v>
      </c>
      <c r="T142" s="7" t="s">
        <v>205</v>
      </c>
      <c r="U142" s="7" t="s">
        <v>526</v>
      </c>
      <c r="V142" s="7" t="s">
        <v>189</v>
      </c>
      <c r="X142" s="5" t="str">
        <f>HYPERLINK("https://hsdes.intel.com/resource/14013177961","14013177961")</f>
        <v>14013177961</v>
      </c>
    </row>
    <row r="143" spans="1:24" x14ac:dyDescent="0.3">
      <c r="A143" s="3" t="str">
        <f>HYPERLINK("https://hsdes.intel.com/resource/14013185356","14013185356")</f>
        <v>14013185356</v>
      </c>
      <c r="B143" s="7" t="s">
        <v>527</v>
      </c>
      <c r="C143" s="7" t="s">
        <v>2017</v>
      </c>
      <c r="D143" s="7" t="s">
        <v>238</v>
      </c>
      <c r="E143" s="7" t="s">
        <v>19</v>
      </c>
      <c r="F143" s="7" t="s">
        <v>20</v>
      </c>
      <c r="G143" s="28" t="s">
        <v>2027</v>
      </c>
      <c r="J143" s="7" t="s">
        <v>2006</v>
      </c>
      <c r="M143" s="6">
        <v>44781</v>
      </c>
      <c r="O143" s="7" t="s">
        <v>32</v>
      </c>
      <c r="P143" s="7" t="s">
        <v>186</v>
      </c>
      <c r="Q143" s="7" t="s">
        <v>23</v>
      </c>
      <c r="R143" s="7" t="s">
        <v>147</v>
      </c>
      <c r="S143" s="7" t="s">
        <v>528</v>
      </c>
      <c r="T143" s="7" t="s">
        <v>485</v>
      </c>
      <c r="U143" s="7" t="s">
        <v>529</v>
      </c>
      <c r="V143" s="7" t="s">
        <v>189</v>
      </c>
      <c r="X143" s="3" t="str">
        <f>HYPERLINK("https://hsdes.intel.com/resource/14013185356","14013185356")</f>
        <v>14013185356</v>
      </c>
    </row>
    <row r="144" spans="1:24" x14ac:dyDescent="0.3">
      <c r="A144" s="2" t="str">
        <f>HYPERLINK("https://hsdes.intel.com/resource/14013183750","14013183750")</f>
        <v>14013183750</v>
      </c>
      <c r="B144" s="7" t="s">
        <v>530</v>
      </c>
      <c r="C144" s="7" t="s">
        <v>2017</v>
      </c>
      <c r="D144" s="7" t="s">
        <v>238</v>
      </c>
      <c r="E144" s="7" t="s">
        <v>19</v>
      </c>
      <c r="F144" s="7" t="s">
        <v>20</v>
      </c>
      <c r="G144" s="28" t="s">
        <v>2027</v>
      </c>
      <c r="J144" s="7" t="s">
        <v>2006</v>
      </c>
      <c r="M144" s="6">
        <v>44781</v>
      </c>
      <c r="O144" s="7" t="s">
        <v>32</v>
      </c>
      <c r="P144" s="7" t="s">
        <v>186</v>
      </c>
      <c r="Q144" s="7" t="s">
        <v>23</v>
      </c>
      <c r="R144" s="7" t="s">
        <v>147</v>
      </c>
      <c r="S144" s="7" t="s">
        <v>531</v>
      </c>
      <c r="T144" s="7" t="s">
        <v>205</v>
      </c>
      <c r="U144" s="7" t="s">
        <v>532</v>
      </c>
      <c r="V144" s="7" t="s">
        <v>189</v>
      </c>
      <c r="X144" s="2" t="str">
        <f>HYPERLINK("https://hsdes.intel.com/resource/14013183750","14013183750")</f>
        <v>14013183750</v>
      </c>
    </row>
    <row r="145" spans="1:24" x14ac:dyDescent="0.3">
      <c r="A145" s="2" t="str">
        <f>HYPERLINK("https://hsdes.intel.com/resource/14013179166","14013179166")</f>
        <v>14013179166</v>
      </c>
      <c r="B145" s="7" t="s">
        <v>533</v>
      </c>
      <c r="C145" s="7" t="s">
        <v>2017</v>
      </c>
      <c r="D145" s="7" t="s">
        <v>238</v>
      </c>
      <c r="E145" s="7" t="s">
        <v>19</v>
      </c>
      <c r="F145" s="7" t="s">
        <v>20</v>
      </c>
      <c r="G145" s="28" t="s">
        <v>2027</v>
      </c>
      <c r="J145" s="7" t="s">
        <v>2006</v>
      </c>
      <c r="M145" s="6">
        <v>44781</v>
      </c>
      <c r="O145" s="7" t="s">
        <v>32</v>
      </c>
      <c r="P145" s="7" t="s">
        <v>186</v>
      </c>
      <c r="Q145" s="7" t="s">
        <v>23</v>
      </c>
      <c r="R145" s="7" t="s">
        <v>147</v>
      </c>
      <c r="S145" s="7" t="s">
        <v>534</v>
      </c>
      <c r="T145" s="7" t="s">
        <v>205</v>
      </c>
      <c r="U145" s="7" t="s">
        <v>535</v>
      </c>
      <c r="V145" s="7" t="s">
        <v>189</v>
      </c>
      <c r="X145" s="2" t="str">
        <f>HYPERLINK("https://hsdes.intel.com/resource/14013179166","14013179166")</f>
        <v>14013179166</v>
      </c>
    </row>
    <row r="146" spans="1:24" x14ac:dyDescent="0.3">
      <c r="A146" s="2" t="str">
        <f>HYPERLINK("https://hsdes.intel.com/resource/14013178326","14013178326")</f>
        <v>14013178326</v>
      </c>
      <c r="B146" s="7" t="s">
        <v>536</v>
      </c>
      <c r="C146" s="7" t="s">
        <v>2017</v>
      </c>
      <c r="D146" s="7" t="s">
        <v>238</v>
      </c>
      <c r="E146" s="7" t="s">
        <v>19</v>
      </c>
      <c r="F146" s="7" t="s">
        <v>20</v>
      </c>
      <c r="G146" s="28" t="s">
        <v>2027</v>
      </c>
      <c r="J146" s="7" t="s">
        <v>2006</v>
      </c>
      <c r="M146" s="6">
        <v>44781</v>
      </c>
      <c r="O146" s="7" t="s">
        <v>32</v>
      </c>
      <c r="P146" s="7" t="s">
        <v>186</v>
      </c>
      <c r="Q146" s="7" t="s">
        <v>23</v>
      </c>
      <c r="R146" s="7" t="s">
        <v>147</v>
      </c>
      <c r="S146" s="7" t="s">
        <v>537</v>
      </c>
      <c r="T146" s="7" t="s">
        <v>205</v>
      </c>
      <c r="U146" s="7" t="s">
        <v>538</v>
      </c>
      <c r="V146" s="7" t="s">
        <v>189</v>
      </c>
      <c r="X146" s="2" t="str">
        <f>HYPERLINK("https://hsdes.intel.com/resource/14013178326","14013178326")</f>
        <v>14013178326</v>
      </c>
    </row>
    <row r="147" spans="1:24" x14ac:dyDescent="0.3">
      <c r="A147" s="2" t="str">
        <f>HYPERLINK("https://hsdes.intel.com/resource/14013158143","14013158143")</f>
        <v>14013158143</v>
      </c>
      <c r="B147" s="7" t="s">
        <v>539</v>
      </c>
      <c r="C147" s="7" t="s">
        <v>2017</v>
      </c>
      <c r="D147" s="7" t="s">
        <v>238</v>
      </c>
      <c r="E147" s="7" t="s">
        <v>19</v>
      </c>
      <c r="F147" s="7" t="s">
        <v>20</v>
      </c>
      <c r="G147" s="28" t="s">
        <v>2027</v>
      </c>
      <c r="J147" s="7" t="s">
        <v>2006</v>
      </c>
      <c r="M147" s="6">
        <v>44781</v>
      </c>
      <c r="O147" s="7" t="s">
        <v>32</v>
      </c>
      <c r="P147" s="7" t="s">
        <v>186</v>
      </c>
      <c r="Q147" s="7" t="s">
        <v>23</v>
      </c>
      <c r="R147" s="7" t="s">
        <v>147</v>
      </c>
      <c r="S147" s="7" t="s">
        <v>540</v>
      </c>
      <c r="T147" s="7" t="s">
        <v>205</v>
      </c>
      <c r="U147" s="7" t="s">
        <v>541</v>
      </c>
      <c r="V147" s="7" t="s">
        <v>189</v>
      </c>
      <c r="X147" s="2" t="str">
        <f>HYPERLINK("https://hsdes.intel.com/resource/14013158143","14013158143")</f>
        <v>14013158143</v>
      </c>
    </row>
    <row r="148" spans="1:24" x14ac:dyDescent="0.3">
      <c r="A148" s="2" t="str">
        <f>HYPERLINK("https://hsdes.intel.com/resource/14013179255","14013179255")</f>
        <v>14013179255</v>
      </c>
      <c r="B148" s="18" t="s">
        <v>542</v>
      </c>
      <c r="C148" s="7" t="s">
        <v>2017</v>
      </c>
      <c r="D148" s="7" t="s">
        <v>138</v>
      </c>
      <c r="E148" s="7" t="s">
        <v>19</v>
      </c>
      <c r="F148" s="7" t="s">
        <v>20</v>
      </c>
      <c r="G148" s="28" t="s">
        <v>2027</v>
      </c>
      <c r="J148" s="7" t="s">
        <v>2006</v>
      </c>
      <c r="M148" s="6">
        <v>44785</v>
      </c>
      <c r="O148" s="7" t="s">
        <v>32</v>
      </c>
      <c r="P148" s="7" t="s">
        <v>78</v>
      </c>
      <c r="Q148" s="7" t="s">
        <v>34</v>
      </c>
      <c r="R148" s="7" t="s">
        <v>24</v>
      </c>
      <c r="S148" s="7" t="s">
        <v>543</v>
      </c>
      <c r="T148" s="7" t="s">
        <v>244</v>
      </c>
      <c r="U148" s="7" t="s">
        <v>544</v>
      </c>
      <c r="V148" s="7" t="s">
        <v>142</v>
      </c>
      <c r="X148" s="2" t="str">
        <f>HYPERLINK("https://hsdes.intel.com/resource/14013179255","14013179255")</f>
        <v>14013179255</v>
      </c>
    </row>
    <row r="149" spans="1:24" x14ac:dyDescent="0.3">
      <c r="A149" s="2" t="str">
        <f>HYPERLINK("https://hsdes.intel.com/resource/14013184540","14013184540")</f>
        <v>14013184540</v>
      </c>
      <c r="B149" s="7" t="s">
        <v>545</v>
      </c>
      <c r="C149" s="7" t="s">
        <v>2017</v>
      </c>
      <c r="D149" s="7" t="s">
        <v>546</v>
      </c>
      <c r="E149" s="7" t="s">
        <v>19</v>
      </c>
      <c r="F149" s="7" t="s">
        <v>20</v>
      </c>
      <c r="G149" s="28" t="s">
        <v>2027</v>
      </c>
      <c r="J149" s="7" t="s">
        <v>2006</v>
      </c>
      <c r="M149" s="6">
        <v>44781</v>
      </c>
      <c r="O149" s="7" t="s">
        <v>32</v>
      </c>
      <c r="P149" s="7" t="s">
        <v>186</v>
      </c>
      <c r="Q149" s="7" t="s">
        <v>23</v>
      </c>
      <c r="R149" s="7" t="s">
        <v>147</v>
      </c>
      <c r="S149" s="7" t="s">
        <v>547</v>
      </c>
      <c r="T149" s="7" t="s">
        <v>182</v>
      </c>
      <c r="U149" s="7" t="s">
        <v>548</v>
      </c>
      <c r="V149" s="7" t="s">
        <v>189</v>
      </c>
      <c r="X149" s="2" t="str">
        <f>HYPERLINK("https://hsdes.intel.com/resource/14013184540","14013184540")</f>
        <v>14013184540</v>
      </c>
    </row>
    <row r="150" spans="1:24" x14ac:dyDescent="0.3">
      <c r="A150" s="2" t="str">
        <f>HYPERLINK("https://hsdes.intel.com/resource/14013165521","14013165521")</f>
        <v>14013165521</v>
      </c>
      <c r="B150" s="7" t="s">
        <v>549</v>
      </c>
      <c r="C150" s="7" t="s">
        <v>1975</v>
      </c>
      <c r="D150" s="7" t="s">
        <v>550</v>
      </c>
      <c r="E150" s="7" t="s">
        <v>19</v>
      </c>
      <c r="F150" s="7" t="s">
        <v>20</v>
      </c>
      <c r="G150" s="28" t="s">
        <v>2027</v>
      </c>
      <c r="J150" s="7" t="s">
        <v>1974</v>
      </c>
      <c r="L150" s="7" t="s">
        <v>551</v>
      </c>
      <c r="M150" s="6"/>
      <c r="O150" s="7" t="s">
        <v>104</v>
      </c>
      <c r="P150" s="7" t="s">
        <v>22</v>
      </c>
      <c r="Q150" s="7" t="s">
        <v>34</v>
      </c>
      <c r="R150" s="7" t="s">
        <v>24</v>
      </c>
      <c r="S150" s="7" t="s">
        <v>552</v>
      </c>
      <c r="T150" s="7" t="s">
        <v>553</v>
      </c>
      <c r="U150" s="7" t="s">
        <v>554</v>
      </c>
      <c r="V150" s="7" t="s">
        <v>172</v>
      </c>
      <c r="X150" s="2" t="str">
        <f>HYPERLINK("https://hsdes.intel.com/resource/14013165521","14013165521")</f>
        <v>14013165521</v>
      </c>
    </row>
    <row r="151" spans="1:24" x14ac:dyDescent="0.3">
      <c r="A151" s="2" t="str">
        <f>HYPERLINK("https://hsdes.intel.com/resource/14013176861","14013176861")</f>
        <v>14013176861</v>
      </c>
      <c r="B151" s="7" t="s">
        <v>555</v>
      </c>
      <c r="C151" s="7" t="s">
        <v>2017</v>
      </c>
      <c r="D151" s="7" t="s">
        <v>174</v>
      </c>
      <c r="E151" s="7" t="s">
        <v>122</v>
      </c>
      <c r="F151" s="7" t="s">
        <v>20</v>
      </c>
      <c r="G151" s="28" t="s">
        <v>2027</v>
      </c>
      <c r="J151" s="7" t="s">
        <v>31</v>
      </c>
      <c r="M151" s="6"/>
      <c r="O151" s="7" t="s">
        <v>32</v>
      </c>
      <c r="P151" s="7" t="s">
        <v>175</v>
      </c>
      <c r="Q151" s="7" t="s">
        <v>34</v>
      </c>
      <c r="R151" s="7" t="s">
        <v>24</v>
      </c>
      <c r="S151" s="7" t="s">
        <v>556</v>
      </c>
      <c r="T151" s="7" t="s">
        <v>205</v>
      </c>
      <c r="U151" s="7" t="s">
        <v>557</v>
      </c>
      <c r="V151" s="7" t="s">
        <v>179</v>
      </c>
      <c r="X151" s="2" t="str">
        <f>HYPERLINK("https://hsdes.intel.com/resource/14013176861","14013176861")</f>
        <v>14013176861</v>
      </c>
    </row>
    <row r="152" spans="1:24" x14ac:dyDescent="0.3">
      <c r="A152" s="2" t="str">
        <f>HYPERLINK("https://hsdes.intel.com/resource/14013173927","14013173927")</f>
        <v>14013173927</v>
      </c>
      <c r="B152" s="7" t="s">
        <v>558</v>
      </c>
      <c r="C152" s="7" t="s">
        <v>2017</v>
      </c>
      <c r="D152" s="7" t="s">
        <v>247</v>
      </c>
      <c r="E152" s="7" t="s">
        <v>19</v>
      </c>
      <c r="F152" s="7" t="s">
        <v>20</v>
      </c>
      <c r="G152" s="28" t="s">
        <v>2027</v>
      </c>
      <c r="J152" s="7" t="s">
        <v>31</v>
      </c>
      <c r="M152" s="6"/>
      <c r="O152" s="7" t="s">
        <v>32</v>
      </c>
      <c r="P152" s="7" t="s">
        <v>186</v>
      </c>
      <c r="Q152" s="7" t="s">
        <v>34</v>
      </c>
      <c r="R152" s="7" t="s">
        <v>147</v>
      </c>
      <c r="S152" s="7" t="s">
        <v>559</v>
      </c>
      <c r="T152" s="7" t="s">
        <v>244</v>
      </c>
      <c r="U152" s="7" t="s">
        <v>560</v>
      </c>
      <c r="V152" s="7" t="s">
        <v>189</v>
      </c>
      <c r="X152" s="2" t="str">
        <f>HYPERLINK("https://hsdes.intel.com/resource/14013173927","14013173927")</f>
        <v>14013173927</v>
      </c>
    </row>
    <row r="153" spans="1:24" x14ac:dyDescent="0.3">
      <c r="A153" s="2" t="str">
        <f>HYPERLINK("https://hsdes.intel.com/resource/16012963869","16012963869")</f>
        <v>16012963869</v>
      </c>
      <c r="B153" s="7" t="s">
        <v>561</v>
      </c>
      <c r="C153" s="7" t="s">
        <v>2017</v>
      </c>
      <c r="D153" s="7" t="s">
        <v>238</v>
      </c>
      <c r="E153" s="7" t="s">
        <v>19</v>
      </c>
      <c r="F153" s="7" t="s">
        <v>20</v>
      </c>
      <c r="G153" s="28" t="s">
        <v>2027</v>
      </c>
      <c r="J153" s="7" t="s">
        <v>2006</v>
      </c>
      <c r="M153" s="6">
        <v>44781</v>
      </c>
      <c r="O153" s="7" t="s">
        <v>32</v>
      </c>
      <c r="P153" s="7" t="s">
        <v>186</v>
      </c>
      <c r="Q153" s="7" t="s">
        <v>23</v>
      </c>
      <c r="R153" s="7" t="s">
        <v>147</v>
      </c>
      <c r="S153" s="7" t="s">
        <v>562</v>
      </c>
      <c r="T153" s="7" t="s">
        <v>205</v>
      </c>
      <c r="U153" s="7" t="s">
        <v>563</v>
      </c>
      <c r="V153" s="7" t="s">
        <v>189</v>
      </c>
      <c r="X153" s="2" t="str">
        <f>HYPERLINK("https://hsdes.intel.com/resource/16012963869","16012963869")</f>
        <v>16012963869</v>
      </c>
    </row>
    <row r="154" spans="1:24" x14ac:dyDescent="0.3">
      <c r="A154" s="2" t="str">
        <f>HYPERLINK("https://hsdes.intel.com/resource/22011834336","22011834336")</f>
        <v>22011834336</v>
      </c>
      <c r="B154" s="18" t="s">
        <v>564</v>
      </c>
      <c r="C154" s="7" t="s">
        <v>2017</v>
      </c>
      <c r="D154" s="7" t="s">
        <v>138</v>
      </c>
      <c r="E154" s="7" t="s">
        <v>19</v>
      </c>
      <c r="F154" s="7" t="s">
        <v>20</v>
      </c>
      <c r="G154" s="28" t="s">
        <v>2027</v>
      </c>
      <c r="J154" s="7" t="s">
        <v>2006</v>
      </c>
      <c r="L154" s="7" t="s">
        <v>275</v>
      </c>
      <c r="M154" s="6">
        <v>44785</v>
      </c>
      <c r="O154" s="7" t="s">
        <v>32</v>
      </c>
      <c r="P154" s="7" t="s">
        <v>78</v>
      </c>
      <c r="Q154" s="7" t="s">
        <v>34</v>
      </c>
      <c r="R154" s="7" t="s">
        <v>147</v>
      </c>
      <c r="S154" s="7" t="s">
        <v>565</v>
      </c>
      <c r="T154" s="7" t="s">
        <v>566</v>
      </c>
      <c r="U154" s="7" t="s">
        <v>567</v>
      </c>
      <c r="V154" s="7" t="s">
        <v>142</v>
      </c>
      <c r="X154" s="2" t="str">
        <f>HYPERLINK("https://hsdes.intel.com/resource/22011834336","22011834336")</f>
        <v>22011834336</v>
      </c>
    </row>
    <row r="155" spans="1:24" x14ac:dyDescent="0.3">
      <c r="A155" s="2" t="str">
        <f>HYPERLINK("https://hsdes.intel.com/resource/14013177299","14013177299")</f>
        <v>14013177299</v>
      </c>
      <c r="B155" s="7" t="s">
        <v>568</v>
      </c>
      <c r="C155" s="7" t="s">
        <v>1975</v>
      </c>
      <c r="D155" s="7" t="s">
        <v>30</v>
      </c>
      <c r="E155" s="7" t="s">
        <v>19</v>
      </c>
      <c r="F155" s="7" t="s">
        <v>20</v>
      </c>
      <c r="G155" s="28" t="s">
        <v>2027</v>
      </c>
      <c r="J155" s="7" t="s">
        <v>1974</v>
      </c>
      <c r="L155" s="7" t="s">
        <v>569</v>
      </c>
      <c r="M155" s="6"/>
      <c r="O155" s="7" t="s">
        <v>32</v>
      </c>
      <c r="P155" s="7" t="s">
        <v>175</v>
      </c>
      <c r="Q155" s="7" t="s">
        <v>34</v>
      </c>
      <c r="R155" s="7" t="s">
        <v>24</v>
      </c>
      <c r="S155" s="7" t="s">
        <v>570</v>
      </c>
      <c r="T155" s="7" t="s">
        <v>135</v>
      </c>
      <c r="U155" s="7" t="s">
        <v>571</v>
      </c>
      <c r="V155" s="7" t="s">
        <v>179</v>
      </c>
      <c r="X155" s="2" t="str">
        <f>HYPERLINK("https://hsdes.intel.com/resource/14013177299","14013177299")</f>
        <v>14013177299</v>
      </c>
    </row>
    <row r="156" spans="1:24" x14ac:dyDescent="0.3">
      <c r="A156" s="2" t="str">
        <f>HYPERLINK("https://hsdes.intel.com/resource/14013177439","14013177439")</f>
        <v>14013177439</v>
      </c>
      <c r="B156" s="7" t="s">
        <v>572</v>
      </c>
      <c r="C156" s="7" t="s">
        <v>2017</v>
      </c>
      <c r="D156" s="7" t="s">
        <v>30</v>
      </c>
      <c r="E156" s="7" t="s">
        <v>19</v>
      </c>
      <c r="F156" s="7" t="s">
        <v>20</v>
      </c>
      <c r="G156" s="28" t="s">
        <v>2027</v>
      </c>
      <c r="J156" s="7" t="s">
        <v>31</v>
      </c>
      <c r="M156" s="6"/>
      <c r="O156" s="7" t="s">
        <v>32</v>
      </c>
      <c r="P156" s="7" t="s">
        <v>175</v>
      </c>
      <c r="Q156" s="7" t="s">
        <v>34</v>
      </c>
      <c r="R156" s="7" t="s">
        <v>147</v>
      </c>
      <c r="S156" s="7" t="s">
        <v>573</v>
      </c>
      <c r="T156" s="7" t="s">
        <v>135</v>
      </c>
      <c r="U156" s="7" t="s">
        <v>574</v>
      </c>
      <c r="V156" s="7" t="s">
        <v>179</v>
      </c>
      <c r="X156" s="2" t="str">
        <f>HYPERLINK("https://hsdes.intel.com/resource/14013177439","14013177439")</f>
        <v>14013177439</v>
      </c>
    </row>
    <row r="157" spans="1:24" x14ac:dyDescent="0.3">
      <c r="A157" s="5" t="str">
        <f>HYPERLINK("https://hsdes.intel.com/resource/16012975448","16012975448")</f>
        <v>16012975448</v>
      </c>
      <c r="B157" s="7" t="s">
        <v>575</v>
      </c>
      <c r="C157" s="7" t="s">
        <v>2017</v>
      </c>
      <c r="D157" s="7" t="s">
        <v>257</v>
      </c>
      <c r="E157" s="7" t="s">
        <v>19</v>
      </c>
      <c r="F157" s="7" t="s">
        <v>20</v>
      </c>
      <c r="G157" s="28" t="s">
        <v>2027</v>
      </c>
      <c r="J157" s="7" t="s">
        <v>2020</v>
      </c>
      <c r="M157" s="6">
        <v>44784</v>
      </c>
      <c r="O157" s="7" t="s">
        <v>104</v>
      </c>
      <c r="P157" s="7" t="s">
        <v>163</v>
      </c>
      <c r="Q157" s="7" t="s">
        <v>34</v>
      </c>
      <c r="R157" s="7" t="s">
        <v>147</v>
      </c>
      <c r="T157" s="7" t="s">
        <v>205</v>
      </c>
      <c r="U157" s="7" t="s">
        <v>576</v>
      </c>
      <c r="X157" s="2" t="str">
        <f>HYPERLINK("https://hsdes.intel.com/resource/16012975448","16012975448")</f>
        <v>16012975448</v>
      </c>
    </row>
    <row r="158" spans="1:24" x14ac:dyDescent="0.3">
      <c r="A158" s="2" t="str">
        <f>HYPERLINK("https://hsdes.intel.com/resource/14013158543","14013158543")</f>
        <v>14013158543</v>
      </c>
      <c r="B158" s="7" t="s">
        <v>577</v>
      </c>
      <c r="C158" s="7" t="s">
        <v>2017</v>
      </c>
      <c r="D158" s="7" t="s">
        <v>578</v>
      </c>
      <c r="E158" s="7" t="s">
        <v>19</v>
      </c>
      <c r="F158" s="7" t="s">
        <v>20</v>
      </c>
      <c r="G158" s="28" t="s">
        <v>2027</v>
      </c>
      <c r="J158" s="7" t="s">
        <v>2004</v>
      </c>
      <c r="M158" s="6">
        <v>44785</v>
      </c>
      <c r="O158" s="7" t="s">
        <v>104</v>
      </c>
      <c r="P158" s="7" t="s">
        <v>33</v>
      </c>
      <c r="Q158" s="7" t="s">
        <v>34</v>
      </c>
      <c r="R158" s="7" t="s">
        <v>24</v>
      </c>
      <c r="S158" s="7" t="s">
        <v>579</v>
      </c>
      <c r="T158" s="7" t="s">
        <v>244</v>
      </c>
      <c r="U158" s="7" t="s">
        <v>580</v>
      </c>
      <c r="V158" s="7" t="s">
        <v>38</v>
      </c>
      <c r="X158" s="2" t="str">
        <f>HYPERLINK("https://hsdes.intel.com/resource/14013158543","14013158543")</f>
        <v>14013158543</v>
      </c>
    </row>
    <row r="159" spans="1:24" x14ac:dyDescent="0.3">
      <c r="A159" s="2" t="str">
        <f>HYPERLINK("https://hsdes.intel.com/resource/14013162406","14013162406")</f>
        <v>14013162406</v>
      </c>
      <c r="B159" s="7" t="s">
        <v>581</v>
      </c>
      <c r="C159" s="7" t="s">
        <v>2017</v>
      </c>
      <c r="D159" s="7" t="s">
        <v>267</v>
      </c>
      <c r="E159" s="7" t="s">
        <v>19</v>
      </c>
      <c r="F159" s="7" t="s">
        <v>20</v>
      </c>
      <c r="G159" s="28" t="s">
        <v>2027</v>
      </c>
      <c r="J159" s="7" t="s">
        <v>2004</v>
      </c>
      <c r="L159" s="7" t="s">
        <v>1977</v>
      </c>
      <c r="M159" s="6">
        <v>44785</v>
      </c>
      <c r="O159" s="7" t="s">
        <v>32</v>
      </c>
      <c r="P159" s="7" t="s">
        <v>33</v>
      </c>
      <c r="Q159" s="7" t="s">
        <v>34</v>
      </c>
      <c r="R159" s="7" t="s">
        <v>147</v>
      </c>
      <c r="S159" s="7" t="s">
        <v>582</v>
      </c>
      <c r="T159" s="7" t="s">
        <v>205</v>
      </c>
      <c r="U159" s="7" t="s">
        <v>583</v>
      </c>
      <c r="V159" s="7" t="s">
        <v>270</v>
      </c>
      <c r="X159" s="2" t="str">
        <f>HYPERLINK("https://hsdes.intel.com/resource/14013162406","14013162406")</f>
        <v>14013162406</v>
      </c>
    </row>
    <row r="160" spans="1:24" x14ac:dyDescent="0.3">
      <c r="A160" s="2" t="str">
        <f>HYPERLINK("https://hsdes.intel.com/resource/14013118918","14013118918")</f>
        <v>14013118918</v>
      </c>
      <c r="B160" s="7" t="s">
        <v>584</v>
      </c>
      <c r="C160" s="7" t="s">
        <v>2018</v>
      </c>
      <c r="D160" s="7" t="s">
        <v>30</v>
      </c>
      <c r="E160" s="7" t="s">
        <v>19</v>
      </c>
      <c r="F160" s="7" t="s">
        <v>20</v>
      </c>
      <c r="G160" s="28" t="s">
        <v>2027</v>
      </c>
      <c r="J160" s="7" t="s">
        <v>2006</v>
      </c>
      <c r="M160" s="6">
        <v>44784</v>
      </c>
      <c r="O160" s="7" t="s">
        <v>32</v>
      </c>
      <c r="P160" s="7" t="s">
        <v>33</v>
      </c>
      <c r="Q160" s="7" t="s">
        <v>34</v>
      </c>
      <c r="R160" s="7" t="s">
        <v>24</v>
      </c>
      <c r="S160" s="7" t="s">
        <v>585</v>
      </c>
      <c r="T160" s="7" t="s">
        <v>205</v>
      </c>
      <c r="U160" s="7" t="s">
        <v>586</v>
      </c>
      <c r="V160" s="7" t="s">
        <v>38</v>
      </c>
      <c r="X160" s="2" t="str">
        <f>HYPERLINK("https://hsdes.intel.com/resource/14013118918","14013118918")</f>
        <v>14013118918</v>
      </c>
    </row>
    <row r="161" spans="1:24" x14ac:dyDescent="0.3">
      <c r="A161" s="2" t="str">
        <f>HYPERLINK("https://hsdes.intel.com/resource/14013176958","14013176958")</f>
        <v>14013176958</v>
      </c>
      <c r="B161" s="7" t="s">
        <v>587</v>
      </c>
      <c r="C161" s="7" t="s">
        <v>2017</v>
      </c>
      <c r="D161" s="7" t="s">
        <v>133</v>
      </c>
      <c r="E161" s="7" t="s">
        <v>122</v>
      </c>
      <c r="F161" s="7" t="s">
        <v>20</v>
      </c>
      <c r="G161" s="28" t="s">
        <v>2027</v>
      </c>
      <c r="J161" s="7" t="s">
        <v>31</v>
      </c>
      <c r="M161" s="6"/>
      <c r="O161" s="7" t="s">
        <v>32</v>
      </c>
      <c r="P161" s="7" t="s">
        <v>175</v>
      </c>
      <c r="Q161" s="7" t="s">
        <v>34</v>
      </c>
      <c r="R161" s="7" t="s">
        <v>147</v>
      </c>
      <c r="S161" s="7" t="s">
        <v>588</v>
      </c>
      <c r="T161" s="7" t="s">
        <v>589</v>
      </c>
      <c r="U161" s="7" t="s">
        <v>590</v>
      </c>
      <c r="V161" s="7" t="s">
        <v>179</v>
      </c>
      <c r="X161" s="2" t="str">
        <f>HYPERLINK("https://hsdes.intel.com/resource/14013176958","14013176958")</f>
        <v>14013176958</v>
      </c>
    </row>
    <row r="162" spans="1:24" x14ac:dyDescent="0.3">
      <c r="A162" s="2" t="str">
        <f>HYPERLINK("https://hsdes.intel.com/resource/14013177014","14013177014")</f>
        <v>14013177014</v>
      </c>
      <c r="B162" s="7" t="s">
        <v>591</v>
      </c>
      <c r="C162" s="7" t="s">
        <v>2018</v>
      </c>
      <c r="D162" s="7" t="s">
        <v>592</v>
      </c>
      <c r="E162" s="7" t="s">
        <v>122</v>
      </c>
      <c r="F162" s="7" t="s">
        <v>20</v>
      </c>
      <c r="G162" s="28" t="s">
        <v>2027</v>
      </c>
      <c r="J162" s="7" t="s">
        <v>2006</v>
      </c>
      <c r="M162" s="6">
        <v>44781</v>
      </c>
      <c r="O162" s="7" t="s">
        <v>21</v>
      </c>
      <c r="P162" s="7" t="s">
        <v>22</v>
      </c>
      <c r="Q162" s="7" t="s">
        <v>34</v>
      </c>
      <c r="R162" s="7" t="s">
        <v>24</v>
      </c>
      <c r="S162" s="7" t="s">
        <v>593</v>
      </c>
      <c r="T162" s="7" t="s">
        <v>205</v>
      </c>
      <c r="U162" s="7" t="s">
        <v>594</v>
      </c>
      <c r="V162" s="7" t="s">
        <v>286</v>
      </c>
      <c r="X162" s="2" t="str">
        <f>HYPERLINK("https://hsdes.intel.com/resource/14013177014","14013177014")</f>
        <v>14013177014</v>
      </c>
    </row>
    <row r="163" spans="1:24" x14ac:dyDescent="0.3">
      <c r="A163" s="2" t="str">
        <f>HYPERLINK("https://hsdes.intel.com/resource/14013162577","14013162577")</f>
        <v>14013162577</v>
      </c>
      <c r="B163" s="7" t="s">
        <v>595</v>
      </c>
      <c r="C163" s="7" t="s">
        <v>2017</v>
      </c>
      <c r="D163" s="7" t="s">
        <v>138</v>
      </c>
      <c r="E163" s="7" t="s">
        <v>19</v>
      </c>
      <c r="F163" s="7" t="s">
        <v>20</v>
      </c>
      <c r="G163" s="28" t="s">
        <v>2027</v>
      </c>
      <c r="J163" s="7" t="s">
        <v>31</v>
      </c>
      <c r="M163" s="6"/>
      <c r="O163" s="7" t="s">
        <v>32</v>
      </c>
      <c r="P163" s="7" t="s">
        <v>78</v>
      </c>
      <c r="Q163" s="7" t="s">
        <v>34</v>
      </c>
      <c r="R163" s="7" t="s">
        <v>24</v>
      </c>
      <c r="S163" s="7" t="s">
        <v>596</v>
      </c>
      <c r="T163" s="7" t="s">
        <v>244</v>
      </c>
      <c r="U163" s="7" t="s">
        <v>597</v>
      </c>
      <c r="V163" s="7" t="s">
        <v>142</v>
      </c>
      <c r="X163" s="2" t="str">
        <f>HYPERLINK("https://hsdes.intel.com/resource/14013162577","14013162577")</f>
        <v>14013162577</v>
      </c>
    </row>
    <row r="164" spans="1:24" x14ac:dyDescent="0.3">
      <c r="A164" s="2" t="str">
        <f>HYPERLINK("https://hsdes.intel.com/resource/14013162512","14013162512")</f>
        <v>14013162512</v>
      </c>
      <c r="B164" s="7" t="s">
        <v>598</v>
      </c>
      <c r="C164" s="7" t="s">
        <v>2017</v>
      </c>
      <c r="D164" s="7" t="s">
        <v>138</v>
      </c>
      <c r="E164" s="7" t="s">
        <v>19</v>
      </c>
      <c r="F164" s="7" t="s">
        <v>20</v>
      </c>
      <c r="G164" s="28" t="s">
        <v>2027</v>
      </c>
      <c r="J164" s="7" t="s">
        <v>31</v>
      </c>
      <c r="M164" s="6"/>
      <c r="O164" s="7" t="s">
        <v>32</v>
      </c>
      <c r="P164" s="7" t="s">
        <v>78</v>
      </c>
      <c r="Q164" s="7" t="s">
        <v>34</v>
      </c>
      <c r="R164" s="7" t="s">
        <v>24</v>
      </c>
      <c r="S164" s="7" t="s">
        <v>599</v>
      </c>
      <c r="T164" s="7" t="s">
        <v>244</v>
      </c>
      <c r="U164" s="7" t="s">
        <v>600</v>
      </c>
      <c r="V164" s="7" t="s">
        <v>142</v>
      </c>
      <c r="X164" s="2" t="str">
        <f>HYPERLINK("https://hsdes.intel.com/resource/14013162512","14013162512")</f>
        <v>14013162512</v>
      </c>
    </row>
    <row r="165" spans="1:24" x14ac:dyDescent="0.3">
      <c r="A165" s="2" t="str">
        <f>HYPERLINK("https://hsdes.intel.com/resource/14013162499","14013162499")</f>
        <v>14013162499</v>
      </c>
      <c r="B165" s="7" t="s">
        <v>601</v>
      </c>
      <c r="C165" s="7" t="s">
        <v>2017</v>
      </c>
      <c r="D165" s="7" t="s">
        <v>138</v>
      </c>
      <c r="E165" s="7" t="s">
        <v>19</v>
      </c>
      <c r="F165" s="7" t="s">
        <v>20</v>
      </c>
      <c r="G165" s="28" t="s">
        <v>2027</v>
      </c>
      <c r="J165" s="7" t="s">
        <v>31</v>
      </c>
      <c r="M165" s="6"/>
      <c r="O165" s="7" t="s">
        <v>32</v>
      </c>
      <c r="P165" s="7" t="s">
        <v>78</v>
      </c>
      <c r="Q165" s="7" t="s">
        <v>34</v>
      </c>
      <c r="R165" s="7" t="s">
        <v>24</v>
      </c>
      <c r="S165" s="7" t="s">
        <v>602</v>
      </c>
      <c r="T165" s="7" t="s">
        <v>244</v>
      </c>
      <c r="U165" s="7" t="s">
        <v>603</v>
      </c>
      <c r="V165" s="7" t="s">
        <v>142</v>
      </c>
      <c r="X165" s="2" t="str">
        <f>HYPERLINK("https://hsdes.intel.com/resource/14013162499","14013162499")</f>
        <v>14013162499</v>
      </c>
    </row>
    <row r="166" spans="1:24" x14ac:dyDescent="0.3">
      <c r="A166" s="2" t="str">
        <f>HYPERLINK("https://hsdes.intel.com/resource/14013177007","14013177007")</f>
        <v>14013177007</v>
      </c>
      <c r="B166" s="7" t="s">
        <v>604</v>
      </c>
      <c r="C166" s="7" t="s">
        <v>2018</v>
      </c>
      <c r="D166" s="7" t="s">
        <v>592</v>
      </c>
      <c r="E166" s="7" t="s">
        <v>122</v>
      </c>
      <c r="F166" s="7" t="s">
        <v>20</v>
      </c>
      <c r="G166" s="28" t="s">
        <v>2027</v>
      </c>
      <c r="J166" s="7" t="s">
        <v>2006</v>
      </c>
      <c r="M166" s="6">
        <v>44781</v>
      </c>
      <c r="O166" s="7" t="s">
        <v>21</v>
      </c>
      <c r="P166" s="7" t="s">
        <v>22</v>
      </c>
      <c r="Q166" s="7" t="s">
        <v>34</v>
      </c>
      <c r="R166" s="7" t="s">
        <v>24</v>
      </c>
      <c r="S166" s="7" t="s">
        <v>605</v>
      </c>
      <c r="T166" s="7" t="s">
        <v>205</v>
      </c>
      <c r="U166" s="7" t="s">
        <v>606</v>
      </c>
      <c r="V166" s="7" t="s">
        <v>286</v>
      </c>
      <c r="X166" s="2" t="str">
        <f>HYPERLINK("https://hsdes.intel.com/resource/14013177007","14013177007")</f>
        <v>14013177007</v>
      </c>
    </row>
    <row r="167" spans="1:24" x14ac:dyDescent="0.3">
      <c r="A167" s="5" t="str">
        <f>HYPERLINK("https://hsdes.intel.com/resource/14013177725","14013177725")</f>
        <v>14013177725</v>
      </c>
      <c r="B167" s="18" t="s">
        <v>607</v>
      </c>
      <c r="C167" s="7" t="s">
        <v>2018</v>
      </c>
      <c r="D167" s="7" t="s">
        <v>592</v>
      </c>
      <c r="E167" s="7" t="s">
        <v>122</v>
      </c>
      <c r="F167" s="7" t="s">
        <v>20</v>
      </c>
      <c r="G167" s="28" t="s">
        <v>2027</v>
      </c>
      <c r="J167" s="7" t="s">
        <v>2020</v>
      </c>
      <c r="M167" s="6">
        <v>44783</v>
      </c>
      <c r="O167" s="7" t="s">
        <v>104</v>
      </c>
      <c r="P167" s="7" t="s">
        <v>22</v>
      </c>
      <c r="Q167" s="7" t="s">
        <v>34</v>
      </c>
      <c r="R167" s="7" t="s">
        <v>24</v>
      </c>
      <c r="S167" s="7" t="s">
        <v>608</v>
      </c>
      <c r="T167" s="7" t="s">
        <v>205</v>
      </c>
      <c r="U167" s="7" t="s">
        <v>609</v>
      </c>
      <c r="V167" s="7" t="s">
        <v>286</v>
      </c>
      <c r="X167" s="25" t="str">
        <f>HYPERLINK("https://hsdes.intel.com/resource/14013177725","14013177725")</f>
        <v>14013177725</v>
      </c>
    </row>
    <row r="168" spans="1:24" x14ac:dyDescent="0.3">
      <c r="A168" s="2" t="str">
        <f>HYPERLINK("https://hsdes.intel.com/resource/14013177005","14013177005")</f>
        <v>14013177005</v>
      </c>
      <c r="B168" s="7" t="s">
        <v>610</v>
      </c>
      <c r="C168" s="7" t="s">
        <v>2017</v>
      </c>
      <c r="D168" s="7" t="s">
        <v>592</v>
      </c>
      <c r="E168" s="7" t="s">
        <v>122</v>
      </c>
      <c r="F168" s="7" t="s">
        <v>20</v>
      </c>
      <c r="G168" s="28" t="s">
        <v>2027</v>
      </c>
      <c r="J168" s="7" t="s">
        <v>2006</v>
      </c>
      <c r="M168" s="6">
        <v>44781</v>
      </c>
      <c r="O168" s="7" t="s">
        <v>32</v>
      </c>
      <c r="P168" s="7" t="s">
        <v>22</v>
      </c>
      <c r="Q168" s="7" t="s">
        <v>34</v>
      </c>
      <c r="R168" s="7" t="s">
        <v>24</v>
      </c>
      <c r="S168" s="7" t="s">
        <v>611</v>
      </c>
      <c r="T168" s="7" t="s">
        <v>205</v>
      </c>
      <c r="U168" s="7" t="s">
        <v>612</v>
      </c>
      <c r="V168" s="7" t="s">
        <v>286</v>
      </c>
      <c r="X168" s="2" t="str">
        <f>HYPERLINK("https://hsdes.intel.com/resource/14013177005","14013177005")</f>
        <v>14013177005</v>
      </c>
    </row>
    <row r="169" spans="1:24" x14ac:dyDescent="0.3">
      <c r="A169" s="2" t="str">
        <f>HYPERLINK("https://hsdes.intel.com/resource/14013158758","14013158758")</f>
        <v>14013158758</v>
      </c>
      <c r="B169" s="7" t="s">
        <v>613</v>
      </c>
      <c r="C169" s="7" t="s">
        <v>2018</v>
      </c>
      <c r="D169" s="7" t="s">
        <v>77</v>
      </c>
      <c r="E169" s="7" t="s">
        <v>19</v>
      </c>
      <c r="F169" s="7" t="s">
        <v>20</v>
      </c>
      <c r="G169" s="28" t="s">
        <v>2027</v>
      </c>
      <c r="J169" s="7" t="s">
        <v>1974</v>
      </c>
      <c r="M169" s="6">
        <v>44783</v>
      </c>
      <c r="O169" s="7" t="s">
        <v>32</v>
      </c>
      <c r="P169" s="7" t="s">
        <v>78</v>
      </c>
      <c r="Q169" s="7" t="s">
        <v>34</v>
      </c>
      <c r="R169" s="7" t="s">
        <v>24</v>
      </c>
      <c r="S169" s="7" t="s">
        <v>614</v>
      </c>
      <c r="T169" s="7" t="s">
        <v>244</v>
      </c>
      <c r="U169" s="7" t="s">
        <v>615</v>
      </c>
      <c r="V169" s="7" t="s">
        <v>81</v>
      </c>
      <c r="X169" s="2" t="str">
        <f>HYPERLINK("https://hsdes.intel.com/resource/14013158758","14013158758")</f>
        <v>14013158758</v>
      </c>
    </row>
    <row r="170" spans="1:24" x14ac:dyDescent="0.3">
      <c r="A170" s="2" t="str">
        <f>HYPERLINK("https://hsdes.intel.com/resource/14013180508","14013180508")</f>
        <v>14013180508</v>
      </c>
      <c r="B170" s="7" t="s">
        <v>616</v>
      </c>
      <c r="C170" s="7" t="s">
        <v>2017</v>
      </c>
      <c r="D170" s="7" t="s">
        <v>30</v>
      </c>
      <c r="E170" s="7" t="s">
        <v>19</v>
      </c>
      <c r="F170" s="7" t="s">
        <v>20</v>
      </c>
      <c r="G170" s="28" t="s">
        <v>2027</v>
      </c>
      <c r="J170" s="7" t="s">
        <v>31</v>
      </c>
      <c r="M170" s="6"/>
      <c r="O170" s="7" t="s">
        <v>32</v>
      </c>
      <c r="P170" s="7" t="s">
        <v>33</v>
      </c>
      <c r="Q170" s="7" t="s">
        <v>34</v>
      </c>
      <c r="R170" s="7" t="s">
        <v>24</v>
      </c>
      <c r="S170" s="7" t="s">
        <v>617</v>
      </c>
      <c r="T170" s="7" t="s">
        <v>140</v>
      </c>
      <c r="U170" s="7" t="s">
        <v>618</v>
      </c>
      <c r="V170" s="7" t="s">
        <v>38</v>
      </c>
      <c r="X170" s="2" t="str">
        <f>HYPERLINK("https://hsdes.intel.com/resource/14013180508","14013180508")</f>
        <v>14013180508</v>
      </c>
    </row>
    <row r="171" spans="1:24" x14ac:dyDescent="0.3">
      <c r="A171" s="2" t="str">
        <f>HYPERLINK("https://hsdes.intel.com/resource/14013161630","14013161630")</f>
        <v>14013161630</v>
      </c>
      <c r="B171" s="7" t="s">
        <v>619</v>
      </c>
      <c r="C171" s="7" t="s">
        <v>2017</v>
      </c>
      <c r="D171" s="7" t="s">
        <v>267</v>
      </c>
      <c r="E171" s="7" t="s">
        <v>19</v>
      </c>
      <c r="F171" s="7" t="s">
        <v>20</v>
      </c>
      <c r="G171" s="28" t="s">
        <v>2027</v>
      </c>
      <c r="J171" s="7" t="s">
        <v>31</v>
      </c>
      <c r="M171" s="6"/>
      <c r="O171" s="7" t="s">
        <v>32</v>
      </c>
      <c r="P171" s="7" t="s">
        <v>33</v>
      </c>
      <c r="Q171" s="7" t="s">
        <v>34</v>
      </c>
      <c r="R171" s="7" t="s">
        <v>24</v>
      </c>
      <c r="S171" s="7" t="s">
        <v>620</v>
      </c>
      <c r="T171" s="7" t="s">
        <v>205</v>
      </c>
      <c r="U171" s="7" t="s">
        <v>621</v>
      </c>
      <c r="V171" s="7" t="s">
        <v>270</v>
      </c>
      <c r="X171" s="2" t="str">
        <f>HYPERLINK("https://hsdes.intel.com/resource/14013161630","14013161630")</f>
        <v>14013161630</v>
      </c>
    </row>
    <row r="172" spans="1:24" x14ac:dyDescent="0.3">
      <c r="A172" s="5" t="str">
        <f>HYPERLINK("https://hsdes.intel.com/resource/14013161629","14013161629")</f>
        <v>14013161629</v>
      </c>
      <c r="B172" s="7" t="s">
        <v>622</v>
      </c>
      <c r="C172" s="7" t="s">
        <v>2018</v>
      </c>
      <c r="D172" s="7" t="s">
        <v>267</v>
      </c>
      <c r="E172" s="7" t="s">
        <v>19</v>
      </c>
      <c r="F172" s="7" t="s">
        <v>20</v>
      </c>
      <c r="G172" s="28" t="s">
        <v>2027</v>
      </c>
      <c r="J172" s="7" t="s">
        <v>2020</v>
      </c>
      <c r="M172" s="6">
        <v>44784</v>
      </c>
      <c r="O172" s="7" t="s">
        <v>32</v>
      </c>
      <c r="P172" s="7" t="s">
        <v>33</v>
      </c>
      <c r="Q172" s="7" t="s">
        <v>34</v>
      </c>
      <c r="R172" s="7" t="s">
        <v>24</v>
      </c>
      <c r="S172" s="7" t="s">
        <v>623</v>
      </c>
      <c r="T172" s="7" t="s">
        <v>205</v>
      </c>
      <c r="U172" s="7" t="s">
        <v>624</v>
      </c>
      <c r="V172" s="7" t="s">
        <v>270</v>
      </c>
      <c r="X172" s="5" t="str">
        <f>HYPERLINK("https://hsdes.intel.com/resource/14013161629","14013161629")</f>
        <v>14013161629</v>
      </c>
    </row>
    <row r="173" spans="1:24" x14ac:dyDescent="0.3">
      <c r="A173" s="2" t="str">
        <f>HYPERLINK("https://hsdes.intel.com/resource/14013161623","14013161623")</f>
        <v>14013161623</v>
      </c>
      <c r="B173" s="7" t="s">
        <v>625</v>
      </c>
      <c r="C173" s="7" t="s">
        <v>2017</v>
      </c>
      <c r="D173" s="7" t="s">
        <v>267</v>
      </c>
      <c r="E173" s="7" t="s">
        <v>19</v>
      </c>
      <c r="F173" s="7" t="s">
        <v>20</v>
      </c>
      <c r="G173" s="28" t="s">
        <v>2027</v>
      </c>
      <c r="J173" s="7" t="s">
        <v>31</v>
      </c>
      <c r="M173" s="6"/>
      <c r="O173" s="7" t="s">
        <v>32</v>
      </c>
      <c r="P173" s="7" t="s">
        <v>33</v>
      </c>
      <c r="Q173" s="7" t="s">
        <v>34</v>
      </c>
      <c r="R173" s="7" t="s">
        <v>24</v>
      </c>
      <c r="S173" s="7" t="s">
        <v>626</v>
      </c>
      <c r="T173" s="7" t="s">
        <v>205</v>
      </c>
      <c r="U173" s="7" t="s">
        <v>627</v>
      </c>
      <c r="V173" s="7" t="s">
        <v>270</v>
      </c>
      <c r="X173" s="2" t="str">
        <f>HYPERLINK("https://hsdes.intel.com/resource/14013161623","14013161623")</f>
        <v>14013161623</v>
      </c>
    </row>
    <row r="174" spans="1:24" x14ac:dyDescent="0.3">
      <c r="A174" s="2" t="str">
        <f>HYPERLINK("https://hsdes.intel.com/resource/14013176948","14013176948")</f>
        <v>14013176948</v>
      </c>
      <c r="B174" s="7" t="s">
        <v>628</v>
      </c>
      <c r="C174" s="7" t="s">
        <v>2017</v>
      </c>
      <c r="D174" s="7" t="s">
        <v>174</v>
      </c>
      <c r="E174" s="7" t="s">
        <v>122</v>
      </c>
      <c r="F174" s="7" t="s">
        <v>20</v>
      </c>
      <c r="G174" s="28" t="s">
        <v>2027</v>
      </c>
      <c r="J174" s="7" t="s">
        <v>31</v>
      </c>
      <c r="M174" s="6"/>
      <c r="O174" s="7" t="s">
        <v>32</v>
      </c>
      <c r="P174" s="7" t="s">
        <v>175</v>
      </c>
      <c r="Q174" s="7" t="s">
        <v>34</v>
      </c>
      <c r="R174" s="7" t="s">
        <v>24</v>
      </c>
      <c r="S174" s="7" t="s">
        <v>629</v>
      </c>
      <c r="T174" s="7" t="s">
        <v>205</v>
      </c>
      <c r="U174" s="7" t="s">
        <v>630</v>
      </c>
      <c r="V174" s="7" t="s">
        <v>179</v>
      </c>
      <c r="X174" s="2" t="str">
        <f>HYPERLINK("https://hsdes.intel.com/resource/14013176948","14013176948")</f>
        <v>14013176948</v>
      </c>
    </row>
    <row r="175" spans="1:24" x14ac:dyDescent="0.3">
      <c r="A175" s="5" t="str">
        <f>HYPERLINK("https://hsdes.intel.com/resource/14013164746","14013164746")</f>
        <v>14013164746</v>
      </c>
      <c r="B175" s="7" t="s">
        <v>631</v>
      </c>
      <c r="C175" s="7" t="s">
        <v>2018</v>
      </c>
      <c r="D175" s="7" t="s">
        <v>267</v>
      </c>
      <c r="E175" s="7" t="s">
        <v>19</v>
      </c>
      <c r="F175" s="7" t="s">
        <v>20</v>
      </c>
      <c r="G175" s="28" t="s">
        <v>2027</v>
      </c>
      <c r="J175" s="7" t="s">
        <v>2020</v>
      </c>
      <c r="M175" s="6">
        <v>44783</v>
      </c>
      <c r="O175" s="7" t="s">
        <v>32</v>
      </c>
      <c r="P175" s="7" t="s">
        <v>33</v>
      </c>
      <c r="Q175" s="7" t="s">
        <v>34</v>
      </c>
      <c r="R175" s="7" t="s">
        <v>24</v>
      </c>
      <c r="S175" s="7" t="s">
        <v>632</v>
      </c>
      <c r="T175" s="7" t="s">
        <v>205</v>
      </c>
      <c r="U175" s="7" t="s">
        <v>633</v>
      </c>
      <c r="V175" s="7" t="s">
        <v>270</v>
      </c>
      <c r="X175" s="2" t="str">
        <f>HYPERLINK("https://hsdes.intel.com/resource/14013164746","14013164746")</f>
        <v>14013164746</v>
      </c>
    </row>
    <row r="176" spans="1:24" x14ac:dyDescent="0.3">
      <c r="A176" s="5" t="str">
        <f>HYPERLINK("https://hsdes.intel.com/resource/14013164753","14013164753")</f>
        <v>14013164753</v>
      </c>
      <c r="B176" s="7" t="s">
        <v>634</v>
      </c>
      <c r="C176" s="7" t="s">
        <v>2018</v>
      </c>
      <c r="D176" s="7" t="s">
        <v>267</v>
      </c>
      <c r="E176" s="7" t="s">
        <v>19</v>
      </c>
      <c r="F176" s="7" t="s">
        <v>20</v>
      </c>
      <c r="G176" s="28" t="s">
        <v>2027</v>
      </c>
      <c r="J176" s="7" t="s">
        <v>2020</v>
      </c>
      <c r="M176" s="6">
        <v>44785</v>
      </c>
      <c r="O176" s="7" t="s">
        <v>32</v>
      </c>
      <c r="P176" s="7" t="s">
        <v>33</v>
      </c>
      <c r="Q176" s="7" t="s">
        <v>34</v>
      </c>
      <c r="R176" s="7" t="s">
        <v>24</v>
      </c>
      <c r="S176" s="7" t="s">
        <v>635</v>
      </c>
      <c r="T176" s="7" t="s">
        <v>205</v>
      </c>
      <c r="U176" s="7" t="s">
        <v>636</v>
      </c>
      <c r="V176" s="7" t="s">
        <v>270</v>
      </c>
      <c r="X176" s="5" t="str">
        <f>HYPERLINK("https://hsdes.intel.com/resource/14013164753","14013164753")</f>
        <v>14013164753</v>
      </c>
    </row>
    <row r="177" spans="1:24" x14ac:dyDescent="0.3">
      <c r="A177" s="2" t="str">
        <f>HYPERLINK("https://hsdes.intel.com/resource/14013177261","14013177261")</f>
        <v>14013177261</v>
      </c>
      <c r="B177" s="7" t="s">
        <v>637</v>
      </c>
      <c r="C177" s="7" t="s">
        <v>2018</v>
      </c>
      <c r="D177" s="7" t="s">
        <v>638</v>
      </c>
      <c r="E177" s="7" t="s">
        <v>19</v>
      </c>
      <c r="F177" s="7" t="s">
        <v>20</v>
      </c>
      <c r="G177" s="28" t="s">
        <v>2027</v>
      </c>
      <c r="J177" s="7" t="s">
        <v>2006</v>
      </c>
      <c r="M177" s="6">
        <v>44784</v>
      </c>
      <c r="O177" s="7" t="s">
        <v>21</v>
      </c>
      <c r="P177" s="7" t="s">
        <v>175</v>
      </c>
      <c r="Q177" s="7" t="s">
        <v>34</v>
      </c>
      <c r="R177" s="7" t="s">
        <v>24</v>
      </c>
      <c r="S177" s="7" t="s">
        <v>639</v>
      </c>
      <c r="T177" s="7" t="s">
        <v>205</v>
      </c>
      <c r="U177" s="7" t="s">
        <v>640</v>
      </c>
      <c r="V177" s="7" t="s">
        <v>179</v>
      </c>
      <c r="X177" s="2" t="str">
        <f>HYPERLINK("https://hsdes.intel.com/resource/14013177261","14013177261")</f>
        <v>14013177261</v>
      </c>
    </row>
    <row r="178" spans="1:24" x14ac:dyDescent="0.3">
      <c r="A178" s="2" t="str">
        <f>HYPERLINK("https://hsdes.intel.com/resource/14013177264","14013177264")</f>
        <v>14013177264</v>
      </c>
      <c r="B178" s="7" t="s">
        <v>641</v>
      </c>
      <c r="C178" s="7" t="s">
        <v>2018</v>
      </c>
      <c r="D178" s="7" t="s">
        <v>638</v>
      </c>
      <c r="E178" s="7" t="s">
        <v>19</v>
      </c>
      <c r="F178" s="7" t="s">
        <v>20</v>
      </c>
      <c r="G178" s="28" t="s">
        <v>2027</v>
      </c>
      <c r="J178" s="7" t="s">
        <v>2006</v>
      </c>
      <c r="M178" s="6">
        <v>44784</v>
      </c>
      <c r="O178" s="7" t="s">
        <v>21</v>
      </c>
      <c r="P178" s="7" t="s">
        <v>175</v>
      </c>
      <c r="Q178" s="7" t="s">
        <v>34</v>
      </c>
      <c r="R178" s="7" t="s">
        <v>147</v>
      </c>
      <c r="S178" s="7" t="s">
        <v>642</v>
      </c>
      <c r="T178" s="7" t="s">
        <v>205</v>
      </c>
      <c r="U178" s="7" t="s">
        <v>643</v>
      </c>
      <c r="V178" s="7" t="s">
        <v>179</v>
      </c>
      <c r="X178" s="2" t="str">
        <f>HYPERLINK("https://hsdes.intel.com/resource/14013177264","14013177264")</f>
        <v>14013177264</v>
      </c>
    </row>
    <row r="179" spans="1:24" x14ac:dyDescent="0.3">
      <c r="A179" s="2" t="str">
        <f>HYPERLINK("https://hsdes.intel.com/resource/14013177266","14013177266")</f>
        <v>14013177266</v>
      </c>
      <c r="B179" s="7" t="s">
        <v>644</v>
      </c>
      <c r="C179" s="7" t="s">
        <v>2018</v>
      </c>
      <c r="D179" s="7" t="s">
        <v>638</v>
      </c>
      <c r="E179" s="7" t="s">
        <v>19</v>
      </c>
      <c r="F179" s="7" t="s">
        <v>20</v>
      </c>
      <c r="G179" s="28" t="s">
        <v>2027</v>
      </c>
      <c r="J179" s="7" t="s">
        <v>2006</v>
      </c>
      <c r="M179" s="6">
        <v>44784</v>
      </c>
      <c r="O179" s="7" t="s">
        <v>21</v>
      </c>
      <c r="P179" s="7" t="s">
        <v>175</v>
      </c>
      <c r="Q179" s="7" t="s">
        <v>34</v>
      </c>
      <c r="R179" s="7" t="s">
        <v>147</v>
      </c>
      <c r="S179" s="7" t="s">
        <v>645</v>
      </c>
      <c r="T179" s="7" t="s">
        <v>205</v>
      </c>
      <c r="U179" s="7" t="s">
        <v>646</v>
      </c>
      <c r="V179" s="7" t="s">
        <v>179</v>
      </c>
      <c r="X179" s="2" t="str">
        <f>HYPERLINK("https://hsdes.intel.com/resource/14013177266","14013177266")</f>
        <v>14013177266</v>
      </c>
    </row>
    <row r="180" spans="1:24" x14ac:dyDescent="0.3">
      <c r="A180" s="2" t="str">
        <f>HYPERLINK("https://hsdes.intel.com/resource/14013161490","14013161490")</f>
        <v>14013161490</v>
      </c>
      <c r="B180" s="7" t="s">
        <v>647</v>
      </c>
      <c r="C180" s="7" t="s">
        <v>2017</v>
      </c>
      <c r="D180" s="7" t="s">
        <v>401</v>
      </c>
      <c r="E180" s="7" t="s">
        <v>19</v>
      </c>
      <c r="F180" s="7" t="s">
        <v>20</v>
      </c>
      <c r="G180" s="28" t="s">
        <v>2027</v>
      </c>
      <c r="J180" s="7" t="s">
        <v>2020</v>
      </c>
      <c r="M180" s="6">
        <v>44785</v>
      </c>
      <c r="O180" s="7" t="s">
        <v>32</v>
      </c>
      <c r="P180" s="7" t="s">
        <v>146</v>
      </c>
      <c r="Q180" s="7" t="s">
        <v>34</v>
      </c>
      <c r="R180" s="7" t="s">
        <v>147</v>
      </c>
      <c r="S180" s="7" t="s">
        <v>648</v>
      </c>
      <c r="T180" s="7" t="s">
        <v>205</v>
      </c>
      <c r="U180" s="7" t="s">
        <v>649</v>
      </c>
      <c r="V180" s="7" t="s">
        <v>202</v>
      </c>
      <c r="X180" s="2" t="str">
        <f>HYPERLINK("https://hsdes.intel.com/resource/14013161490","14013161490")</f>
        <v>14013161490</v>
      </c>
    </row>
    <row r="181" spans="1:24" x14ac:dyDescent="0.3">
      <c r="A181" s="3" t="str">
        <f>HYPERLINK("https://hsdes.intel.com/resource/14013163101","14013163101")</f>
        <v>14013163101</v>
      </c>
      <c r="B181" s="7" t="s">
        <v>650</v>
      </c>
      <c r="C181" s="7" t="s">
        <v>2017</v>
      </c>
      <c r="D181" s="7" t="s">
        <v>238</v>
      </c>
      <c r="E181" s="7" t="s">
        <v>19</v>
      </c>
      <c r="F181" s="7" t="s">
        <v>20</v>
      </c>
      <c r="G181" s="28" t="s">
        <v>2027</v>
      </c>
      <c r="J181" s="7" t="s">
        <v>2006</v>
      </c>
      <c r="M181" s="6">
        <v>44781</v>
      </c>
      <c r="O181" s="7" t="s">
        <v>32</v>
      </c>
      <c r="P181" s="7" t="s">
        <v>186</v>
      </c>
      <c r="Q181" s="7" t="s">
        <v>34</v>
      </c>
      <c r="R181" s="7" t="s">
        <v>147</v>
      </c>
      <c r="S181" s="7" t="s">
        <v>651</v>
      </c>
      <c r="T181" s="7" t="s">
        <v>205</v>
      </c>
      <c r="U181" s="7" t="s">
        <v>652</v>
      </c>
      <c r="V181" s="7" t="s">
        <v>189</v>
      </c>
      <c r="X181" s="3" t="str">
        <f>HYPERLINK("https://hsdes.intel.com/resource/14013163101","14013163101")</f>
        <v>14013163101</v>
      </c>
    </row>
    <row r="182" spans="1:24" x14ac:dyDescent="0.3">
      <c r="A182" s="2" t="str">
        <f>HYPERLINK("https://hsdes.intel.com/resource/14013165037","14013165037")</f>
        <v>14013165037</v>
      </c>
      <c r="B182" s="7" t="s">
        <v>653</v>
      </c>
      <c r="C182" s="7" t="s">
        <v>2017</v>
      </c>
      <c r="D182" s="7" t="s">
        <v>283</v>
      </c>
      <c r="E182" s="7" t="s">
        <v>19</v>
      </c>
      <c r="F182" s="7" t="s">
        <v>20</v>
      </c>
      <c r="G182" s="28" t="s">
        <v>2027</v>
      </c>
      <c r="J182" s="7" t="s">
        <v>31</v>
      </c>
      <c r="M182" s="6"/>
      <c r="O182" s="7" t="s">
        <v>32</v>
      </c>
      <c r="P182" s="7" t="s">
        <v>175</v>
      </c>
      <c r="Q182" s="7" t="s">
        <v>34</v>
      </c>
      <c r="R182" s="7" t="s">
        <v>24</v>
      </c>
      <c r="S182" s="7" t="s">
        <v>654</v>
      </c>
      <c r="T182" s="7" t="s">
        <v>177</v>
      </c>
      <c r="U182" s="7" t="s">
        <v>655</v>
      </c>
      <c r="V182" s="7" t="s">
        <v>286</v>
      </c>
      <c r="X182" s="2" t="str">
        <f>HYPERLINK("https://hsdes.intel.com/resource/14013165037","14013165037")</f>
        <v>14013165037</v>
      </c>
    </row>
    <row r="183" spans="1:24" x14ac:dyDescent="0.3">
      <c r="A183" s="5" t="str">
        <f>HYPERLINK("https://hsdes.intel.com/resource/14013174845","14013174845")</f>
        <v>14013174845</v>
      </c>
      <c r="B183" s="7" t="s">
        <v>656</v>
      </c>
      <c r="C183" s="7" t="s">
        <v>2017</v>
      </c>
      <c r="D183" s="7" t="s">
        <v>546</v>
      </c>
      <c r="E183" s="7" t="s">
        <v>19</v>
      </c>
      <c r="F183" s="7" t="s">
        <v>20</v>
      </c>
      <c r="G183" s="28" t="s">
        <v>2027</v>
      </c>
      <c r="J183" s="7" t="s">
        <v>2006</v>
      </c>
      <c r="M183" s="6">
        <v>44783</v>
      </c>
      <c r="N183" s="6"/>
      <c r="O183" s="7" t="s">
        <v>32</v>
      </c>
      <c r="P183" s="7" t="s">
        <v>186</v>
      </c>
      <c r="Q183" s="7" t="s">
        <v>34</v>
      </c>
      <c r="R183" s="7" t="s">
        <v>147</v>
      </c>
      <c r="S183" s="7" t="s">
        <v>657</v>
      </c>
      <c r="T183" s="7" t="s">
        <v>177</v>
      </c>
      <c r="U183" s="7" t="s">
        <v>658</v>
      </c>
      <c r="V183" s="7" t="s">
        <v>189</v>
      </c>
      <c r="X183" s="2" t="str">
        <f>HYPERLINK("https://hsdes.intel.com/resource/14013174845","14013174845")</f>
        <v>14013174845</v>
      </c>
    </row>
    <row r="184" spans="1:24" x14ac:dyDescent="0.3">
      <c r="A184" s="2" t="str">
        <f>HYPERLINK("https://hsdes.intel.com/resource/14013177900","14013177900")</f>
        <v>14013177900</v>
      </c>
      <c r="B184" s="7" t="s">
        <v>659</v>
      </c>
      <c r="C184" s="7" t="s">
        <v>1975</v>
      </c>
      <c r="D184" s="7" t="s">
        <v>174</v>
      </c>
      <c r="E184" s="7" t="s">
        <v>19</v>
      </c>
      <c r="F184" s="7" t="s">
        <v>20</v>
      </c>
      <c r="G184" s="28" t="s">
        <v>2027</v>
      </c>
      <c r="J184" s="7" t="s">
        <v>1974</v>
      </c>
      <c r="L184" s="7" t="s">
        <v>660</v>
      </c>
      <c r="M184" s="6"/>
      <c r="O184" s="7" t="s">
        <v>32</v>
      </c>
      <c r="P184" s="7" t="s">
        <v>175</v>
      </c>
      <c r="Q184" s="7" t="s">
        <v>34</v>
      </c>
      <c r="R184" s="7" t="s">
        <v>147</v>
      </c>
      <c r="S184" s="7" t="s">
        <v>661</v>
      </c>
      <c r="T184" s="7" t="s">
        <v>177</v>
      </c>
      <c r="U184" s="7" t="s">
        <v>662</v>
      </c>
      <c r="V184" s="7" t="s">
        <v>179</v>
      </c>
      <c r="X184" s="2" t="str">
        <f>HYPERLINK("https://hsdes.intel.com/resource/14013177900","14013177900")</f>
        <v>14013177900</v>
      </c>
    </row>
    <row r="185" spans="1:24" x14ac:dyDescent="0.3">
      <c r="A185" s="2" t="str">
        <f>HYPERLINK("https://hsdes.intel.com/resource/14013174763","14013174763")</f>
        <v>14013174763</v>
      </c>
      <c r="B185" s="7" t="s">
        <v>663</v>
      </c>
      <c r="C185" s="7" t="s">
        <v>2017</v>
      </c>
      <c r="D185" s="7" t="s">
        <v>546</v>
      </c>
      <c r="E185" s="7" t="s">
        <v>19</v>
      </c>
      <c r="F185" s="7" t="s">
        <v>20</v>
      </c>
      <c r="G185" s="28" t="s">
        <v>2027</v>
      </c>
      <c r="J185" s="7" t="s">
        <v>2006</v>
      </c>
      <c r="M185" s="6">
        <v>44783</v>
      </c>
      <c r="N185" s="6"/>
      <c r="O185" s="7" t="s">
        <v>32</v>
      </c>
      <c r="P185" s="7" t="s">
        <v>186</v>
      </c>
      <c r="Q185" s="7" t="s">
        <v>34</v>
      </c>
      <c r="R185" s="7" t="s">
        <v>147</v>
      </c>
      <c r="S185" s="7" t="s">
        <v>664</v>
      </c>
      <c r="T185" s="7" t="s">
        <v>177</v>
      </c>
      <c r="U185" s="7" t="s">
        <v>665</v>
      </c>
      <c r="V185" s="7" t="s">
        <v>189</v>
      </c>
      <c r="X185" s="2" t="str">
        <f>HYPERLINK("https://hsdes.intel.com/resource/14013174763","14013174763")</f>
        <v>14013174763</v>
      </c>
    </row>
    <row r="186" spans="1:24" x14ac:dyDescent="0.3">
      <c r="A186" s="2" t="str">
        <f>HYPERLINK("https://hsdes.intel.com/resource/14013182569","14013182569")</f>
        <v>14013182569</v>
      </c>
      <c r="B186" s="7" t="s">
        <v>666</v>
      </c>
      <c r="C186" s="7" t="s">
        <v>2017</v>
      </c>
      <c r="D186" s="7" t="s">
        <v>138</v>
      </c>
      <c r="E186" s="7" t="s">
        <v>19</v>
      </c>
      <c r="F186" s="7" t="s">
        <v>20</v>
      </c>
      <c r="G186" s="28" t="s">
        <v>2027</v>
      </c>
      <c r="J186" s="7" t="s">
        <v>31</v>
      </c>
      <c r="M186" s="6"/>
      <c r="O186" s="7" t="s">
        <v>104</v>
      </c>
      <c r="P186" s="7" t="s">
        <v>78</v>
      </c>
      <c r="Q186" s="7" t="s">
        <v>34</v>
      </c>
      <c r="R186" s="7" t="s">
        <v>24</v>
      </c>
      <c r="S186" s="7" t="s">
        <v>667</v>
      </c>
      <c r="T186" s="7" t="s">
        <v>244</v>
      </c>
      <c r="U186" s="7" t="s">
        <v>668</v>
      </c>
      <c r="V186" s="7" t="s">
        <v>142</v>
      </c>
      <c r="X186" s="2" t="str">
        <f>HYPERLINK("https://hsdes.intel.com/resource/14013182569","14013182569")</f>
        <v>14013182569</v>
      </c>
    </row>
    <row r="187" spans="1:24" s="18" customFormat="1" x14ac:dyDescent="0.3">
      <c r="A187" s="19" t="str">
        <f>HYPERLINK("https://hsdes.intel.com/resource/14013160614","14013160614")</f>
        <v>14013160614</v>
      </c>
      <c r="B187" s="18" t="s">
        <v>669</v>
      </c>
      <c r="C187" s="7" t="s">
        <v>2017</v>
      </c>
      <c r="D187" s="7" t="s">
        <v>267</v>
      </c>
      <c r="E187" s="7" t="s">
        <v>19</v>
      </c>
      <c r="F187" s="7" t="s">
        <v>20</v>
      </c>
      <c r="G187" s="28" t="s">
        <v>2027</v>
      </c>
      <c r="J187" s="7" t="s">
        <v>2020</v>
      </c>
      <c r="M187" s="22">
        <v>44783</v>
      </c>
      <c r="O187" s="18" t="s">
        <v>32</v>
      </c>
      <c r="P187" s="18" t="s">
        <v>33</v>
      </c>
      <c r="Q187" s="18" t="s">
        <v>34</v>
      </c>
      <c r="R187" s="18" t="s">
        <v>24</v>
      </c>
      <c r="S187" s="18" t="s">
        <v>670</v>
      </c>
      <c r="T187" s="18" t="s">
        <v>205</v>
      </c>
      <c r="U187" s="18" t="s">
        <v>671</v>
      </c>
      <c r="V187" s="18" t="s">
        <v>270</v>
      </c>
      <c r="X187" s="17" t="str">
        <f>HYPERLINK("https://hsdes.intel.com/resource/14013160614","14013160614")</f>
        <v>14013160614</v>
      </c>
    </row>
    <row r="188" spans="1:24" x14ac:dyDescent="0.3">
      <c r="A188" s="5" t="str">
        <f>HYPERLINK("https://hsdes.intel.com/resource/14013161693","14013161693")</f>
        <v>14013161693</v>
      </c>
      <c r="B188" s="7" t="s">
        <v>672</v>
      </c>
      <c r="C188" s="7" t="s">
        <v>2017</v>
      </c>
      <c r="D188" s="7" t="s">
        <v>267</v>
      </c>
      <c r="E188" s="7" t="s">
        <v>19</v>
      </c>
      <c r="F188" s="7" t="s">
        <v>20</v>
      </c>
      <c r="G188" s="28" t="s">
        <v>2027</v>
      </c>
      <c r="J188" s="7" t="s">
        <v>2020</v>
      </c>
      <c r="M188" s="6">
        <v>44783</v>
      </c>
      <c r="N188" s="6"/>
      <c r="O188" s="7" t="s">
        <v>32</v>
      </c>
      <c r="P188" s="7" t="s">
        <v>33</v>
      </c>
      <c r="Q188" s="7" t="s">
        <v>34</v>
      </c>
      <c r="R188" s="7" t="s">
        <v>24</v>
      </c>
      <c r="S188" s="7" t="s">
        <v>673</v>
      </c>
      <c r="T188" s="7" t="s">
        <v>205</v>
      </c>
      <c r="U188" s="7" t="s">
        <v>674</v>
      </c>
      <c r="V188" s="7" t="s">
        <v>270</v>
      </c>
      <c r="X188" s="2" t="str">
        <f>HYPERLINK("https://hsdes.intel.com/resource/14013161693","14013161693")</f>
        <v>14013161693</v>
      </c>
    </row>
    <row r="189" spans="1:24" x14ac:dyDescent="0.3">
      <c r="A189" s="2" t="str">
        <f>HYPERLINK("https://hsdes.intel.com/resource/14013115489","14013115489")</f>
        <v>14013115489</v>
      </c>
      <c r="B189" s="7" t="s">
        <v>675</v>
      </c>
      <c r="C189" s="7" t="s">
        <v>2017</v>
      </c>
      <c r="D189" s="7" t="s">
        <v>77</v>
      </c>
      <c r="E189" s="7" t="s">
        <v>19</v>
      </c>
      <c r="F189" s="7" t="s">
        <v>20</v>
      </c>
      <c r="G189" s="28" t="s">
        <v>2027</v>
      </c>
      <c r="J189" s="7" t="s">
        <v>31</v>
      </c>
      <c r="M189" s="6"/>
      <c r="O189" s="7" t="s">
        <v>32</v>
      </c>
      <c r="P189" s="7" t="s">
        <v>78</v>
      </c>
      <c r="Q189" s="7" t="s">
        <v>23</v>
      </c>
      <c r="R189" s="7" t="s">
        <v>24</v>
      </c>
      <c r="S189" s="7" t="s">
        <v>676</v>
      </c>
      <c r="T189" s="7" t="s">
        <v>192</v>
      </c>
      <c r="U189" s="7" t="s">
        <v>677</v>
      </c>
      <c r="V189" s="7" t="s">
        <v>81</v>
      </c>
      <c r="X189" s="2" t="str">
        <f>HYPERLINK("https://hsdes.intel.com/resource/14013115489","14013115489")</f>
        <v>14013115489</v>
      </c>
    </row>
    <row r="190" spans="1:24" x14ac:dyDescent="0.3">
      <c r="A190" s="2" t="str">
        <f>HYPERLINK("https://hsdes.intel.com/resource/14013163449","14013163449")</f>
        <v>14013163449</v>
      </c>
      <c r="B190" s="7" t="s">
        <v>678</v>
      </c>
      <c r="C190" s="7" t="s">
        <v>2017</v>
      </c>
      <c r="D190" s="7" t="s">
        <v>18</v>
      </c>
      <c r="E190" s="7" t="s">
        <v>19</v>
      </c>
      <c r="F190" s="7" t="s">
        <v>20</v>
      </c>
      <c r="G190" s="28" t="s">
        <v>2027</v>
      </c>
      <c r="J190" s="7" t="s">
        <v>2004</v>
      </c>
      <c r="M190" s="6">
        <v>44784</v>
      </c>
      <c r="O190" s="7" t="s">
        <v>104</v>
      </c>
      <c r="P190" s="7" t="s">
        <v>22</v>
      </c>
      <c r="Q190" s="7" t="s">
        <v>34</v>
      </c>
      <c r="R190" s="7" t="s">
        <v>24</v>
      </c>
      <c r="S190" s="7" t="s">
        <v>679</v>
      </c>
      <c r="T190" s="7" t="s">
        <v>360</v>
      </c>
      <c r="U190" s="7" t="s">
        <v>680</v>
      </c>
      <c r="V190" s="7" t="s">
        <v>28</v>
      </c>
      <c r="X190" s="2" t="str">
        <f>HYPERLINK("https://hsdes.intel.com/resource/14013163449","14013163449")</f>
        <v>14013163449</v>
      </c>
    </row>
    <row r="191" spans="1:24" x14ac:dyDescent="0.3">
      <c r="A191" s="2" t="str">
        <f>HYPERLINK("https://hsdes.intel.com/resource/14013115165","14013115165")</f>
        <v>14013115165</v>
      </c>
      <c r="B191" s="7" t="s">
        <v>681</v>
      </c>
      <c r="C191" s="7" t="s">
        <v>2017</v>
      </c>
      <c r="D191" s="7" t="s">
        <v>257</v>
      </c>
      <c r="E191" s="7" t="s">
        <v>19</v>
      </c>
      <c r="F191" s="7" t="s">
        <v>20</v>
      </c>
      <c r="G191" s="28" t="s">
        <v>2027</v>
      </c>
      <c r="J191" s="7" t="s">
        <v>1974</v>
      </c>
      <c r="M191" s="6">
        <v>44781</v>
      </c>
      <c r="O191" s="7" t="s">
        <v>32</v>
      </c>
      <c r="P191" s="7" t="s">
        <v>163</v>
      </c>
      <c r="Q191" s="7" t="s">
        <v>23</v>
      </c>
      <c r="R191" s="7" t="s">
        <v>24</v>
      </c>
      <c r="S191" s="7" t="s">
        <v>682</v>
      </c>
      <c r="T191" s="7" t="s">
        <v>205</v>
      </c>
      <c r="U191" s="7" t="s">
        <v>683</v>
      </c>
      <c r="V191" s="7" t="s">
        <v>166</v>
      </c>
      <c r="X191" s="2" t="str">
        <f>HYPERLINK("https://hsdes.intel.com/resource/14013115165","14013115165")</f>
        <v>14013115165</v>
      </c>
    </row>
    <row r="192" spans="1:24" x14ac:dyDescent="0.3">
      <c r="A192" s="2" t="str">
        <f>HYPERLINK("https://hsdes.intel.com/resource/14013160620","14013160620")</f>
        <v>14013160620</v>
      </c>
      <c r="B192" s="7" t="s">
        <v>684</v>
      </c>
      <c r="C192" s="7" t="s">
        <v>1975</v>
      </c>
      <c r="D192" s="7" t="s">
        <v>267</v>
      </c>
      <c r="E192" s="7" t="s">
        <v>19</v>
      </c>
      <c r="F192" s="7" t="s">
        <v>20</v>
      </c>
      <c r="G192" s="28" t="s">
        <v>2027</v>
      </c>
      <c r="J192" s="7" t="s">
        <v>1974</v>
      </c>
      <c r="L192" s="7" t="s">
        <v>685</v>
      </c>
      <c r="M192" s="6"/>
      <c r="O192" s="7" t="s">
        <v>32</v>
      </c>
      <c r="P192" s="7" t="s">
        <v>33</v>
      </c>
      <c r="Q192" s="7" t="s">
        <v>34</v>
      </c>
      <c r="R192" s="7" t="s">
        <v>147</v>
      </c>
      <c r="S192" s="7" t="s">
        <v>686</v>
      </c>
      <c r="T192" s="7" t="s">
        <v>205</v>
      </c>
      <c r="U192" s="7" t="s">
        <v>687</v>
      </c>
      <c r="V192" s="7" t="s">
        <v>270</v>
      </c>
      <c r="X192" s="2" t="str">
        <f>HYPERLINK("https://hsdes.intel.com/resource/14013160620","14013160620")</f>
        <v>14013160620</v>
      </c>
    </row>
    <row r="193" spans="1:24" x14ac:dyDescent="0.3">
      <c r="A193" s="2" t="str">
        <f>HYPERLINK("https://hsdes.intel.com/resource/14013160613","14013160613")</f>
        <v>14013160613</v>
      </c>
      <c r="B193" s="7" t="s">
        <v>688</v>
      </c>
      <c r="C193" s="7" t="s">
        <v>1975</v>
      </c>
      <c r="D193" s="7" t="s">
        <v>267</v>
      </c>
      <c r="E193" s="7" t="s">
        <v>19</v>
      </c>
      <c r="F193" s="7" t="s">
        <v>20</v>
      </c>
      <c r="G193" s="28" t="s">
        <v>2027</v>
      </c>
      <c r="J193" s="7" t="s">
        <v>1974</v>
      </c>
      <c r="L193" s="7" t="s">
        <v>685</v>
      </c>
      <c r="M193" s="6"/>
      <c r="O193" s="7" t="s">
        <v>32</v>
      </c>
      <c r="P193" s="7" t="s">
        <v>33</v>
      </c>
      <c r="Q193" s="7" t="s">
        <v>34</v>
      </c>
      <c r="R193" s="7" t="s">
        <v>147</v>
      </c>
      <c r="S193" s="7" t="s">
        <v>689</v>
      </c>
      <c r="T193" s="7" t="s">
        <v>205</v>
      </c>
      <c r="U193" s="7" t="s">
        <v>690</v>
      </c>
      <c r="V193" s="7" t="s">
        <v>270</v>
      </c>
      <c r="X193" s="2" t="str">
        <f>HYPERLINK("https://hsdes.intel.com/resource/14013160613","14013160613")</f>
        <v>14013160613</v>
      </c>
    </row>
    <row r="194" spans="1:24" x14ac:dyDescent="0.3">
      <c r="A194" s="2" t="str">
        <f>HYPERLINK("https://hsdes.intel.com/resource/14013179479","14013179479")</f>
        <v>14013179479</v>
      </c>
      <c r="B194" s="7" t="s">
        <v>691</v>
      </c>
      <c r="C194" s="7" t="s">
        <v>1975</v>
      </c>
      <c r="D194" s="7" t="s">
        <v>267</v>
      </c>
      <c r="E194" s="7" t="s">
        <v>19</v>
      </c>
      <c r="F194" s="7" t="s">
        <v>20</v>
      </c>
      <c r="G194" s="28" t="s">
        <v>2027</v>
      </c>
      <c r="J194" s="7" t="s">
        <v>1974</v>
      </c>
      <c r="L194" s="7" t="s">
        <v>685</v>
      </c>
      <c r="M194" s="6"/>
      <c r="O194" s="7" t="s">
        <v>104</v>
      </c>
      <c r="P194" s="7" t="s">
        <v>33</v>
      </c>
      <c r="Q194" s="7" t="s">
        <v>34</v>
      </c>
      <c r="R194" s="7" t="s">
        <v>147</v>
      </c>
      <c r="S194" s="7" t="s">
        <v>692</v>
      </c>
      <c r="T194" s="7" t="s">
        <v>205</v>
      </c>
      <c r="U194" s="7" t="s">
        <v>693</v>
      </c>
      <c r="V194" s="7" t="s">
        <v>270</v>
      </c>
      <c r="X194" s="2" t="str">
        <f>HYPERLINK("https://hsdes.intel.com/resource/14013179479","14013179479")</f>
        <v>14013179479</v>
      </c>
    </row>
    <row r="195" spans="1:24" x14ac:dyDescent="0.3">
      <c r="A195" s="2" t="str">
        <f>HYPERLINK("https://hsdes.intel.com/resource/14013165526","14013165526")</f>
        <v>14013165526</v>
      </c>
      <c r="B195" s="7" t="s">
        <v>694</v>
      </c>
      <c r="C195" s="7" t="s">
        <v>2018</v>
      </c>
      <c r="D195" s="7" t="s">
        <v>257</v>
      </c>
      <c r="E195" s="7" t="s">
        <v>19</v>
      </c>
      <c r="F195" s="7" t="s">
        <v>20</v>
      </c>
      <c r="G195" s="28" t="s">
        <v>2027</v>
      </c>
      <c r="J195" s="7" t="s">
        <v>1974</v>
      </c>
      <c r="M195" s="6">
        <v>44781</v>
      </c>
      <c r="O195" s="7" t="s">
        <v>32</v>
      </c>
      <c r="P195" s="7" t="s">
        <v>163</v>
      </c>
      <c r="Q195" s="7" t="s">
        <v>34</v>
      </c>
      <c r="R195" s="7" t="s">
        <v>24</v>
      </c>
      <c r="S195" s="7" t="s">
        <v>695</v>
      </c>
      <c r="T195" s="7" t="s">
        <v>205</v>
      </c>
      <c r="U195" s="7" t="s">
        <v>696</v>
      </c>
      <c r="V195" s="7" t="s">
        <v>166</v>
      </c>
      <c r="X195" s="2" t="str">
        <f>HYPERLINK("https://hsdes.intel.com/resource/14013165526","14013165526")</f>
        <v>14013165526</v>
      </c>
    </row>
    <row r="196" spans="1:24" x14ac:dyDescent="0.3">
      <c r="A196" s="2" t="str">
        <f>HYPERLINK("https://hsdes.intel.com/resource/14013182324","14013182324")</f>
        <v>14013182324</v>
      </c>
      <c r="B196" s="7" t="s">
        <v>697</v>
      </c>
      <c r="C196" s="7" t="s">
        <v>2018</v>
      </c>
      <c r="D196" s="7" t="s">
        <v>18</v>
      </c>
      <c r="E196" s="7" t="s">
        <v>19</v>
      </c>
      <c r="F196" s="7" t="s">
        <v>20</v>
      </c>
      <c r="G196" s="28" t="s">
        <v>2027</v>
      </c>
      <c r="J196" s="7" t="s">
        <v>1974</v>
      </c>
      <c r="M196" s="6">
        <v>44781</v>
      </c>
      <c r="O196" s="7" t="s">
        <v>32</v>
      </c>
      <c r="P196" s="7" t="s">
        <v>22</v>
      </c>
      <c r="Q196" s="7" t="s">
        <v>34</v>
      </c>
      <c r="R196" s="7" t="s">
        <v>24</v>
      </c>
      <c r="S196" s="7" t="s">
        <v>698</v>
      </c>
      <c r="T196" s="7" t="s">
        <v>130</v>
      </c>
      <c r="U196" s="7" t="s">
        <v>699</v>
      </c>
      <c r="V196" s="7" t="s">
        <v>166</v>
      </c>
      <c r="X196" s="2" t="str">
        <f>HYPERLINK("https://hsdes.intel.com/resource/14013182324","14013182324")</f>
        <v>14013182324</v>
      </c>
    </row>
    <row r="197" spans="1:24" x14ac:dyDescent="0.3">
      <c r="A197" s="2" t="str">
        <f>HYPERLINK("https://hsdes.intel.com/resource/14013163080","14013163080")</f>
        <v>14013163080</v>
      </c>
      <c r="B197" s="7" t="s">
        <v>700</v>
      </c>
      <c r="C197" s="7" t="s">
        <v>2017</v>
      </c>
      <c r="D197" s="7" t="s">
        <v>578</v>
      </c>
      <c r="E197" s="7" t="s">
        <v>19</v>
      </c>
      <c r="F197" s="7" t="s">
        <v>20</v>
      </c>
      <c r="G197" s="28" t="s">
        <v>2027</v>
      </c>
      <c r="J197" s="7" t="s">
        <v>2006</v>
      </c>
      <c r="M197" s="6">
        <v>44784</v>
      </c>
      <c r="N197" s="6"/>
      <c r="O197" s="7" t="s">
        <v>21</v>
      </c>
      <c r="P197" s="7" t="s">
        <v>33</v>
      </c>
      <c r="Q197" s="7" t="s">
        <v>34</v>
      </c>
      <c r="R197" s="7" t="s">
        <v>24</v>
      </c>
      <c r="S197" s="7" t="s">
        <v>701</v>
      </c>
      <c r="T197" s="7" t="s">
        <v>702</v>
      </c>
      <c r="U197" s="7" t="s">
        <v>703</v>
      </c>
      <c r="V197" s="7" t="s">
        <v>38</v>
      </c>
      <c r="X197" s="2" t="str">
        <f>HYPERLINK("https://hsdes.intel.com/resource/14013163080","14013163080")</f>
        <v>14013163080</v>
      </c>
    </row>
    <row r="198" spans="1:24" x14ac:dyDescent="0.3">
      <c r="A198" s="2" t="str">
        <f>HYPERLINK("https://hsdes.intel.com/resource/14013159015","14013159015")</f>
        <v>14013159015</v>
      </c>
      <c r="B198" s="7" t="s">
        <v>704</v>
      </c>
      <c r="C198" s="7" t="s">
        <v>2017</v>
      </c>
      <c r="D198" s="7" t="s">
        <v>283</v>
      </c>
      <c r="E198" s="7" t="s">
        <v>19</v>
      </c>
      <c r="F198" s="7" t="s">
        <v>20</v>
      </c>
      <c r="G198" s="28" t="s">
        <v>2027</v>
      </c>
      <c r="J198" s="7" t="s">
        <v>2006</v>
      </c>
      <c r="M198" s="6">
        <v>44783</v>
      </c>
      <c r="N198" s="6"/>
      <c r="O198" s="7" t="s">
        <v>32</v>
      </c>
      <c r="P198" s="7" t="s">
        <v>175</v>
      </c>
      <c r="Q198" s="7" t="s">
        <v>34</v>
      </c>
      <c r="R198" s="7" t="s">
        <v>24</v>
      </c>
      <c r="S198" s="7" t="s">
        <v>705</v>
      </c>
      <c r="T198" s="7" t="s">
        <v>706</v>
      </c>
      <c r="U198" s="7" t="s">
        <v>707</v>
      </c>
      <c r="V198" s="7" t="s">
        <v>286</v>
      </c>
      <c r="X198" s="2" t="str">
        <f>HYPERLINK("https://hsdes.intel.com/resource/14013159015","14013159015")</f>
        <v>14013159015</v>
      </c>
    </row>
    <row r="199" spans="1:24" x14ac:dyDescent="0.3">
      <c r="A199" s="2" t="str">
        <f>HYPERLINK("https://hsdes.intel.com/resource/14013157183","14013157183")</f>
        <v>14013157183</v>
      </c>
      <c r="B199" s="7" t="s">
        <v>708</v>
      </c>
      <c r="C199" s="7" t="s">
        <v>2018</v>
      </c>
      <c r="D199" s="7" t="s">
        <v>283</v>
      </c>
      <c r="E199" s="7" t="s">
        <v>19</v>
      </c>
      <c r="F199" s="7" t="s">
        <v>20</v>
      </c>
      <c r="G199" s="28" t="s">
        <v>2027</v>
      </c>
      <c r="J199" s="7" t="s">
        <v>2006</v>
      </c>
      <c r="M199" s="6">
        <v>44781</v>
      </c>
      <c r="O199" s="7" t="s">
        <v>104</v>
      </c>
      <c r="P199" s="7" t="s">
        <v>175</v>
      </c>
      <c r="Q199" s="7" t="s">
        <v>34</v>
      </c>
      <c r="R199" s="7" t="s">
        <v>24</v>
      </c>
      <c r="S199" s="7" t="s">
        <v>709</v>
      </c>
      <c r="T199" s="7" t="s">
        <v>45</v>
      </c>
      <c r="U199" s="7" t="s">
        <v>710</v>
      </c>
      <c r="V199" s="7" t="s">
        <v>286</v>
      </c>
      <c r="X199" s="2" t="str">
        <f>HYPERLINK("https://hsdes.intel.com/resource/14013157183","14013157183")</f>
        <v>14013157183</v>
      </c>
    </row>
    <row r="200" spans="1:24" x14ac:dyDescent="0.3">
      <c r="A200" s="2" t="str">
        <f>HYPERLINK("https://hsdes.intel.com/resource/14013157534","14013157534")</f>
        <v>14013157534</v>
      </c>
      <c r="B200" s="7" t="s">
        <v>711</v>
      </c>
      <c r="C200" s="7" t="s">
        <v>2017</v>
      </c>
      <c r="D200" s="7" t="s">
        <v>283</v>
      </c>
      <c r="E200" s="7" t="s">
        <v>19</v>
      </c>
      <c r="F200" s="7" t="s">
        <v>20</v>
      </c>
      <c r="G200" s="28" t="s">
        <v>2027</v>
      </c>
      <c r="J200" s="7" t="s">
        <v>2006</v>
      </c>
      <c r="L200" s="7" t="s">
        <v>288</v>
      </c>
      <c r="M200" s="6">
        <v>44783</v>
      </c>
      <c r="O200" s="7" t="s">
        <v>32</v>
      </c>
      <c r="P200" s="7" t="s">
        <v>175</v>
      </c>
      <c r="Q200" s="7" t="s">
        <v>34</v>
      </c>
      <c r="R200" s="7" t="s">
        <v>24</v>
      </c>
      <c r="S200" s="7" t="s">
        <v>712</v>
      </c>
      <c r="T200" s="7" t="s">
        <v>45</v>
      </c>
      <c r="U200" s="7" t="s">
        <v>713</v>
      </c>
      <c r="V200" s="7" t="s">
        <v>286</v>
      </c>
      <c r="X200" s="2" t="str">
        <f>HYPERLINK("https://hsdes.intel.com/resource/14013157534","14013157534")</f>
        <v>14013157534</v>
      </c>
    </row>
    <row r="201" spans="1:24" x14ac:dyDescent="0.3">
      <c r="A201" s="5" t="str">
        <f>HYPERLINK("https://hsdes.intel.com/resource/16014811724","16014811724")</f>
        <v>16014811724</v>
      </c>
      <c r="B201" s="7" t="s">
        <v>714</v>
      </c>
      <c r="C201" s="7" t="s">
        <v>2018</v>
      </c>
      <c r="D201" s="7" t="s">
        <v>546</v>
      </c>
      <c r="E201" s="7" t="s">
        <v>19</v>
      </c>
      <c r="F201" s="7" t="s">
        <v>20</v>
      </c>
      <c r="G201" s="28" t="s">
        <v>2027</v>
      </c>
      <c r="J201" s="7" t="s">
        <v>2006</v>
      </c>
      <c r="M201" s="6">
        <v>44781</v>
      </c>
      <c r="O201" s="7" t="s">
        <v>104</v>
      </c>
      <c r="P201" s="7" t="s">
        <v>186</v>
      </c>
      <c r="Q201" s="7" t="s">
        <v>34</v>
      </c>
      <c r="R201" s="7" t="s">
        <v>147</v>
      </c>
      <c r="S201" s="7" t="s">
        <v>715</v>
      </c>
      <c r="T201" s="7" t="s">
        <v>177</v>
      </c>
      <c r="U201" s="7" t="s">
        <v>716</v>
      </c>
      <c r="V201" s="7" t="s">
        <v>189</v>
      </c>
      <c r="X201" s="2" t="str">
        <f>HYPERLINK("https://hsdes.intel.com/resource/16014811724","16014811724")</f>
        <v>16014811724</v>
      </c>
    </row>
    <row r="202" spans="1:24" x14ac:dyDescent="0.3">
      <c r="A202" s="2" t="str">
        <f>HYPERLINK("https://hsdes.intel.com/resource/14013185407","14013185407")</f>
        <v>14013185407</v>
      </c>
      <c r="B202" s="7" t="s">
        <v>717</v>
      </c>
      <c r="C202" s="7" t="s">
        <v>2017</v>
      </c>
      <c r="D202" s="7" t="s">
        <v>550</v>
      </c>
      <c r="E202" s="7" t="s">
        <v>19</v>
      </c>
      <c r="F202" s="7" t="s">
        <v>20</v>
      </c>
      <c r="G202" s="28" t="s">
        <v>2027</v>
      </c>
      <c r="J202" s="7" t="s">
        <v>1974</v>
      </c>
      <c r="M202" s="6">
        <v>44783</v>
      </c>
      <c r="O202" s="7" t="s">
        <v>104</v>
      </c>
      <c r="P202" s="7" t="s">
        <v>22</v>
      </c>
      <c r="Q202" s="7" t="s">
        <v>34</v>
      </c>
      <c r="R202" s="7" t="s">
        <v>24</v>
      </c>
      <c r="S202" s="7" t="s">
        <v>718</v>
      </c>
      <c r="T202" s="7" t="s">
        <v>170</v>
      </c>
      <c r="U202" s="7" t="s">
        <v>719</v>
      </c>
      <c r="V202" s="7" t="s">
        <v>172</v>
      </c>
      <c r="X202" s="2" t="str">
        <f>HYPERLINK("https://hsdes.intel.com/resource/14013185407","14013185407")</f>
        <v>14013185407</v>
      </c>
    </row>
    <row r="203" spans="1:24" x14ac:dyDescent="0.3">
      <c r="A203" s="2" t="str">
        <f>HYPERLINK("https://hsdes.intel.com/resource/14013184108","14013184108")</f>
        <v>14013184108</v>
      </c>
      <c r="B203" s="7" t="s">
        <v>720</v>
      </c>
      <c r="C203" s="7" t="s">
        <v>2017</v>
      </c>
      <c r="D203" s="7" t="s">
        <v>550</v>
      </c>
      <c r="E203" s="7" t="s">
        <v>19</v>
      </c>
      <c r="F203" s="7" t="s">
        <v>20</v>
      </c>
      <c r="G203" s="28" t="s">
        <v>2027</v>
      </c>
      <c r="J203" s="7" t="s">
        <v>1974</v>
      </c>
      <c r="M203" s="6">
        <v>44783</v>
      </c>
      <c r="O203" s="7" t="s">
        <v>104</v>
      </c>
      <c r="P203" s="7" t="s">
        <v>22</v>
      </c>
      <c r="Q203" s="7" t="s">
        <v>34</v>
      </c>
      <c r="R203" s="7" t="s">
        <v>24</v>
      </c>
      <c r="S203" s="7" t="s">
        <v>721</v>
      </c>
      <c r="T203" s="7" t="s">
        <v>170</v>
      </c>
      <c r="U203" s="7" t="s">
        <v>722</v>
      </c>
      <c r="V203" s="7" t="s">
        <v>172</v>
      </c>
      <c r="X203" s="2" t="str">
        <f>HYPERLINK("https://hsdes.intel.com/resource/14013184108","14013184108")</f>
        <v>14013184108</v>
      </c>
    </row>
    <row r="204" spans="1:24" x14ac:dyDescent="0.3">
      <c r="A204" s="2" t="str">
        <f>HYPERLINK("https://hsdes.intel.com/resource/14013185837","14013185837")</f>
        <v>14013185837</v>
      </c>
      <c r="B204" s="7" t="s">
        <v>723</v>
      </c>
      <c r="C204" s="7" t="s">
        <v>2017</v>
      </c>
      <c r="D204" s="7" t="s">
        <v>550</v>
      </c>
      <c r="E204" s="7" t="s">
        <v>19</v>
      </c>
      <c r="F204" s="7" t="s">
        <v>20</v>
      </c>
      <c r="G204" s="28" t="s">
        <v>2027</v>
      </c>
      <c r="J204" s="7" t="s">
        <v>1974</v>
      </c>
      <c r="M204" s="6">
        <v>44783</v>
      </c>
      <c r="O204" s="7" t="s">
        <v>104</v>
      </c>
      <c r="P204" s="7" t="s">
        <v>22</v>
      </c>
      <c r="Q204" s="7" t="s">
        <v>34</v>
      </c>
      <c r="R204" s="7" t="s">
        <v>24</v>
      </c>
      <c r="S204" s="7" t="s">
        <v>724</v>
      </c>
      <c r="T204" s="7" t="s">
        <v>170</v>
      </c>
      <c r="U204" s="7" t="s">
        <v>725</v>
      </c>
      <c r="V204" s="7" t="s">
        <v>172</v>
      </c>
      <c r="X204" s="2" t="str">
        <f>HYPERLINK("https://hsdes.intel.com/resource/14013185837","14013185837")</f>
        <v>14013185837</v>
      </c>
    </row>
    <row r="205" spans="1:24" x14ac:dyDescent="0.3">
      <c r="A205" s="2" t="str">
        <f>HYPERLINK("https://hsdes.intel.com/resource/14013184100","14013184100")</f>
        <v>14013184100</v>
      </c>
      <c r="B205" s="7" t="s">
        <v>726</v>
      </c>
      <c r="C205" s="7" t="s">
        <v>2017</v>
      </c>
      <c r="D205" s="7" t="s">
        <v>550</v>
      </c>
      <c r="E205" s="7" t="s">
        <v>19</v>
      </c>
      <c r="F205" s="7" t="s">
        <v>20</v>
      </c>
      <c r="G205" s="28" t="s">
        <v>2027</v>
      </c>
      <c r="J205" s="7" t="s">
        <v>1974</v>
      </c>
      <c r="M205" s="6">
        <v>44783</v>
      </c>
      <c r="O205" s="7" t="s">
        <v>32</v>
      </c>
      <c r="P205" s="7" t="s">
        <v>22</v>
      </c>
      <c r="Q205" s="7" t="s">
        <v>34</v>
      </c>
      <c r="R205" s="7" t="s">
        <v>24</v>
      </c>
      <c r="S205" s="7" t="s">
        <v>727</v>
      </c>
      <c r="T205" s="7" t="s">
        <v>170</v>
      </c>
      <c r="U205" s="7" t="s">
        <v>728</v>
      </c>
      <c r="V205" s="7" t="s">
        <v>172</v>
      </c>
      <c r="X205" s="2" t="str">
        <f>HYPERLINK("https://hsdes.intel.com/resource/14013184100","14013184100")</f>
        <v>14013184100</v>
      </c>
    </row>
    <row r="206" spans="1:24" x14ac:dyDescent="0.3">
      <c r="A206" s="2" t="str">
        <f>HYPERLINK("https://hsdes.intel.com/resource/14013185834","14013185834")</f>
        <v>14013185834</v>
      </c>
      <c r="B206" s="7" t="s">
        <v>729</v>
      </c>
      <c r="C206" s="7" t="s">
        <v>2017</v>
      </c>
      <c r="D206" s="7" t="s">
        <v>550</v>
      </c>
      <c r="E206" s="7" t="s">
        <v>19</v>
      </c>
      <c r="F206" s="7" t="s">
        <v>20</v>
      </c>
      <c r="G206" s="28" t="s">
        <v>2027</v>
      </c>
      <c r="J206" s="7" t="s">
        <v>1974</v>
      </c>
      <c r="M206" s="6">
        <v>44783</v>
      </c>
      <c r="O206" s="7" t="s">
        <v>104</v>
      </c>
      <c r="P206" s="7" t="s">
        <v>22</v>
      </c>
      <c r="Q206" s="7" t="s">
        <v>34</v>
      </c>
      <c r="R206" s="7" t="s">
        <v>24</v>
      </c>
      <c r="S206" s="7" t="s">
        <v>730</v>
      </c>
      <c r="T206" s="7" t="s">
        <v>170</v>
      </c>
      <c r="U206" s="7" t="s">
        <v>731</v>
      </c>
      <c r="V206" s="7" t="s">
        <v>172</v>
      </c>
      <c r="X206" s="5" t="str">
        <f>HYPERLINK("https://hsdes.intel.com/resource/14013185834","14013185834")</f>
        <v>14013185834</v>
      </c>
    </row>
    <row r="207" spans="1:24" x14ac:dyDescent="0.3">
      <c r="A207" s="2" t="str">
        <f>HYPERLINK("https://hsdes.intel.com/resource/14013184139","14013184139")</f>
        <v>14013184139</v>
      </c>
      <c r="B207" s="7" t="s">
        <v>732</v>
      </c>
      <c r="C207" s="7" t="s">
        <v>2017</v>
      </c>
      <c r="D207" s="7" t="s">
        <v>550</v>
      </c>
      <c r="E207" s="7" t="s">
        <v>19</v>
      </c>
      <c r="F207" s="7" t="s">
        <v>20</v>
      </c>
      <c r="G207" s="28" t="s">
        <v>2027</v>
      </c>
      <c r="J207" s="7" t="s">
        <v>1974</v>
      </c>
      <c r="M207" s="6">
        <v>44783</v>
      </c>
      <c r="O207" s="7" t="s">
        <v>21</v>
      </c>
      <c r="P207" s="7" t="s">
        <v>22</v>
      </c>
      <c r="Q207" s="7" t="s">
        <v>34</v>
      </c>
      <c r="R207" s="7" t="s">
        <v>24</v>
      </c>
      <c r="S207" s="7" t="s">
        <v>733</v>
      </c>
      <c r="T207" s="7" t="s">
        <v>170</v>
      </c>
      <c r="U207" s="7" t="s">
        <v>734</v>
      </c>
      <c r="V207" s="7" t="s">
        <v>172</v>
      </c>
      <c r="X207" s="2" t="str">
        <f>HYPERLINK("https://hsdes.intel.com/resource/14013184139","14013184139")</f>
        <v>14013184139</v>
      </c>
    </row>
    <row r="208" spans="1:24" x14ac:dyDescent="0.3">
      <c r="A208" s="2" t="str">
        <f>HYPERLINK("https://hsdes.intel.com/resource/14013185426","14013185426")</f>
        <v>14013185426</v>
      </c>
      <c r="B208" s="7" t="s">
        <v>735</v>
      </c>
      <c r="C208" s="7" t="s">
        <v>2017</v>
      </c>
      <c r="D208" s="7" t="s">
        <v>550</v>
      </c>
      <c r="E208" s="7" t="s">
        <v>19</v>
      </c>
      <c r="F208" s="7" t="s">
        <v>20</v>
      </c>
      <c r="G208" s="28" t="s">
        <v>2027</v>
      </c>
      <c r="J208" s="7" t="s">
        <v>1974</v>
      </c>
      <c r="M208" s="6">
        <v>44783</v>
      </c>
      <c r="O208" s="7" t="s">
        <v>32</v>
      </c>
      <c r="P208" s="7" t="s">
        <v>22</v>
      </c>
      <c r="Q208" s="7" t="s">
        <v>34</v>
      </c>
      <c r="R208" s="7" t="s">
        <v>24</v>
      </c>
      <c r="S208" s="7" t="s">
        <v>736</v>
      </c>
      <c r="T208" s="7" t="s">
        <v>170</v>
      </c>
      <c r="U208" s="7" t="s">
        <v>737</v>
      </c>
      <c r="V208" s="7" t="s">
        <v>172</v>
      </c>
      <c r="X208" s="2" t="str">
        <f>HYPERLINK("https://hsdes.intel.com/resource/14013185426","14013185426")</f>
        <v>14013185426</v>
      </c>
    </row>
    <row r="209" spans="1:24" x14ac:dyDescent="0.3">
      <c r="A209" s="2" t="str">
        <f>HYPERLINK("https://hsdes.intel.com/resource/14013175230","14013175230")</f>
        <v>14013175230</v>
      </c>
      <c r="B209" s="7" t="s">
        <v>738</v>
      </c>
      <c r="C209" s="7" t="s">
        <v>2017</v>
      </c>
      <c r="D209" s="7" t="s">
        <v>546</v>
      </c>
      <c r="E209" s="7" t="s">
        <v>19</v>
      </c>
      <c r="F209" s="7" t="s">
        <v>20</v>
      </c>
      <c r="G209" s="28" t="s">
        <v>2027</v>
      </c>
      <c r="J209" s="7" t="s">
        <v>2006</v>
      </c>
      <c r="M209" s="6">
        <v>44783</v>
      </c>
      <c r="O209" s="7" t="s">
        <v>32</v>
      </c>
      <c r="P209" s="7" t="s">
        <v>186</v>
      </c>
      <c r="Q209" s="7" t="s">
        <v>34</v>
      </c>
      <c r="R209" s="7" t="s">
        <v>147</v>
      </c>
      <c r="S209" s="7" t="s">
        <v>739</v>
      </c>
      <c r="T209" s="7" t="s">
        <v>177</v>
      </c>
      <c r="U209" s="7" t="s">
        <v>740</v>
      </c>
      <c r="V209" s="7" t="s">
        <v>189</v>
      </c>
      <c r="X209" s="2" t="str">
        <f>HYPERLINK("https://hsdes.intel.com/resource/14013175230","14013175230")</f>
        <v>14013175230</v>
      </c>
    </row>
    <row r="210" spans="1:24" x14ac:dyDescent="0.3">
      <c r="A210" s="2" t="str">
        <f>HYPERLINK("https://hsdes.intel.com/resource/14013187972","14013187972")</f>
        <v>14013187972</v>
      </c>
      <c r="B210" s="7" t="s">
        <v>738</v>
      </c>
      <c r="C210" s="7" t="s">
        <v>2017</v>
      </c>
      <c r="D210" s="7" t="s">
        <v>546</v>
      </c>
      <c r="E210" s="7" t="s">
        <v>19</v>
      </c>
      <c r="F210" s="7" t="s">
        <v>20</v>
      </c>
      <c r="G210" s="28" t="s">
        <v>2027</v>
      </c>
      <c r="J210" s="7" t="s">
        <v>2006</v>
      </c>
      <c r="M210" s="6">
        <v>44783</v>
      </c>
      <c r="O210" s="7" t="s">
        <v>32</v>
      </c>
      <c r="P210" s="7" t="s">
        <v>186</v>
      </c>
      <c r="Q210" s="7" t="s">
        <v>23</v>
      </c>
      <c r="R210" s="7" t="s">
        <v>147</v>
      </c>
      <c r="S210" s="7" t="s">
        <v>741</v>
      </c>
      <c r="T210" s="7" t="s">
        <v>244</v>
      </c>
      <c r="U210" s="7" t="s">
        <v>742</v>
      </c>
      <c r="V210" s="7" t="s">
        <v>189</v>
      </c>
      <c r="X210" s="2" t="str">
        <f>HYPERLINK("https://hsdes.intel.com/resource/14013187972","14013187972")</f>
        <v>14013187972</v>
      </c>
    </row>
    <row r="211" spans="1:24" x14ac:dyDescent="0.3">
      <c r="A211" s="2" t="str">
        <f>HYPERLINK("https://hsdes.intel.com/resource/14013175445","14013175445")</f>
        <v>14013175445</v>
      </c>
      <c r="B211" s="7" t="s">
        <v>743</v>
      </c>
      <c r="C211" s="7" t="s">
        <v>2017</v>
      </c>
      <c r="D211" s="7" t="s">
        <v>546</v>
      </c>
      <c r="E211" s="7" t="s">
        <v>19</v>
      </c>
      <c r="F211" s="7" t="s">
        <v>20</v>
      </c>
      <c r="G211" s="28" t="s">
        <v>2027</v>
      </c>
      <c r="J211" s="7" t="s">
        <v>2006</v>
      </c>
      <c r="M211" s="6">
        <v>44783</v>
      </c>
      <c r="O211" s="7" t="s">
        <v>32</v>
      </c>
      <c r="P211" s="7" t="s">
        <v>186</v>
      </c>
      <c r="Q211" s="7" t="s">
        <v>23</v>
      </c>
      <c r="R211" s="7" t="s">
        <v>147</v>
      </c>
      <c r="S211" s="7" t="s">
        <v>744</v>
      </c>
      <c r="T211" s="7" t="s">
        <v>177</v>
      </c>
      <c r="U211" s="7" t="s">
        <v>745</v>
      </c>
      <c r="V211" s="7" t="s">
        <v>189</v>
      </c>
      <c r="X211" s="2" t="str">
        <f>HYPERLINK("https://hsdes.intel.com/resource/14013175445","14013175445")</f>
        <v>14013175445</v>
      </c>
    </row>
    <row r="212" spans="1:24" x14ac:dyDescent="0.3">
      <c r="A212" s="2" t="str">
        <f>HYPERLINK("https://hsdes.intel.com/resource/14013187978","14013187978")</f>
        <v>14013187978</v>
      </c>
      <c r="B212" s="7" t="s">
        <v>743</v>
      </c>
      <c r="C212" s="7" t="s">
        <v>2017</v>
      </c>
      <c r="D212" s="7" t="s">
        <v>546</v>
      </c>
      <c r="E212" s="7" t="s">
        <v>19</v>
      </c>
      <c r="F212" s="7" t="s">
        <v>20</v>
      </c>
      <c r="G212" s="28" t="s">
        <v>2027</v>
      </c>
      <c r="J212" s="7" t="s">
        <v>2006</v>
      </c>
      <c r="M212" s="6">
        <v>44783</v>
      </c>
      <c r="O212" s="7" t="s">
        <v>32</v>
      </c>
      <c r="P212" s="7" t="s">
        <v>186</v>
      </c>
      <c r="Q212" s="7" t="s">
        <v>34</v>
      </c>
      <c r="R212" s="7" t="s">
        <v>147</v>
      </c>
      <c r="S212" s="7" t="s">
        <v>746</v>
      </c>
      <c r="T212" s="7" t="s">
        <v>244</v>
      </c>
      <c r="U212" s="7" t="s">
        <v>742</v>
      </c>
      <c r="V212" s="7" t="s">
        <v>189</v>
      </c>
      <c r="X212" s="2" t="str">
        <f>HYPERLINK("https://hsdes.intel.com/resource/14013187978","14013187978")</f>
        <v>14013187978</v>
      </c>
    </row>
    <row r="213" spans="1:24" x14ac:dyDescent="0.3">
      <c r="A213" s="2" t="str">
        <f>HYPERLINK("https://hsdes.intel.com/resource/14013175209","14013175209")</f>
        <v>14013175209</v>
      </c>
      <c r="B213" s="7" t="s">
        <v>747</v>
      </c>
      <c r="C213" s="7" t="s">
        <v>2017</v>
      </c>
      <c r="D213" s="7" t="s">
        <v>546</v>
      </c>
      <c r="E213" s="7" t="s">
        <v>19</v>
      </c>
      <c r="F213" s="7" t="s">
        <v>20</v>
      </c>
      <c r="G213" s="28" t="s">
        <v>2027</v>
      </c>
      <c r="J213" s="7" t="s">
        <v>2006</v>
      </c>
      <c r="M213" s="6">
        <v>44783</v>
      </c>
      <c r="O213" s="7" t="s">
        <v>32</v>
      </c>
      <c r="P213" s="7" t="s">
        <v>186</v>
      </c>
      <c r="Q213" s="7" t="s">
        <v>23</v>
      </c>
      <c r="R213" s="7" t="s">
        <v>147</v>
      </c>
      <c r="S213" s="7" t="s">
        <v>748</v>
      </c>
      <c r="T213" s="7" t="s">
        <v>244</v>
      </c>
      <c r="U213" s="7" t="s">
        <v>749</v>
      </c>
      <c r="V213" s="7" t="s">
        <v>189</v>
      </c>
      <c r="X213" s="2" t="str">
        <f>HYPERLINK("https://hsdes.intel.com/resource/14013175209","14013175209")</f>
        <v>14013175209</v>
      </c>
    </row>
    <row r="214" spans="1:24" x14ac:dyDescent="0.3">
      <c r="A214" s="2" t="str">
        <f>HYPERLINK("https://hsdes.intel.com/resource/14013187969","14013187969")</f>
        <v>14013187969</v>
      </c>
      <c r="B214" s="7" t="s">
        <v>747</v>
      </c>
      <c r="C214" s="7" t="s">
        <v>2017</v>
      </c>
      <c r="D214" s="7" t="s">
        <v>546</v>
      </c>
      <c r="E214" s="7" t="s">
        <v>19</v>
      </c>
      <c r="F214" s="7" t="s">
        <v>20</v>
      </c>
      <c r="G214" s="28" t="s">
        <v>2027</v>
      </c>
      <c r="J214" s="7" t="s">
        <v>2006</v>
      </c>
      <c r="M214" s="6">
        <v>44783</v>
      </c>
      <c r="O214" s="7" t="s">
        <v>32</v>
      </c>
      <c r="P214" s="7" t="s">
        <v>186</v>
      </c>
      <c r="Q214" s="7" t="s">
        <v>34</v>
      </c>
      <c r="R214" s="7" t="s">
        <v>147</v>
      </c>
      <c r="S214" s="7" t="s">
        <v>750</v>
      </c>
      <c r="T214" s="7" t="s">
        <v>244</v>
      </c>
      <c r="U214" s="7" t="s">
        <v>742</v>
      </c>
      <c r="V214" s="7" t="s">
        <v>189</v>
      </c>
      <c r="X214" s="2" t="str">
        <f>HYPERLINK("https://hsdes.intel.com/resource/14013187969","14013187969")</f>
        <v>14013187969</v>
      </c>
    </row>
    <row r="215" spans="1:24" x14ac:dyDescent="0.3">
      <c r="A215" s="2" t="str">
        <f>HYPERLINK("https://hsdes.intel.com/resource/14013175211","14013175211")</f>
        <v>14013175211</v>
      </c>
      <c r="B215" s="7" t="s">
        <v>751</v>
      </c>
      <c r="C215" s="7" t="s">
        <v>1975</v>
      </c>
      <c r="D215" s="7" t="s">
        <v>546</v>
      </c>
      <c r="E215" s="7" t="s">
        <v>19</v>
      </c>
      <c r="F215" s="7" t="s">
        <v>20</v>
      </c>
      <c r="G215" s="28" t="s">
        <v>2027</v>
      </c>
      <c r="J215" s="7" t="s">
        <v>1974</v>
      </c>
      <c r="L215" s="7" t="s">
        <v>752</v>
      </c>
      <c r="M215" s="6"/>
      <c r="O215" s="7" t="s">
        <v>32</v>
      </c>
      <c r="P215" s="7" t="s">
        <v>186</v>
      </c>
      <c r="Q215" s="7" t="s">
        <v>34</v>
      </c>
      <c r="R215" s="7" t="s">
        <v>147</v>
      </c>
      <c r="S215" s="7" t="s">
        <v>753</v>
      </c>
      <c r="T215" s="7" t="s">
        <v>177</v>
      </c>
      <c r="U215" s="7" t="s">
        <v>754</v>
      </c>
      <c r="V215" s="7" t="s">
        <v>189</v>
      </c>
      <c r="X215" s="2" t="str">
        <f>HYPERLINK("https://hsdes.intel.com/resource/14013175211","14013175211")</f>
        <v>14013175211</v>
      </c>
    </row>
    <row r="216" spans="1:24" x14ac:dyDescent="0.3">
      <c r="A216" s="2" t="str">
        <f>HYPERLINK("https://hsdes.intel.com/resource/14013187970","14013187970")</f>
        <v>14013187970</v>
      </c>
      <c r="B216" s="7" t="s">
        <v>751</v>
      </c>
      <c r="C216" s="7" t="s">
        <v>1975</v>
      </c>
      <c r="D216" s="7" t="s">
        <v>546</v>
      </c>
      <c r="E216" s="7" t="s">
        <v>19</v>
      </c>
      <c r="F216" s="7" t="s">
        <v>20</v>
      </c>
      <c r="G216" s="28" t="s">
        <v>2027</v>
      </c>
      <c r="J216" s="7" t="s">
        <v>1974</v>
      </c>
      <c r="L216" s="7" t="s">
        <v>752</v>
      </c>
      <c r="M216" s="6"/>
      <c r="O216" s="7" t="s">
        <v>32</v>
      </c>
      <c r="P216" s="7" t="s">
        <v>186</v>
      </c>
      <c r="Q216" s="7" t="s">
        <v>34</v>
      </c>
      <c r="R216" s="7" t="s">
        <v>147</v>
      </c>
      <c r="S216" s="7" t="s">
        <v>755</v>
      </c>
      <c r="T216" s="7" t="s">
        <v>244</v>
      </c>
      <c r="U216" s="7" t="s">
        <v>756</v>
      </c>
      <c r="V216" s="7" t="s">
        <v>189</v>
      </c>
      <c r="X216" s="2" t="str">
        <f>HYPERLINK("https://hsdes.intel.com/resource/14013187970","14013187970")</f>
        <v>14013187970</v>
      </c>
    </row>
    <row r="217" spans="1:24" s="18" customFormat="1" x14ac:dyDescent="0.3">
      <c r="A217" s="19" t="str">
        <f>HYPERLINK("https://hsdes.intel.com/resource/16013298939","16013298939")</f>
        <v>16013298939</v>
      </c>
      <c r="B217" s="18" t="s">
        <v>757</v>
      </c>
      <c r="C217" s="7" t="s">
        <v>2017</v>
      </c>
      <c r="D217" s="7" t="s">
        <v>417</v>
      </c>
      <c r="E217" s="7" t="s">
        <v>122</v>
      </c>
      <c r="F217" s="7" t="s">
        <v>20</v>
      </c>
      <c r="G217" s="28" t="s">
        <v>2027</v>
      </c>
      <c r="J217" s="7" t="s">
        <v>2020</v>
      </c>
      <c r="M217" s="6">
        <v>44784</v>
      </c>
      <c r="O217" s="18" t="s">
        <v>104</v>
      </c>
      <c r="P217" s="18" t="s">
        <v>163</v>
      </c>
      <c r="Q217" s="18" t="s">
        <v>34</v>
      </c>
      <c r="R217" s="18" t="s">
        <v>147</v>
      </c>
      <c r="T217" s="18" t="s">
        <v>419</v>
      </c>
      <c r="U217" s="18" t="s">
        <v>758</v>
      </c>
      <c r="X217" s="17" t="str">
        <f>HYPERLINK("https://hsdes.intel.com/resource/16013298939","16013298939")</f>
        <v>16013298939</v>
      </c>
    </row>
    <row r="218" spans="1:24" s="18" customFormat="1" x14ac:dyDescent="0.3">
      <c r="A218" s="19" t="str">
        <f>HYPERLINK("https://hsdes.intel.com/resource/16013298935","16013298935")</f>
        <v>16013298935</v>
      </c>
      <c r="B218" s="18" t="s">
        <v>759</v>
      </c>
      <c r="C218" s="7" t="s">
        <v>2017</v>
      </c>
      <c r="D218" s="7" t="s">
        <v>417</v>
      </c>
      <c r="E218" s="7" t="s">
        <v>122</v>
      </c>
      <c r="F218" s="7" t="s">
        <v>20</v>
      </c>
      <c r="G218" s="28" t="s">
        <v>2027</v>
      </c>
      <c r="J218" s="7" t="s">
        <v>2020</v>
      </c>
      <c r="M218" s="6">
        <v>44784</v>
      </c>
      <c r="O218" s="18" t="s">
        <v>104</v>
      </c>
      <c r="P218" s="18" t="s">
        <v>163</v>
      </c>
      <c r="Q218" s="18" t="s">
        <v>34</v>
      </c>
      <c r="R218" s="18" t="s">
        <v>147</v>
      </c>
      <c r="T218" s="18" t="s">
        <v>419</v>
      </c>
      <c r="U218" s="18" t="s">
        <v>760</v>
      </c>
      <c r="X218" s="17" t="str">
        <f>HYPERLINK("https://hsdes.intel.com/resource/16013298935","16013298935")</f>
        <v>16013298935</v>
      </c>
    </row>
    <row r="219" spans="1:24" x14ac:dyDescent="0.3">
      <c r="A219" s="2" t="str">
        <f>HYPERLINK("https://hsdes.intel.com/resource/14013185714","14013185714")</f>
        <v>14013185714</v>
      </c>
      <c r="B219" s="7" t="s">
        <v>761</v>
      </c>
      <c r="C219" s="7" t="s">
        <v>1975</v>
      </c>
      <c r="D219" s="7" t="s">
        <v>267</v>
      </c>
      <c r="E219" s="7" t="s">
        <v>19</v>
      </c>
      <c r="F219" s="7" t="s">
        <v>20</v>
      </c>
      <c r="G219" s="28" t="s">
        <v>2027</v>
      </c>
      <c r="J219" s="7" t="s">
        <v>2004</v>
      </c>
      <c r="L219" s="7" t="s">
        <v>752</v>
      </c>
      <c r="M219" s="6"/>
      <c r="O219" s="7" t="s">
        <v>32</v>
      </c>
      <c r="P219" s="7" t="s">
        <v>33</v>
      </c>
      <c r="Q219" s="7" t="s">
        <v>34</v>
      </c>
      <c r="R219" s="7" t="s">
        <v>24</v>
      </c>
      <c r="S219" s="7" t="s">
        <v>762</v>
      </c>
      <c r="T219" s="7" t="s">
        <v>506</v>
      </c>
      <c r="U219" s="7" t="s">
        <v>763</v>
      </c>
      <c r="V219" s="7" t="s">
        <v>270</v>
      </c>
      <c r="X219" s="2" t="str">
        <f>HYPERLINK("https://hsdes.intel.com/resource/14013185714","14013185714")</f>
        <v>14013185714</v>
      </c>
    </row>
    <row r="220" spans="1:24" x14ac:dyDescent="0.3">
      <c r="A220" s="2" t="str">
        <f>HYPERLINK("https://hsdes.intel.com/resource/14013185710","14013185710")</f>
        <v>14013185710</v>
      </c>
      <c r="B220" s="7" t="s">
        <v>764</v>
      </c>
      <c r="C220" s="7" t="s">
        <v>2017</v>
      </c>
      <c r="D220" s="7" t="s">
        <v>267</v>
      </c>
      <c r="E220" s="7" t="s">
        <v>19</v>
      </c>
      <c r="F220" s="7" t="s">
        <v>20</v>
      </c>
      <c r="G220" s="28" t="s">
        <v>2027</v>
      </c>
      <c r="J220" s="7" t="s">
        <v>31</v>
      </c>
      <c r="M220" s="6"/>
      <c r="O220" s="7" t="s">
        <v>32</v>
      </c>
      <c r="P220" s="7" t="s">
        <v>33</v>
      </c>
      <c r="Q220" s="7" t="s">
        <v>34</v>
      </c>
      <c r="R220" s="7" t="s">
        <v>24</v>
      </c>
      <c r="S220" s="7" t="s">
        <v>765</v>
      </c>
      <c r="T220" s="7" t="s">
        <v>205</v>
      </c>
      <c r="U220" s="7" t="s">
        <v>766</v>
      </c>
      <c r="V220" s="7" t="s">
        <v>270</v>
      </c>
      <c r="X220" s="2" t="str">
        <f>HYPERLINK("https://hsdes.intel.com/resource/14013185710","14013185710")</f>
        <v>14013185710</v>
      </c>
    </row>
    <row r="221" spans="1:24" s="18" customFormat="1" x14ac:dyDescent="0.3">
      <c r="A221" s="19" t="str">
        <f>HYPERLINK("https://hsdes.intel.com/resource/14013157757","14013157757")</f>
        <v>14013157757</v>
      </c>
      <c r="B221" s="18" t="s">
        <v>767</v>
      </c>
      <c r="C221" s="7" t="s">
        <v>2017</v>
      </c>
      <c r="D221" s="7" t="s">
        <v>267</v>
      </c>
      <c r="E221" s="7" t="s">
        <v>19</v>
      </c>
      <c r="F221" s="7" t="s">
        <v>20</v>
      </c>
      <c r="G221" s="28" t="s">
        <v>2027</v>
      </c>
      <c r="J221" s="7" t="s">
        <v>2020</v>
      </c>
      <c r="M221" s="6">
        <v>44784</v>
      </c>
      <c r="O221" s="18" t="s">
        <v>104</v>
      </c>
      <c r="P221" s="18" t="s">
        <v>33</v>
      </c>
      <c r="Q221" s="18" t="s">
        <v>23</v>
      </c>
      <c r="R221" s="18" t="s">
        <v>24</v>
      </c>
      <c r="S221" s="18" t="s">
        <v>768</v>
      </c>
      <c r="T221" s="18" t="s">
        <v>205</v>
      </c>
      <c r="U221" s="18" t="s">
        <v>769</v>
      </c>
      <c r="V221" s="18" t="s">
        <v>270</v>
      </c>
      <c r="X221" s="17" t="str">
        <f>HYPERLINK("https://hsdes.intel.com/resource/14013157757","14013157757")</f>
        <v>14013157757</v>
      </c>
    </row>
    <row r="222" spans="1:24" x14ac:dyDescent="0.3">
      <c r="A222" s="2" t="str">
        <f>HYPERLINK("https://hsdes.intel.com/resource/14013185678","14013185678")</f>
        <v>14013185678</v>
      </c>
      <c r="B222" s="7" t="s">
        <v>770</v>
      </c>
      <c r="C222" s="7" t="s">
        <v>2017</v>
      </c>
      <c r="D222" s="7" t="s">
        <v>267</v>
      </c>
      <c r="E222" s="7" t="s">
        <v>19</v>
      </c>
      <c r="F222" s="7" t="s">
        <v>20</v>
      </c>
      <c r="G222" s="28" t="s">
        <v>2027</v>
      </c>
      <c r="J222" s="7" t="s">
        <v>31</v>
      </c>
      <c r="M222" s="6"/>
      <c r="O222" s="7" t="s">
        <v>32</v>
      </c>
      <c r="P222" s="7" t="s">
        <v>33</v>
      </c>
      <c r="Q222" s="7" t="s">
        <v>34</v>
      </c>
      <c r="R222" s="7" t="s">
        <v>24</v>
      </c>
      <c r="S222" s="7" t="s">
        <v>771</v>
      </c>
      <c r="T222" s="7" t="s">
        <v>205</v>
      </c>
      <c r="U222" s="7" t="s">
        <v>772</v>
      </c>
      <c r="V222" s="7" t="s">
        <v>270</v>
      </c>
      <c r="X222" s="2" t="str">
        <f>HYPERLINK("https://hsdes.intel.com/resource/14013185678","14013185678")</f>
        <v>14013185678</v>
      </c>
    </row>
    <row r="223" spans="1:24" x14ac:dyDescent="0.3">
      <c r="A223" s="5" t="str">
        <f>HYPERLINK("https://hsdes.intel.com/resource/14013160689","14013160689")</f>
        <v>14013160689</v>
      </c>
      <c r="B223" s="7" t="s">
        <v>773</v>
      </c>
      <c r="C223" s="7" t="s">
        <v>2017</v>
      </c>
      <c r="D223" s="7" t="s">
        <v>267</v>
      </c>
      <c r="E223" s="7" t="s">
        <v>19</v>
      </c>
      <c r="F223" s="7" t="s">
        <v>20</v>
      </c>
      <c r="G223" s="28" t="s">
        <v>2027</v>
      </c>
      <c r="J223" s="7" t="s">
        <v>2020</v>
      </c>
      <c r="L223" s="7" t="s">
        <v>288</v>
      </c>
      <c r="M223" s="6">
        <v>44783</v>
      </c>
      <c r="O223" s="7" t="s">
        <v>104</v>
      </c>
      <c r="P223" s="7" t="s">
        <v>33</v>
      </c>
      <c r="Q223" s="7" t="s">
        <v>34</v>
      </c>
      <c r="R223" s="7" t="s">
        <v>24</v>
      </c>
      <c r="S223" s="7" t="s">
        <v>774</v>
      </c>
      <c r="T223" s="7" t="s">
        <v>205</v>
      </c>
      <c r="U223" s="7" t="s">
        <v>775</v>
      </c>
      <c r="V223" s="7" t="s">
        <v>270</v>
      </c>
      <c r="X223" s="2" t="str">
        <f>HYPERLINK("https://hsdes.intel.com/resource/14013160689","14013160689")</f>
        <v>14013160689</v>
      </c>
    </row>
    <row r="224" spans="1:24" x14ac:dyDescent="0.3">
      <c r="A224" s="2" t="str">
        <f>HYPERLINK("https://hsdes.intel.com/resource/14013164082","14013164082")</f>
        <v>14013164082</v>
      </c>
      <c r="B224" s="7" t="s">
        <v>776</v>
      </c>
      <c r="C224" s="7" t="s">
        <v>2017</v>
      </c>
      <c r="D224" s="7" t="s">
        <v>267</v>
      </c>
      <c r="E224" s="7" t="s">
        <v>19</v>
      </c>
      <c r="F224" s="7" t="s">
        <v>20</v>
      </c>
      <c r="G224" s="28" t="s">
        <v>2027</v>
      </c>
      <c r="J224" s="7" t="s">
        <v>31</v>
      </c>
      <c r="M224" s="6"/>
      <c r="O224" s="7" t="s">
        <v>32</v>
      </c>
      <c r="P224" s="7" t="s">
        <v>33</v>
      </c>
      <c r="Q224" s="7" t="s">
        <v>34</v>
      </c>
      <c r="R224" s="7" t="s">
        <v>24</v>
      </c>
      <c r="S224" s="7" t="s">
        <v>777</v>
      </c>
      <c r="T224" s="7" t="s">
        <v>205</v>
      </c>
      <c r="U224" s="7" t="s">
        <v>778</v>
      </c>
      <c r="V224" s="7" t="s">
        <v>270</v>
      </c>
      <c r="X224" s="2" t="str">
        <f>HYPERLINK("https://hsdes.intel.com/resource/14013164082","14013164082")</f>
        <v>14013164082</v>
      </c>
    </row>
    <row r="225" spans="1:24" x14ac:dyDescent="0.3">
      <c r="A225" s="2" t="str">
        <f>HYPERLINK("https://hsdes.intel.com/resource/14013185707","14013185707")</f>
        <v>14013185707</v>
      </c>
      <c r="B225" s="7" t="s">
        <v>779</v>
      </c>
      <c r="C225" s="7" t="s">
        <v>1975</v>
      </c>
      <c r="D225" s="7" t="s">
        <v>267</v>
      </c>
      <c r="E225" s="7" t="s">
        <v>19</v>
      </c>
      <c r="F225" s="7" t="s">
        <v>20</v>
      </c>
      <c r="G225" s="28" t="s">
        <v>2027</v>
      </c>
      <c r="J225" s="7" t="s">
        <v>2004</v>
      </c>
      <c r="L225" s="7" t="s">
        <v>752</v>
      </c>
      <c r="M225" s="6"/>
      <c r="O225" s="7" t="s">
        <v>32</v>
      </c>
      <c r="P225" s="7" t="s">
        <v>33</v>
      </c>
      <c r="Q225" s="7" t="s">
        <v>34</v>
      </c>
      <c r="R225" s="7" t="s">
        <v>24</v>
      </c>
      <c r="S225" s="7" t="s">
        <v>780</v>
      </c>
      <c r="T225" s="7" t="s">
        <v>506</v>
      </c>
      <c r="U225" s="7" t="s">
        <v>781</v>
      </c>
      <c r="V225" s="7" t="s">
        <v>270</v>
      </c>
      <c r="X225" s="2" t="str">
        <f>HYPERLINK("https://hsdes.intel.com/resource/14013185707","14013185707")</f>
        <v>14013185707</v>
      </c>
    </row>
    <row r="226" spans="1:24" x14ac:dyDescent="0.3">
      <c r="A226" s="2" t="str">
        <f>HYPERLINK("https://hsdes.intel.com/resource/14013185694","14013185694")</f>
        <v>14013185694</v>
      </c>
      <c r="B226" s="7" t="s">
        <v>782</v>
      </c>
      <c r="C226" s="7" t="s">
        <v>2017</v>
      </c>
      <c r="D226" s="7" t="s">
        <v>267</v>
      </c>
      <c r="E226" s="7" t="s">
        <v>19</v>
      </c>
      <c r="F226" s="7" t="s">
        <v>20</v>
      </c>
      <c r="G226" s="28" t="s">
        <v>2027</v>
      </c>
      <c r="J226" s="7" t="s">
        <v>31</v>
      </c>
      <c r="M226" s="6"/>
      <c r="O226" s="7" t="s">
        <v>32</v>
      </c>
      <c r="P226" s="7" t="s">
        <v>33</v>
      </c>
      <c r="Q226" s="7" t="s">
        <v>34</v>
      </c>
      <c r="R226" s="7" t="s">
        <v>24</v>
      </c>
      <c r="S226" s="7" t="s">
        <v>783</v>
      </c>
      <c r="T226" s="7" t="s">
        <v>205</v>
      </c>
      <c r="U226" s="7" t="s">
        <v>784</v>
      </c>
      <c r="V226" s="7" t="s">
        <v>270</v>
      </c>
      <c r="X226" s="2" t="str">
        <f>HYPERLINK("https://hsdes.intel.com/resource/14013185694","14013185694")</f>
        <v>14013185694</v>
      </c>
    </row>
    <row r="227" spans="1:24" x14ac:dyDescent="0.3">
      <c r="A227" s="2" t="str">
        <f>HYPERLINK("https://hsdes.intel.com/resource/14013179118","14013179118")</f>
        <v>14013179118</v>
      </c>
      <c r="B227" s="7" t="s">
        <v>785</v>
      </c>
      <c r="C227" s="7" t="s">
        <v>2017</v>
      </c>
      <c r="D227" s="7" t="s">
        <v>267</v>
      </c>
      <c r="E227" s="7" t="s">
        <v>19</v>
      </c>
      <c r="F227" s="7" t="s">
        <v>20</v>
      </c>
      <c r="G227" s="28" t="s">
        <v>2027</v>
      </c>
      <c r="J227" s="7" t="s">
        <v>31</v>
      </c>
      <c r="M227" s="6"/>
      <c r="O227" s="7" t="s">
        <v>104</v>
      </c>
      <c r="P227" s="7" t="s">
        <v>33</v>
      </c>
      <c r="Q227" s="7" t="s">
        <v>34</v>
      </c>
      <c r="R227" s="7" t="s">
        <v>24</v>
      </c>
      <c r="S227" s="7" t="s">
        <v>786</v>
      </c>
      <c r="T227" s="7" t="s">
        <v>506</v>
      </c>
      <c r="U227" s="7" t="s">
        <v>787</v>
      </c>
      <c r="V227" s="7" t="s">
        <v>270</v>
      </c>
      <c r="X227" s="2" t="str">
        <f>HYPERLINK("https://hsdes.intel.com/resource/14013179118","14013179118")</f>
        <v>14013179118</v>
      </c>
    </row>
    <row r="228" spans="1:24" x14ac:dyDescent="0.3">
      <c r="A228" s="5" t="str">
        <f>HYPERLINK("https://hsdes.intel.com/resource/14013159046","14013159046")</f>
        <v>14013159046</v>
      </c>
      <c r="B228" s="7" t="s">
        <v>788</v>
      </c>
      <c r="C228" s="7" t="s">
        <v>2017</v>
      </c>
      <c r="D228" s="7" t="s">
        <v>267</v>
      </c>
      <c r="E228" s="7" t="s">
        <v>19</v>
      </c>
      <c r="F228" s="7" t="s">
        <v>20</v>
      </c>
      <c r="G228" s="28" t="s">
        <v>2027</v>
      </c>
      <c r="J228" s="7" t="s">
        <v>2020</v>
      </c>
      <c r="L228" s="10"/>
      <c r="M228" s="6">
        <v>44783</v>
      </c>
      <c r="O228" s="7" t="s">
        <v>32</v>
      </c>
      <c r="P228" s="7" t="s">
        <v>33</v>
      </c>
      <c r="Q228" s="7" t="s">
        <v>34</v>
      </c>
      <c r="R228" s="7" t="s">
        <v>24</v>
      </c>
      <c r="S228" s="7" t="s">
        <v>789</v>
      </c>
      <c r="T228" s="7" t="s">
        <v>326</v>
      </c>
      <c r="U228" s="7" t="s">
        <v>790</v>
      </c>
      <c r="V228" s="7" t="s">
        <v>270</v>
      </c>
      <c r="X228" s="2" t="str">
        <f>HYPERLINK("https://hsdes.intel.com/resource/14013159046","14013159046")</f>
        <v>14013159046</v>
      </c>
    </row>
    <row r="229" spans="1:24" x14ac:dyDescent="0.3">
      <c r="A229" s="2" t="str">
        <f>HYPERLINK("https://hsdes.intel.com/resource/14013161675","14013161675")</f>
        <v>14013161675</v>
      </c>
      <c r="B229" s="7" t="s">
        <v>791</v>
      </c>
      <c r="C229" s="7" t="s">
        <v>2017</v>
      </c>
      <c r="D229" s="7" t="s">
        <v>267</v>
      </c>
      <c r="E229" s="7" t="s">
        <v>19</v>
      </c>
      <c r="F229" s="7" t="s">
        <v>20</v>
      </c>
      <c r="G229" s="28" t="s">
        <v>2027</v>
      </c>
      <c r="J229" s="7" t="s">
        <v>2004</v>
      </c>
      <c r="L229" s="7" t="s">
        <v>1977</v>
      </c>
      <c r="M229" s="6">
        <v>44785</v>
      </c>
      <c r="O229" s="7" t="s">
        <v>32</v>
      </c>
      <c r="P229" s="7" t="s">
        <v>33</v>
      </c>
      <c r="Q229" s="7" t="s">
        <v>34</v>
      </c>
      <c r="R229" s="7" t="s">
        <v>24</v>
      </c>
      <c r="S229" s="7" t="s">
        <v>792</v>
      </c>
      <c r="T229" s="7" t="s">
        <v>326</v>
      </c>
      <c r="U229" s="7" t="s">
        <v>793</v>
      </c>
      <c r="V229" s="7" t="s">
        <v>270</v>
      </c>
      <c r="X229" s="2" t="str">
        <f>HYPERLINK("https://hsdes.intel.com/resource/14013161675","14013161675")</f>
        <v>14013161675</v>
      </c>
    </row>
    <row r="230" spans="1:24" x14ac:dyDescent="0.3">
      <c r="A230" s="2" t="str">
        <f>HYPERLINK("https://hsdes.intel.com/resource/14013185689","14013185689")</f>
        <v>14013185689</v>
      </c>
      <c r="B230" s="7" t="s">
        <v>794</v>
      </c>
      <c r="C230" s="7" t="s">
        <v>2017</v>
      </c>
      <c r="D230" s="7" t="s">
        <v>267</v>
      </c>
      <c r="E230" s="7" t="s">
        <v>19</v>
      </c>
      <c r="F230" s="7" t="s">
        <v>20</v>
      </c>
      <c r="G230" s="28" t="s">
        <v>2027</v>
      </c>
      <c r="J230" s="7" t="s">
        <v>2004</v>
      </c>
      <c r="L230" s="7" t="s">
        <v>1977</v>
      </c>
      <c r="M230" s="6">
        <v>44785</v>
      </c>
      <c r="O230" s="7" t="s">
        <v>32</v>
      </c>
      <c r="P230" s="7" t="s">
        <v>33</v>
      </c>
      <c r="Q230" s="7" t="s">
        <v>34</v>
      </c>
      <c r="R230" s="7" t="s">
        <v>24</v>
      </c>
      <c r="S230" s="7" t="s">
        <v>795</v>
      </c>
      <c r="T230" s="7" t="s">
        <v>326</v>
      </c>
      <c r="U230" s="7" t="s">
        <v>796</v>
      </c>
      <c r="V230" s="7" t="s">
        <v>270</v>
      </c>
      <c r="X230" s="2" t="str">
        <f>HYPERLINK("https://hsdes.intel.com/resource/14013185689","14013185689")</f>
        <v>14013185689</v>
      </c>
    </row>
    <row r="231" spans="1:24" x14ac:dyDescent="0.3">
      <c r="A231" s="2" t="str">
        <f>HYPERLINK("https://hsdes.intel.com/resource/14013165202","14013165202")</f>
        <v>14013165202</v>
      </c>
      <c r="B231" s="7" t="s">
        <v>797</v>
      </c>
      <c r="C231" s="7" t="s">
        <v>2017</v>
      </c>
      <c r="D231" s="7" t="s">
        <v>18</v>
      </c>
      <c r="E231" s="7" t="s">
        <v>19</v>
      </c>
      <c r="F231" s="7" t="s">
        <v>20</v>
      </c>
      <c r="G231" s="28" t="s">
        <v>2027</v>
      </c>
      <c r="J231" s="7" t="s">
        <v>2004</v>
      </c>
      <c r="M231" s="6">
        <v>44784</v>
      </c>
      <c r="O231" s="7" t="s">
        <v>21</v>
      </c>
      <c r="P231" s="7" t="s">
        <v>22</v>
      </c>
      <c r="Q231" s="7" t="s">
        <v>34</v>
      </c>
      <c r="R231" s="7" t="s">
        <v>24</v>
      </c>
      <c r="S231" s="7" t="s">
        <v>798</v>
      </c>
      <c r="T231" s="7" t="s">
        <v>106</v>
      </c>
      <c r="U231" s="7" t="s">
        <v>799</v>
      </c>
      <c r="V231" s="7" t="s">
        <v>28</v>
      </c>
      <c r="X231" s="2" t="str">
        <f>HYPERLINK("https://hsdes.intel.com/resource/14013165202","14013165202")</f>
        <v>14013165202</v>
      </c>
    </row>
    <row r="232" spans="1:24" x14ac:dyDescent="0.3">
      <c r="A232" s="2" t="str">
        <f>HYPERLINK("https://hsdes.intel.com/resource/14013165225","14013165225")</f>
        <v>14013165225</v>
      </c>
      <c r="B232" s="7" t="s">
        <v>800</v>
      </c>
      <c r="C232" s="7" t="s">
        <v>2017</v>
      </c>
      <c r="D232" s="7" t="s">
        <v>18</v>
      </c>
      <c r="E232" s="7" t="s">
        <v>19</v>
      </c>
      <c r="F232" s="7" t="s">
        <v>20</v>
      </c>
      <c r="G232" s="28" t="s">
        <v>2027</v>
      </c>
      <c r="J232" s="7" t="s">
        <v>2004</v>
      </c>
      <c r="M232" s="6">
        <v>44784</v>
      </c>
      <c r="O232" s="7" t="s">
        <v>21</v>
      </c>
      <c r="P232" s="7" t="s">
        <v>22</v>
      </c>
      <c r="Q232" s="7" t="s">
        <v>34</v>
      </c>
      <c r="R232" s="7" t="s">
        <v>24</v>
      </c>
      <c r="S232" s="7" t="s">
        <v>801</v>
      </c>
      <c r="T232" s="7" t="s">
        <v>106</v>
      </c>
      <c r="U232" s="7" t="s">
        <v>802</v>
      </c>
      <c r="V232" s="7" t="s">
        <v>28</v>
      </c>
      <c r="X232" s="2" t="str">
        <f>HYPERLINK("https://hsdes.intel.com/resource/14013165225","14013165225")</f>
        <v>14013165225</v>
      </c>
    </row>
    <row r="233" spans="1:24" x14ac:dyDescent="0.3">
      <c r="A233" s="2" t="str">
        <f>HYPERLINK("https://hsdes.intel.com/resource/14013165287","14013165287")</f>
        <v>14013165287</v>
      </c>
      <c r="B233" s="7" t="s">
        <v>803</v>
      </c>
      <c r="C233" s="7" t="s">
        <v>2017</v>
      </c>
      <c r="D233" s="7" t="s">
        <v>18</v>
      </c>
      <c r="E233" s="7" t="s">
        <v>19</v>
      </c>
      <c r="F233" s="7" t="s">
        <v>20</v>
      </c>
      <c r="G233" s="28" t="s">
        <v>2027</v>
      </c>
      <c r="J233" s="7" t="s">
        <v>2004</v>
      </c>
      <c r="M233" s="6">
        <v>44784</v>
      </c>
      <c r="O233" s="7" t="s">
        <v>21</v>
      </c>
      <c r="P233" s="7" t="s">
        <v>22</v>
      </c>
      <c r="Q233" s="7" t="s">
        <v>34</v>
      </c>
      <c r="R233" s="7" t="s">
        <v>24</v>
      </c>
      <c r="S233" s="7" t="s">
        <v>804</v>
      </c>
      <c r="T233" s="7" t="s">
        <v>106</v>
      </c>
      <c r="U233" s="7" t="s">
        <v>805</v>
      </c>
      <c r="V233" s="7" t="s">
        <v>28</v>
      </c>
      <c r="X233" s="2" t="str">
        <f>HYPERLINK("https://hsdes.intel.com/resource/14013165287","14013165287")</f>
        <v>14013165287</v>
      </c>
    </row>
    <row r="234" spans="1:24" x14ac:dyDescent="0.3">
      <c r="A234" s="2" t="str">
        <f>HYPERLINK("https://hsdes.intel.com/resource/14013165290","14013165290")</f>
        <v>14013165290</v>
      </c>
      <c r="B234" s="7" t="s">
        <v>806</v>
      </c>
      <c r="C234" s="7" t="s">
        <v>2017</v>
      </c>
      <c r="D234" s="7" t="s">
        <v>18</v>
      </c>
      <c r="E234" s="7" t="s">
        <v>19</v>
      </c>
      <c r="F234" s="7" t="s">
        <v>20</v>
      </c>
      <c r="G234" s="28" t="s">
        <v>2027</v>
      </c>
      <c r="J234" s="7" t="s">
        <v>2004</v>
      </c>
      <c r="M234" s="6">
        <v>44784</v>
      </c>
      <c r="O234" s="7" t="s">
        <v>21</v>
      </c>
      <c r="P234" s="7" t="s">
        <v>22</v>
      </c>
      <c r="Q234" s="7" t="s">
        <v>34</v>
      </c>
      <c r="R234" s="7" t="s">
        <v>24</v>
      </c>
      <c r="S234" s="7" t="s">
        <v>807</v>
      </c>
      <c r="T234" s="7" t="s">
        <v>106</v>
      </c>
      <c r="U234" s="7" t="s">
        <v>808</v>
      </c>
      <c r="V234" s="7" t="s">
        <v>28</v>
      </c>
      <c r="X234" s="2" t="str">
        <f>HYPERLINK("https://hsdes.intel.com/resource/14013165290","14013165290")</f>
        <v>14013165290</v>
      </c>
    </row>
    <row r="235" spans="1:24" x14ac:dyDescent="0.3">
      <c r="A235" s="2" t="str">
        <f>HYPERLINK("https://hsdes.intel.com/resource/14013165243","14013165243")</f>
        <v>14013165243</v>
      </c>
      <c r="B235" s="7" t="s">
        <v>809</v>
      </c>
      <c r="C235" s="7" t="s">
        <v>2017</v>
      </c>
      <c r="D235" s="7" t="s">
        <v>18</v>
      </c>
      <c r="E235" s="7" t="s">
        <v>19</v>
      </c>
      <c r="F235" s="7" t="s">
        <v>20</v>
      </c>
      <c r="G235" s="28" t="s">
        <v>2027</v>
      </c>
      <c r="J235" s="7" t="s">
        <v>2004</v>
      </c>
      <c r="M235" s="6">
        <v>44784</v>
      </c>
      <c r="O235" s="7" t="s">
        <v>21</v>
      </c>
      <c r="P235" s="7" t="s">
        <v>22</v>
      </c>
      <c r="Q235" s="7" t="s">
        <v>34</v>
      </c>
      <c r="R235" s="7" t="s">
        <v>24</v>
      </c>
      <c r="S235" s="7" t="s">
        <v>810</v>
      </c>
      <c r="T235" s="7" t="s">
        <v>106</v>
      </c>
      <c r="U235" s="7" t="s">
        <v>811</v>
      </c>
      <c r="V235" s="7" t="s">
        <v>28</v>
      </c>
      <c r="X235" s="2" t="str">
        <f>HYPERLINK("https://hsdes.intel.com/resource/14013165243","14013165243")</f>
        <v>14013165243</v>
      </c>
    </row>
    <row r="236" spans="1:24" x14ac:dyDescent="0.3">
      <c r="A236" s="2" t="str">
        <f>HYPERLINK("https://hsdes.intel.com/resource/14013165260","14013165260")</f>
        <v>14013165260</v>
      </c>
      <c r="B236" s="7" t="s">
        <v>812</v>
      </c>
      <c r="C236" s="7" t="s">
        <v>2017</v>
      </c>
      <c r="D236" s="7" t="s">
        <v>18</v>
      </c>
      <c r="E236" s="7" t="s">
        <v>19</v>
      </c>
      <c r="F236" s="7" t="s">
        <v>20</v>
      </c>
      <c r="G236" s="28" t="s">
        <v>2027</v>
      </c>
      <c r="J236" s="7" t="s">
        <v>2004</v>
      </c>
      <c r="M236" s="6">
        <v>44784</v>
      </c>
      <c r="O236" s="7" t="s">
        <v>21</v>
      </c>
      <c r="P236" s="7" t="s">
        <v>22</v>
      </c>
      <c r="Q236" s="7" t="s">
        <v>34</v>
      </c>
      <c r="R236" s="7" t="s">
        <v>24</v>
      </c>
      <c r="S236" s="7" t="s">
        <v>813</v>
      </c>
      <c r="T236" s="7" t="s">
        <v>106</v>
      </c>
      <c r="U236" s="7" t="s">
        <v>814</v>
      </c>
      <c r="V236" s="7" t="s">
        <v>28</v>
      </c>
      <c r="X236" s="2" t="str">
        <f>HYPERLINK("https://hsdes.intel.com/resource/14013165260","14013165260")</f>
        <v>14013165260</v>
      </c>
    </row>
    <row r="237" spans="1:24" x14ac:dyDescent="0.3">
      <c r="A237" s="2" t="str">
        <f>HYPERLINK("https://hsdes.intel.com/resource/14013165272","14013165272")</f>
        <v>14013165272</v>
      </c>
      <c r="B237" s="7" t="s">
        <v>815</v>
      </c>
      <c r="C237" s="7" t="s">
        <v>2017</v>
      </c>
      <c r="D237" s="7" t="s">
        <v>18</v>
      </c>
      <c r="E237" s="7" t="s">
        <v>19</v>
      </c>
      <c r="F237" s="7" t="s">
        <v>20</v>
      </c>
      <c r="G237" s="28" t="s">
        <v>2027</v>
      </c>
      <c r="J237" s="7" t="s">
        <v>2004</v>
      </c>
      <c r="M237" s="6">
        <v>44784</v>
      </c>
      <c r="O237" s="7" t="s">
        <v>21</v>
      </c>
      <c r="P237" s="7" t="s">
        <v>22</v>
      </c>
      <c r="Q237" s="7" t="s">
        <v>34</v>
      </c>
      <c r="R237" s="7" t="s">
        <v>24</v>
      </c>
      <c r="S237" s="7" t="s">
        <v>816</v>
      </c>
      <c r="T237" s="7" t="s">
        <v>106</v>
      </c>
      <c r="U237" s="7" t="s">
        <v>817</v>
      </c>
      <c r="V237" s="7" t="s">
        <v>28</v>
      </c>
      <c r="X237" s="2" t="str">
        <f>HYPERLINK("https://hsdes.intel.com/resource/14013165272","14013165272")</f>
        <v>14013165272</v>
      </c>
    </row>
    <row r="238" spans="1:24" x14ac:dyDescent="0.3">
      <c r="A238" s="5" t="str">
        <f>HYPERLINK("https://hsdes.intel.com/resource/14013165281","14013165281")</f>
        <v>14013165281</v>
      </c>
      <c r="B238" s="7" t="s">
        <v>818</v>
      </c>
      <c r="C238" s="7" t="s">
        <v>2017</v>
      </c>
      <c r="D238" s="7" t="s">
        <v>18</v>
      </c>
      <c r="E238" s="7" t="s">
        <v>19</v>
      </c>
      <c r="F238" s="7" t="s">
        <v>20</v>
      </c>
      <c r="G238" s="28" t="s">
        <v>2027</v>
      </c>
      <c r="J238" s="7" t="s">
        <v>2004</v>
      </c>
      <c r="M238" s="6">
        <v>44784</v>
      </c>
      <c r="O238" s="7" t="s">
        <v>21</v>
      </c>
      <c r="P238" s="7" t="s">
        <v>22</v>
      </c>
      <c r="Q238" s="7" t="s">
        <v>34</v>
      </c>
      <c r="R238" s="7" t="s">
        <v>24</v>
      </c>
      <c r="S238" s="7" t="s">
        <v>819</v>
      </c>
      <c r="T238" s="7" t="s">
        <v>106</v>
      </c>
      <c r="U238" s="7" t="s">
        <v>820</v>
      </c>
      <c r="V238" s="7" t="s">
        <v>28</v>
      </c>
      <c r="X238" s="2" t="str">
        <f>HYPERLINK("https://hsdes.intel.com/resource/14013165281","14013165281")</f>
        <v>14013165281</v>
      </c>
    </row>
    <row r="239" spans="1:24" x14ac:dyDescent="0.3">
      <c r="A239" s="2" t="str">
        <f>HYPERLINK("https://hsdes.intel.com/resource/14013165116","14013165116")</f>
        <v>14013165116</v>
      </c>
      <c r="B239" s="7" t="s">
        <v>821</v>
      </c>
      <c r="C239" s="7" t="s">
        <v>2017</v>
      </c>
      <c r="D239" s="7" t="s">
        <v>18</v>
      </c>
      <c r="E239" s="7" t="s">
        <v>19</v>
      </c>
      <c r="F239" s="7" t="s">
        <v>20</v>
      </c>
      <c r="G239" s="28" t="s">
        <v>2027</v>
      </c>
      <c r="J239" s="7" t="s">
        <v>2004</v>
      </c>
      <c r="M239" s="6">
        <v>44784</v>
      </c>
      <c r="O239" s="7" t="s">
        <v>32</v>
      </c>
      <c r="P239" s="7" t="s">
        <v>22</v>
      </c>
      <c r="Q239" s="7" t="s">
        <v>34</v>
      </c>
      <c r="R239" s="7" t="s">
        <v>24</v>
      </c>
      <c r="S239" s="7" t="s">
        <v>822</v>
      </c>
      <c r="T239" s="7" t="s">
        <v>106</v>
      </c>
      <c r="U239" s="7" t="s">
        <v>823</v>
      </c>
      <c r="V239" s="7" t="s">
        <v>28</v>
      </c>
      <c r="X239" s="2" t="str">
        <f>HYPERLINK("https://hsdes.intel.com/resource/14013165116","14013165116")</f>
        <v>14013165116</v>
      </c>
    </row>
    <row r="240" spans="1:24" x14ac:dyDescent="0.3">
      <c r="A240" s="2" t="str">
        <f>HYPERLINK("https://hsdes.intel.com/resource/14013165112","14013165112")</f>
        <v>14013165112</v>
      </c>
      <c r="B240" s="7" t="s">
        <v>824</v>
      </c>
      <c r="C240" s="7" t="s">
        <v>2017</v>
      </c>
      <c r="D240" s="7" t="s">
        <v>18</v>
      </c>
      <c r="E240" s="7" t="s">
        <v>19</v>
      </c>
      <c r="F240" s="7" t="s">
        <v>20</v>
      </c>
      <c r="G240" s="28" t="s">
        <v>2027</v>
      </c>
      <c r="J240" s="7" t="s">
        <v>2004</v>
      </c>
      <c r="M240" s="6">
        <v>44784</v>
      </c>
      <c r="O240" s="7" t="s">
        <v>21</v>
      </c>
      <c r="P240" s="7" t="s">
        <v>22</v>
      </c>
      <c r="Q240" s="7" t="s">
        <v>34</v>
      </c>
      <c r="R240" s="7" t="s">
        <v>24</v>
      </c>
      <c r="S240" s="7" t="s">
        <v>825</v>
      </c>
      <c r="T240" s="7" t="s">
        <v>106</v>
      </c>
      <c r="U240" s="7" t="s">
        <v>826</v>
      </c>
      <c r="V240" s="7" t="s">
        <v>28</v>
      </c>
      <c r="X240" s="2" t="str">
        <f>HYPERLINK("https://hsdes.intel.com/resource/14013165112","14013165112")</f>
        <v>14013165112</v>
      </c>
    </row>
    <row r="241" spans="1:24" x14ac:dyDescent="0.3">
      <c r="A241" s="2" t="str">
        <f>HYPERLINK("https://hsdes.intel.com/resource/14013165295","14013165295")</f>
        <v>14013165295</v>
      </c>
      <c r="B241" s="7" t="s">
        <v>827</v>
      </c>
      <c r="C241" s="7" t="s">
        <v>2017</v>
      </c>
      <c r="D241" s="7" t="s">
        <v>18</v>
      </c>
      <c r="E241" s="7" t="s">
        <v>19</v>
      </c>
      <c r="F241" s="7" t="s">
        <v>20</v>
      </c>
      <c r="G241" s="28" t="s">
        <v>2027</v>
      </c>
      <c r="J241" s="7" t="s">
        <v>2004</v>
      </c>
      <c r="M241" s="6">
        <v>44784</v>
      </c>
      <c r="O241" s="7" t="s">
        <v>21</v>
      </c>
      <c r="P241" s="7" t="s">
        <v>22</v>
      </c>
      <c r="Q241" s="7" t="s">
        <v>34</v>
      </c>
      <c r="R241" s="7" t="s">
        <v>24</v>
      </c>
      <c r="S241" s="7" t="s">
        <v>828</v>
      </c>
      <c r="T241" s="7" t="s">
        <v>106</v>
      </c>
      <c r="U241" s="7" t="s">
        <v>829</v>
      </c>
      <c r="V241" s="7" t="s">
        <v>28</v>
      </c>
      <c r="X241" s="2" t="str">
        <f>HYPERLINK("https://hsdes.intel.com/resource/14013165295","14013165295")</f>
        <v>14013165295</v>
      </c>
    </row>
    <row r="242" spans="1:24" x14ac:dyDescent="0.3">
      <c r="A242" s="2" t="str">
        <f>HYPERLINK("https://hsdes.intel.com/resource/14013161312","14013161312")</f>
        <v>14013161312</v>
      </c>
      <c r="B242" s="7" t="s">
        <v>830</v>
      </c>
      <c r="C242" s="7" t="s">
        <v>2018</v>
      </c>
      <c r="D242" s="7" t="s">
        <v>283</v>
      </c>
      <c r="E242" s="7" t="s">
        <v>19</v>
      </c>
      <c r="F242" s="7" t="s">
        <v>20</v>
      </c>
      <c r="G242" s="28" t="s">
        <v>2027</v>
      </c>
      <c r="J242" s="7" t="s">
        <v>2006</v>
      </c>
      <c r="M242" s="6">
        <v>44783</v>
      </c>
      <c r="O242" s="7" t="s">
        <v>32</v>
      </c>
      <c r="P242" s="7" t="s">
        <v>175</v>
      </c>
      <c r="Q242" s="7" t="s">
        <v>34</v>
      </c>
      <c r="R242" s="7" t="s">
        <v>24</v>
      </c>
      <c r="S242" s="7" t="s">
        <v>831</v>
      </c>
      <c r="T242" s="7" t="s">
        <v>706</v>
      </c>
      <c r="U242" s="7" t="s">
        <v>832</v>
      </c>
      <c r="V242" s="7" t="s">
        <v>286</v>
      </c>
      <c r="X242" s="2" t="str">
        <f>HYPERLINK("https://hsdes.intel.com/resource/14013161312","14013161312")</f>
        <v>14013161312</v>
      </c>
    </row>
    <row r="243" spans="1:24" x14ac:dyDescent="0.3">
      <c r="A243" s="2" t="str">
        <f>HYPERLINK("https://hsdes.intel.com/resource/14013175598","14013175598")</f>
        <v>14013175598</v>
      </c>
      <c r="B243" s="7" t="s">
        <v>833</v>
      </c>
      <c r="C243" s="7" t="s">
        <v>2017</v>
      </c>
      <c r="D243" s="7" t="s">
        <v>77</v>
      </c>
      <c r="E243" s="7" t="s">
        <v>19</v>
      </c>
      <c r="F243" s="7" t="s">
        <v>20</v>
      </c>
      <c r="G243" s="28" t="s">
        <v>2027</v>
      </c>
      <c r="J243" s="7" t="s">
        <v>31</v>
      </c>
      <c r="M243" s="6"/>
      <c r="O243" s="7" t="s">
        <v>32</v>
      </c>
      <c r="P243" s="7" t="s">
        <v>78</v>
      </c>
      <c r="Q243" s="7" t="s">
        <v>34</v>
      </c>
      <c r="R243" s="7" t="s">
        <v>24</v>
      </c>
      <c r="S243" s="7" t="s">
        <v>834</v>
      </c>
      <c r="T243" s="7" t="s">
        <v>45</v>
      </c>
      <c r="U243" s="7" t="s">
        <v>835</v>
      </c>
      <c r="V243" s="7" t="s">
        <v>81</v>
      </c>
      <c r="X243" s="2" t="str">
        <f>HYPERLINK("https://hsdes.intel.com/resource/14013175598","14013175598")</f>
        <v>14013175598</v>
      </c>
    </row>
    <row r="244" spans="1:24" x14ac:dyDescent="0.3">
      <c r="A244" s="2" t="str">
        <f>HYPERLINK("https://hsdes.intel.com/resource/14013183707","14013183707")</f>
        <v>14013183707</v>
      </c>
      <c r="B244" s="7" t="s">
        <v>836</v>
      </c>
      <c r="C244" s="7" t="s">
        <v>2018</v>
      </c>
      <c r="D244" s="7" t="s">
        <v>283</v>
      </c>
      <c r="E244" s="7" t="s">
        <v>19</v>
      </c>
      <c r="F244" s="7" t="s">
        <v>20</v>
      </c>
      <c r="G244" s="28" t="s">
        <v>2027</v>
      </c>
      <c r="J244" s="7" t="s">
        <v>2006</v>
      </c>
      <c r="M244" s="6">
        <v>44783</v>
      </c>
      <c r="O244" s="7" t="s">
        <v>32</v>
      </c>
      <c r="P244" s="7" t="s">
        <v>175</v>
      </c>
      <c r="Q244" s="7" t="s">
        <v>34</v>
      </c>
      <c r="R244" s="7" t="s">
        <v>24</v>
      </c>
      <c r="S244" s="7" t="s">
        <v>837</v>
      </c>
      <c r="T244" s="7" t="s">
        <v>45</v>
      </c>
      <c r="U244" s="7" t="s">
        <v>838</v>
      </c>
      <c r="V244" s="7" t="s">
        <v>286</v>
      </c>
      <c r="X244" s="2" t="str">
        <f>HYPERLINK("https://hsdes.intel.com/resource/14013183707","14013183707")</f>
        <v>14013183707</v>
      </c>
    </row>
    <row r="245" spans="1:24" x14ac:dyDescent="0.3">
      <c r="A245" s="2" t="str">
        <f>HYPERLINK("https://hsdes.intel.com/resource/14013163063","14013163063")</f>
        <v>14013163063</v>
      </c>
      <c r="B245" s="7" t="s">
        <v>839</v>
      </c>
      <c r="C245" s="7" t="s">
        <v>2017</v>
      </c>
      <c r="D245" s="7" t="s">
        <v>18</v>
      </c>
      <c r="E245" s="7" t="s">
        <v>122</v>
      </c>
      <c r="F245" s="7" t="s">
        <v>20</v>
      </c>
      <c r="G245" s="28" t="s">
        <v>2027</v>
      </c>
      <c r="J245" s="7" t="s">
        <v>2004</v>
      </c>
      <c r="M245" s="6">
        <v>44784</v>
      </c>
      <c r="O245" s="7" t="s">
        <v>21</v>
      </c>
      <c r="P245" s="7" t="s">
        <v>22</v>
      </c>
      <c r="Q245" s="7" t="s">
        <v>34</v>
      </c>
      <c r="R245" s="7" t="s">
        <v>147</v>
      </c>
      <c r="S245" s="7" t="s">
        <v>840</v>
      </c>
      <c r="T245" s="7" t="s">
        <v>106</v>
      </c>
      <c r="U245" s="7" t="s">
        <v>841</v>
      </c>
      <c r="V245" s="7" t="s">
        <v>28</v>
      </c>
      <c r="X245" s="2" t="str">
        <f>HYPERLINK("https://hsdes.intel.com/resource/14013163063","14013163063")</f>
        <v>14013163063</v>
      </c>
    </row>
    <row r="246" spans="1:24" x14ac:dyDescent="0.3">
      <c r="A246" s="2" t="str">
        <f>HYPERLINK("https://hsdes.intel.com/resource/14013173096","14013173096")</f>
        <v>14013173096</v>
      </c>
      <c r="B246" s="7" t="s">
        <v>842</v>
      </c>
      <c r="C246" s="7" t="s">
        <v>2018</v>
      </c>
      <c r="D246" s="7" t="s">
        <v>843</v>
      </c>
      <c r="E246" s="7" t="s">
        <v>19</v>
      </c>
      <c r="F246" s="7" t="s">
        <v>20</v>
      </c>
      <c r="G246" s="28" t="s">
        <v>2027</v>
      </c>
      <c r="J246" s="7" t="s">
        <v>1974</v>
      </c>
      <c r="M246" s="6">
        <v>44781</v>
      </c>
      <c r="O246" s="7" t="s">
        <v>32</v>
      </c>
      <c r="P246" s="7" t="s">
        <v>22</v>
      </c>
      <c r="Q246" s="7" t="s">
        <v>34</v>
      </c>
      <c r="R246" s="7" t="s">
        <v>24</v>
      </c>
      <c r="S246" s="7" t="s">
        <v>844</v>
      </c>
      <c r="T246" s="7" t="s">
        <v>45</v>
      </c>
      <c r="U246" s="7" t="s">
        <v>845</v>
      </c>
      <c r="V246" s="7" t="s">
        <v>172</v>
      </c>
      <c r="X246" s="2" t="str">
        <f>HYPERLINK("https://hsdes.intel.com/resource/14013173096","14013173096")</f>
        <v>14013173096</v>
      </c>
    </row>
    <row r="247" spans="1:24" x14ac:dyDescent="0.3">
      <c r="A247" s="5" t="str">
        <f>HYPERLINK("https://hsdes.intel.com/resource/14013161993","14013161993")</f>
        <v>14013161993</v>
      </c>
      <c r="B247" s="7" t="s">
        <v>846</v>
      </c>
      <c r="C247" s="7" t="s">
        <v>2017</v>
      </c>
      <c r="D247" s="7" t="s">
        <v>843</v>
      </c>
      <c r="E247" s="7" t="s">
        <v>19</v>
      </c>
      <c r="F247" s="7" t="s">
        <v>20</v>
      </c>
      <c r="G247" s="28" t="s">
        <v>2027</v>
      </c>
      <c r="J247" s="7" t="s">
        <v>2020</v>
      </c>
      <c r="M247" s="6">
        <v>44784</v>
      </c>
      <c r="O247" s="7" t="s">
        <v>32</v>
      </c>
      <c r="P247" s="7" t="s">
        <v>175</v>
      </c>
      <c r="Q247" s="7" t="s">
        <v>34</v>
      </c>
      <c r="R247" s="7" t="s">
        <v>24</v>
      </c>
      <c r="S247" s="7" t="s">
        <v>847</v>
      </c>
      <c r="T247" s="7" t="s">
        <v>45</v>
      </c>
      <c r="U247" s="7" t="s">
        <v>848</v>
      </c>
      <c r="V247" s="7" t="s">
        <v>849</v>
      </c>
      <c r="X247" s="5" t="str">
        <f>HYPERLINK("https://hsdes.intel.com/resource/14013161993","14013161993")</f>
        <v>14013161993</v>
      </c>
    </row>
    <row r="248" spans="1:24" x14ac:dyDescent="0.3">
      <c r="A248" s="2" t="str">
        <f>HYPERLINK("https://hsdes.intel.com/resource/14013173107","14013173107")</f>
        <v>14013173107</v>
      </c>
      <c r="B248" s="7" t="s">
        <v>850</v>
      </c>
      <c r="C248" s="7" t="s">
        <v>2017</v>
      </c>
      <c r="D248" s="7" t="s">
        <v>843</v>
      </c>
      <c r="E248" s="7" t="s">
        <v>19</v>
      </c>
      <c r="F248" s="7" t="s">
        <v>20</v>
      </c>
      <c r="G248" s="28" t="s">
        <v>2027</v>
      </c>
      <c r="J248" s="7" t="s">
        <v>2006</v>
      </c>
      <c r="M248" s="6">
        <v>44784</v>
      </c>
      <c r="O248" s="7" t="s">
        <v>32</v>
      </c>
      <c r="P248" s="7" t="s">
        <v>22</v>
      </c>
      <c r="Q248" s="7" t="s">
        <v>34</v>
      </c>
      <c r="R248" s="7" t="s">
        <v>24</v>
      </c>
      <c r="S248" s="7" t="s">
        <v>851</v>
      </c>
      <c r="T248" s="7" t="s">
        <v>45</v>
      </c>
      <c r="U248" s="7" t="s">
        <v>852</v>
      </c>
      <c r="V248" s="7" t="s">
        <v>172</v>
      </c>
      <c r="X248" s="2" t="str">
        <f>HYPERLINK("https://hsdes.intel.com/resource/14013173107","14013173107")</f>
        <v>14013173107</v>
      </c>
    </row>
    <row r="249" spans="1:24" x14ac:dyDescent="0.3">
      <c r="A249" s="24">
        <v>14013161969</v>
      </c>
      <c r="B249" s="7" t="s">
        <v>853</v>
      </c>
      <c r="C249" s="7" t="s">
        <v>2017</v>
      </c>
      <c r="D249" s="7" t="s">
        <v>843</v>
      </c>
      <c r="E249" s="7" t="s">
        <v>19</v>
      </c>
      <c r="F249" s="7" t="s">
        <v>20</v>
      </c>
      <c r="G249" s="28" t="s">
        <v>2027</v>
      </c>
      <c r="J249" s="7" t="s">
        <v>2020</v>
      </c>
      <c r="M249" s="6">
        <v>44784</v>
      </c>
      <c r="O249" s="7" t="s">
        <v>32</v>
      </c>
      <c r="P249" s="7" t="s">
        <v>175</v>
      </c>
      <c r="Q249" s="7" t="s">
        <v>34</v>
      </c>
      <c r="R249" s="7" t="s">
        <v>24</v>
      </c>
      <c r="S249" s="7" t="s">
        <v>854</v>
      </c>
      <c r="T249" s="7" t="s">
        <v>45</v>
      </c>
      <c r="U249" s="7" t="s">
        <v>855</v>
      </c>
      <c r="V249" s="7" t="s">
        <v>849</v>
      </c>
      <c r="X249" s="24">
        <v>14013161969</v>
      </c>
    </row>
    <row r="250" spans="1:24" s="18" customFormat="1" x14ac:dyDescent="0.3">
      <c r="A250" s="17" t="str">
        <f>HYPERLINK("https://hsdes.intel.com/resource/14013156881","14013156881")</f>
        <v>14013156881</v>
      </c>
      <c r="B250" s="18" t="s">
        <v>856</v>
      </c>
      <c r="C250" s="7" t="s">
        <v>2017</v>
      </c>
      <c r="D250" s="7" t="s">
        <v>283</v>
      </c>
      <c r="E250" s="7" t="s">
        <v>19</v>
      </c>
      <c r="F250" s="7" t="s">
        <v>20</v>
      </c>
      <c r="G250" s="28" t="s">
        <v>2027</v>
      </c>
      <c r="J250" s="7" t="s">
        <v>2006</v>
      </c>
      <c r="M250" s="6">
        <v>44783</v>
      </c>
      <c r="O250" s="18" t="s">
        <v>32</v>
      </c>
      <c r="P250" s="18" t="s">
        <v>175</v>
      </c>
      <c r="Q250" s="18" t="s">
        <v>34</v>
      </c>
      <c r="R250" s="18" t="s">
        <v>24</v>
      </c>
      <c r="S250" s="18" t="s">
        <v>857</v>
      </c>
      <c r="T250" s="18" t="s">
        <v>858</v>
      </c>
      <c r="U250" s="18" t="s">
        <v>859</v>
      </c>
      <c r="V250" s="18" t="s">
        <v>286</v>
      </c>
      <c r="X250" s="17" t="str">
        <f>HYPERLINK("https://hsdes.intel.com/resource/14013156881","14013156881")</f>
        <v>14013156881</v>
      </c>
    </row>
    <row r="251" spans="1:24" x14ac:dyDescent="0.3">
      <c r="A251" s="2" t="str">
        <f>HYPERLINK("https://hsdes.intel.com/resource/14013173200","14013173200")</f>
        <v>14013173200</v>
      </c>
      <c r="B251" s="18" t="s">
        <v>860</v>
      </c>
      <c r="C251" s="7" t="s">
        <v>2017</v>
      </c>
      <c r="D251" s="7" t="s">
        <v>283</v>
      </c>
      <c r="E251" s="7" t="s">
        <v>19</v>
      </c>
      <c r="F251" s="7" t="s">
        <v>20</v>
      </c>
      <c r="G251" s="28" t="s">
        <v>2027</v>
      </c>
      <c r="J251" s="7" t="s">
        <v>2006</v>
      </c>
      <c r="L251" s="7" t="s">
        <v>288</v>
      </c>
      <c r="M251" s="6">
        <v>44783</v>
      </c>
      <c r="O251" s="7" t="s">
        <v>32</v>
      </c>
      <c r="P251" s="7" t="s">
        <v>175</v>
      </c>
      <c r="Q251" s="7" t="s">
        <v>34</v>
      </c>
      <c r="R251" s="7" t="s">
        <v>24</v>
      </c>
      <c r="S251" s="7" t="s">
        <v>861</v>
      </c>
      <c r="T251" s="7" t="s">
        <v>706</v>
      </c>
      <c r="U251" s="7" t="s">
        <v>862</v>
      </c>
      <c r="V251" s="7" t="s">
        <v>286</v>
      </c>
      <c r="X251" s="2" t="str">
        <f>HYPERLINK("https://hsdes.intel.com/resource/14013173200","14013173200")</f>
        <v>14013173200</v>
      </c>
    </row>
    <row r="252" spans="1:24" x14ac:dyDescent="0.3">
      <c r="A252" s="2" t="str">
        <f>HYPERLINK("https://hsdes.intel.com/resource/14013185276","14013185276")</f>
        <v>14013185276</v>
      </c>
      <c r="B252" s="7" t="s">
        <v>863</v>
      </c>
      <c r="C252" s="7" t="s">
        <v>1975</v>
      </c>
      <c r="D252" s="7" t="s">
        <v>283</v>
      </c>
      <c r="E252" s="7" t="s">
        <v>19</v>
      </c>
      <c r="F252" s="7" t="s">
        <v>20</v>
      </c>
      <c r="G252" s="28" t="s">
        <v>2027</v>
      </c>
      <c r="J252" s="7" t="s">
        <v>2006</v>
      </c>
      <c r="L252" s="7" t="s">
        <v>569</v>
      </c>
      <c r="M252" s="6"/>
      <c r="O252" s="7" t="s">
        <v>32</v>
      </c>
      <c r="P252" s="7" t="s">
        <v>175</v>
      </c>
      <c r="Q252" s="7" t="s">
        <v>34</v>
      </c>
      <c r="R252" s="7" t="s">
        <v>24</v>
      </c>
      <c r="S252" s="7" t="s">
        <v>864</v>
      </c>
      <c r="T252" s="7" t="s">
        <v>706</v>
      </c>
      <c r="U252" s="7" t="s">
        <v>865</v>
      </c>
      <c r="V252" s="7" t="s">
        <v>286</v>
      </c>
      <c r="X252" s="2" t="str">
        <f>HYPERLINK("https://hsdes.intel.com/resource/14013185276","14013185276")</f>
        <v>14013185276</v>
      </c>
    </row>
    <row r="253" spans="1:24" x14ac:dyDescent="0.3">
      <c r="A253" s="2" t="str">
        <f>HYPERLINK("https://hsdes.intel.com/resource/14013162551","14013162551")</f>
        <v>14013162551</v>
      </c>
      <c r="B253" s="18" t="s">
        <v>866</v>
      </c>
      <c r="C253" s="7" t="s">
        <v>2017</v>
      </c>
      <c r="D253" s="7" t="s">
        <v>144</v>
      </c>
      <c r="E253" s="7" t="s">
        <v>19</v>
      </c>
      <c r="F253" s="7" t="s">
        <v>20</v>
      </c>
      <c r="G253" s="28" t="s">
        <v>2027</v>
      </c>
      <c r="J253" s="7" t="s">
        <v>2006</v>
      </c>
      <c r="M253" s="6">
        <v>44785</v>
      </c>
      <c r="O253" s="7" t="s">
        <v>32</v>
      </c>
      <c r="P253" s="7" t="s">
        <v>146</v>
      </c>
      <c r="Q253" s="7" t="s">
        <v>34</v>
      </c>
      <c r="R253" s="7" t="s">
        <v>147</v>
      </c>
      <c r="S253" s="7" t="s">
        <v>867</v>
      </c>
      <c r="T253" s="7" t="s">
        <v>149</v>
      </c>
      <c r="U253" s="7" t="s">
        <v>868</v>
      </c>
      <c r="V253" s="7" t="s">
        <v>151</v>
      </c>
      <c r="X253" s="2" t="str">
        <f>HYPERLINK("https://hsdes.intel.com/resource/14013162551","14013162551")</f>
        <v>14013162551</v>
      </c>
    </row>
    <row r="254" spans="1:24" x14ac:dyDescent="0.3">
      <c r="A254" s="2" t="str">
        <f>HYPERLINK("https://hsdes.intel.com/resource/14013160438","14013160438")</f>
        <v>14013160438</v>
      </c>
      <c r="B254" s="7" t="s">
        <v>869</v>
      </c>
      <c r="C254" s="7" t="s">
        <v>2017</v>
      </c>
      <c r="D254" s="7" t="s">
        <v>275</v>
      </c>
      <c r="E254" s="7" t="s">
        <v>19</v>
      </c>
      <c r="F254" s="7" t="s">
        <v>20</v>
      </c>
      <c r="G254" s="28" t="s">
        <v>2027</v>
      </c>
      <c r="J254" s="7" t="s">
        <v>31</v>
      </c>
      <c r="M254" s="6"/>
      <c r="O254" s="7" t="s">
        <v>104</v>
      </c>
      <c r="P254" s="7" t="s">
        <v>78</v>
      </c>
      <c r="Q254" s="7" t="s">
        <v>34</v>
      </c>
      <c r="R254" s="7" t="s">
        <v>24</v>
      </c>
      <c r="S254" s="7" t="s">
        <v>870</v>
      </c>
      <c r="T254" s="7" t="s">
        <v>140</v>
      </c>
      <c r="U254" s="7" t="s">
        <v>871</v>
      </c>
      <c r="V254" s="7" t="s">
        <v>278</v>
      </c>
      <c r="X254" s="2" t="str">
        <f>HYPERLINK("https://hsdes.intel.com/resource/14013160438","14013160438")</f>
        <v>14013160438</v>
      </c>
    </row>
    <row r="255" spans="1:24" x14ac:dyDescent="0.3">
      <c r="A255" s="2" t="str">
        <f>HYPERLINK("https://hsdes.intel.com/resource/14013172958","14013172958")</f>
        <v>14013172958</v>
      </c>
      <c r="B255" s="7" t="s">
        <v>872</v>
      </c>
      <c r="C255" s="7" t="s">
        <v>2017</v>
      </c>
      <c r="D255" s="7" t="s">
        <v>550</v>
      </c>
      <c r="E255" s="7" t="s">
        <v>19</v>
      </c>
      <c r="F255" s="7" t="s">
        <v>20</v>
      </c>
      <c r="G255" s="28" t="s">
        <v>2027</v>
      </c>
      <c r="J255" s="7" t="s">
        <v>1974</v>
      </c>
      <c r="L255" s="11"/>
      <c r="M255" s="6">
        <v>44783</v>
      </c>
      <c r="O255" s="7" t="s">
        <v>104</v>
      </c>
      <c r="P255" s="7" t="s">
        <v>22</v>
      </c>
      <c r="Q255" s="7" t="s">
        <v>34</v>
      </c>
      <c r="R255" s="7" t="s">
        <v>24</v>
      </c>
      <c r="S255" s="7" t="s">
        <v>873</v>
      </c>
      <c r="T255" s="7" t="s">
        <v>553</v>
      </c>
      <c r="U255" s="7" t="s">
        <v>874</v>
      </c>
      <c r="V255" s="7" t="s">
        <v>172</v>
      </c>
      <c r="X255" s="2" t="str">
        <f>HYPERLINK("https://hsdes.intel.com/resource/14013172958","14013172958")</f>
        <v>14013172958</v>
      </c>
    </row>
    <row r="256" spans="1:24" x14ac:dyDescent="0.3">
      <c r="A256" s="2" t="str">
        <f>HYPERLINK("https://hsdes.intel.com/resource/14013160085","14013160085")</f>
        <v>14013160085</v>
      </c>
      <c r="B256" s="7" t="s">
        <v>875</v>
      </c>
      <c r="C256" s="7" t="s">
        <v>2017</v>
      </c>
      <c r="D256" s="7" t="s">
        <v>238</v>
      </c>
      <c r="E256" s="7" t="s">
        <v>19</v>
      </c>
      <c r="F256" s="7" t="s">
        <v>20</v>
      </c>
      <c r="G256" s="28" t="s">
        <v>2027</v>
      </c>
      <c r="J256" s="7" t="s">
        <v>31</v>
      </c>
      <c r="M256" s="6"/>
      <c r="O256" s="7" t="s">
        <v>32</v>
      </c>
      <c r="P256" s="7" t="s">
        <v>186</v>
      </c>
      <c r="Q256" s="7" t="s">
        <v>23</v>
      </c>
      <c r="R256" s="7" t="s">
        <v>147</v>
      </c>
      <c r="S256" s="7" t="s">
        <v>876</v>
      </c>
      <c r="T256" s="7" t="s">
        <v>326</v>
      </c>
      <c r="U256" s="7" t="s">
        <v>877</v>
      </c>
      <c r="V256" s="7" t="s">
        <v>189</v>
      </c>
      <c r="X256" s="2" t="str">
        <f>HYPERLINK("https://hsdes.intel.com/resource/14013160085","14013160085")</f>
        <v>14013160085</v>
      </c>
    </row>
    <row r="257" spans="1:24" x14ac:dyDescent="0.3">
      <c r="A257" s="2" t="str">
        <f>HYPERLINK("https://hsdes.intel.com/resource/14013176953","14013176953")</f>
        <v>14013176953</v>
      </c>
      <c r="B257" s="7" t="s">
        <v>878</v>
      </c>
      <c r="C257" s="7" t="s">
        <v>2017</v>
      </c>
      <c r="D257" s="7" t="s">
        <v>30</v>
      </c>
      <c r="E257" s="7" t="s">
        <v>122</v>
      </c>
      <c r="F257" s="7" t="s">
        <v>20</v>
      </c>
      <c r="G257" s="28" t="s">
        <v>2027</v>
      </c>
      <c r="J257" s="7" t="s">
        <v>2004</v>
      </c>
      <c r="K257" s="16"/>
      <c r="M257" s="6">
        <v>44785</v>
      </c>
      <c r="O257" s="7" t="s">
        <v>104</v>
      </c>
      <c r="P257" s="7" t="s">
        <v>175</v>
      </c>
      <c r="Q257" s="7" t="s">
        <v>34</v>
      </c>
      <c r="R257" s="7" t="s">
        <v>24</v>
      </c>
      <c r="S257" s="7" t="s">
        <v>879</v>
      </c>
      <c r="T257" s="7" t="s">
        <v>205</v>
      </c>
      <c r="U257" s="7" t="s">
        <v>880</v>
      </c>
      <c r="V257" s="7" t="s">
        <v>179</v>
      </c>
      <c r="X257" s="2" t="str">
        <f>HYPERLINK("https://hsdes.intel.com/resource/14013176953","14013176953")</f>
        <v>14013176953</v>
      </c>
    </row>
    <row r="258" spans="1:24" x14ac:dyDescent="0.3">
      <c r="A258" s="2" t="str">
        <f>HYPERLINK("https://hsdes.intel.com/resource/14013160449","14013160449")</f>
        <v>14013160449</v>
      </c>
      <c r="B258" s="7" t="s">
        <v>881</v>
      </c>
      <c r="C258" s="7" t="s">
        <v>2017</v>
      </c>
      <c r="D258" s="7" t="s">
        <v>283</v>
      </c>
      <c r="E258" s="7" t="s">
        <v>19</v>
      </c>
      <c r="F258" s="7" t="s">
        <v>20</v>
      </c>
      <c r="G258" s="28" t="s">
        <v>2027</v>
      </c>
      <c r="J258" s="7" t="s">
        <v>2006</v>
      </c>
      <c r="L258" s="7" t="s">
        <v>288</v>
      </c>
      <c r="M258" s="6">
        <v>44783</v>
      </c>
      <c r="O258" s="7" t="s">
        <v>32</v>
      </c>
      <c r="P258" s="7" t="s">
        <v>175</v>
      </c>
      <c r="Q258" s="7" t="s">
        <v>34</v>
      </c>
      <c r="R258" s="7" t="s">
        <v>24</v>
      </c>
      <c r="S258" s="7" t="s">
        <v>882</v>
      </c>
      <c r="T258" s="7" t="s">
        <v>446</v>
      </c>
      <c r="U258" s="7" t="s">
        <v>883</v>
      </c>
      <c r="V258" s="7" t="s">
        <v>286</v>
      </c>
      <c r="X258" s="2" t="str">
        <f>HYPERLINK("https://hsdes.intel.com/resource/14013160449","14013160449")</f>
        <v>14013160449</v>
      </c>
    </row>
    <row r="259" spans="1:24" x14ac:dyDescent="0.3">
      <c r="A259" s="2" t="str">
        <f>HYPERLINK("https://hsdes.intel.com/resource/14013175857","14013175857")</f>
        <v>14013175857</v>
      </c>
      <c r="B259" s="7" t="s">
        <v>884</v>
      </c>
      <c r="C259" s="7" t="s">
        <v>2017</v>
      </c>
      <c r="D259" s="7" t="s">
        <v>198</v>
      </c>
      <c r="E259" s="7" t="s">
        <v>19</v>
      </c>
      <c r="F259" s="7" t="s">
        <v>20</v>
      </c>
      <c r="G259" s="28" t="s">
        <v>2027</v>
      </c>
      <c r="J259" s="7" t="s">
        <v>2020</v>
      </c>
      <c r="M259" s="6">
        <v>44785</v>
      </c>
      <c r="O259" s="7" t="s">
        <v>32</v>
      </c>
      <c r="P259" s="7" t="s">
        <v>146</v>
      </c>
      <c r="Q259" s="7" t="s">
        <v>34</v>
      </c>
      <c r="R259" s="7" t="s">
        <v>147</v>
      </c>
      <c r="S259" s="7" t="s">
        <v>885</v>
      </c>
      <c r="T259" s="7" t="s">
        <v>200</v>
      </c>
      <c r="U259" s="7" t="s">
        <v>886</v>
      </c>
      <c r="V259" s="7" t="s">
        <v>202</v>
      </c>
      <c r="X259" s="2" t="str">
        <f>HYPERLINK("https://hsdes.intel.com/resource/14013175857","14013175857")</f>
        <v>14013175857</v>
      </c>
    </row>
    <row r="260" spans="1:24" x14ac:dyDescent="0.3">
      <c r="A260" s="2" t="str">
        <f>HYPERLINK("https://hsdes.intel.com/resource/14013184473","14013184473")</f>
        <v>14013184473</v>
      </c>
      <c r="B260" s="7" t="s">
        <v>887</v>
      </c>
      <c r="C260" s="7" t="s">
        <v>2017</v>
      </c>
      <c r="D260" s="7" t="s">
        <v>238</v>
      </c>
      <c r="E260" s="7" t="s">
        <v>19</v>
      </c>
      <c r="F260" s="7" t="s">
        <v>20</v>
      </c>
      <c r="G260" s="28" t="s">
        <v>2027</v>
      </c>
      <c r="J260" s="7" t="s">
        <v>2006</v>
      </c>
      <c r="M260" s="6">
        <v>44783</v>
      </c>
      <c r="O260" s="7" t="s">
        <v>32</v>
      </c>
      <c r="P260" s="7" t="s">
        <v>186</v>
      </c>
      <c r="Q260" s="7" t="s">
        <v>23</v>
      </c>
      <c r="R260" s="7" t="s">
        <v>147</v>
      </c>
      <c r="S260" s="7" t="s">
        <v>888</v>
      </c>
      <c r="T260" s="7" t="s">
        <v>496</v>
      </c>
      <c r="U260" s="7" t="s">
        <v>889</v>
      </c>
      <c r="V260" s="7" t="s">
        <v>189</v>
      </c>
      <c r="X260" s="2" t="str">
        <f>HYPERLINK("https://hsdes.intel.com/resource/14013184473","14013184473")</f>
        <v>14013184473</v>
      </c>
    </row>
    <row r="261" spans="1:24" x14ac:dyDescent="0.3">
      <c r="A261" s="5" t="str">
        <f>HYPERLINK("https://hsdes.intel.com/resource/14013175421","14013175421")</f>
        <v>14013175421</v>
      </c>
      <c r="B261" s="18" t="s">
        <v>890</v>
      </c>
      <c r="C261" s="7" t="s">
        <v>2017</v>
      </c>
      <c r="D261" s="7" t="s">
        <v>401</v>
      </c>
      <c r="E261" s="7" t="s">
        <v>19</v>
      </c>
      <c r="F261" s="7" t="s">
        <v>20</v>
      </c>
      <c r="G261" s="28" t="s">
        <v>2027</v>
      </c>
      <c r="J261" s="7" t="s">
        <v>2020</v>
      </c>
      <c r="K261" s="7" t="s">
        <v>2008</v>
      </c>
      <c r="M261" s="6">
        <v>44783</v>
      </c>
      <c r="O261" s="7" t="s">
        <v>32</v>
      </c>
      <c r="P261" s="7" t="s">
        <v>186</v>
      </c>
      <c r="Q261" s="7" t="s">
        <v>34</v>
      </c>
      <c r="R261" s="7" t="s">
        <v>147</v>
      </c>
      <c r="S261" s="7" t="s">
        <v>891</v>
      </c>
      <c r="T261" s="7" t="s">
        <v>244</v>
      </c>
      <c r="U261" s="7" t="s">
        <v>892</v>
      </c>
      <c r="V261" s="7" t="s">
        <v>189</v>
      </c>
      <c r="X261" s="5" t="str">
        <f>HYPERLINK("https://hsdes.intel.com/resource/14013175421","14013175421")</f>
        <v>14013175421</v>
      </c>
    </row>
    <row r="262" spans="1:24" x14ac:dyDescent="0.3">
      <c r="A262" s="2" t="str">
        <f>HYPERLINK("https://hsdes.intel.com/resource/14013175416","14013175416")</f>
        <v>14013175416</v>
      </c>
      <c r="B262" s="7" t="s">
        <v>893</v>
      </c>
      <c r="C262" s="7" t="s">
        <v>2017</v>
      </c>
      <c r="D262" s="7" t="s">
        <v>401</v>
      </c>
      <c r="E262" s="7" t="s">
        <v>19</v>
      </c>
      <c r="F262" s="7" t="s">
        <v>20</v>
      </c>
      <c r="G262" s="28" t="s">
        <v>2027</v>
      </c>
      <c r="J262" s="7" t="s">
        <v>2020</v>
      </c>
      <c r="M262" s="6">
        <v>44784</v>
      </c>
      <c r="O262" s="7" t="s">
        <v>32</v>
      </c>
      <c r="P262" s="7" t="s">
        <v>186</v>
      </c>
      <c r="Q262" s="7" t="s">
        <v>23</v>
      </c>
      <c r="R262" s="7" t="s">
        <v>147</v>
      </c>
      <c r="S262" s="7" t="s">
        <v>894</v>
      </c>
      <c r="T262" s="7" t="s">
        <v>244</v>
      </c>
      <c r="U262" s="7" t="s">
        <v>895</v>
      </c>
      <c r="V262" s="7" t="s">
        <v>189</v>
      </c>
      <c r="X262" s="5" t="str">
        <f>HYPERLINK("https://hsdes.intel.com/resource/14013175416","14013175416")</f>
        <v>14013175416</v>
      </c>
    </row>
    <row r="263" spans="1:24" x14ac:dyDescent="0.3">
      <c r="A263" s="2" t="str">
        <f>HYPERLINK("https://hsdes.intel.com/resource/14013174447","14013174447")</f>
        <v>14013174447</v>
      </c>
      <c r="B263" s="7" t="s">
        <v>896</v>
      </c>
      <c r="C263" s="7" t="s">
        <v>2017</v>
      </c>
      <c r="D263" s="7" t="s">
        <v>401</v>
      </c>
      <c r="E263" s="7" t="s">
        <v>19</v>
      </c>
      <c r="F263" s="7" t="s">
        <v>20</v>
      </c>
      <c r="G263" s="28" t="s">
        <v>2027</v>
      </c>
      <c r="J263" s="7" t="s">
        <v>2020</v>
      </c>
      <c r="M263" s="6">
        <v>44784</v>
      </c>
      <c r="O263" s="7" t="s">
        <v>32</v>
      </c>
      <c r="P263" s="7" t="s">
        <v>186</v>
      </c>
      <c r="Q263" s="7" t="s">
        <v>34</v>
      </c>
      <c r="R263" s="7" t="s">
        <v>147</v>
      </c>
      <c r="S263" s="7" t="s">
        <v>897</v>
      </c>
      <c r="T263" s="7" t="s">
        <v>244</v>
      </c>
      <c r="U263" s="7" t="s">
        <v>898</v>
      </c>
      <c r="V263" s="7" t="s">
        <v>189</v>
      </c>
      <c r="X263" s="5" t="str">
        <f>HYPERLINK("https://hsdes.intel.com/resource/14013174447","14013174447")</f>
        <v>14013174447</v>
      </c>
    </row>
    <row r="264" spans="1:24" x14ac:dyDescent="0.3">
      <c r="A264" s="5" t="str">
        <f>HYPERLINK("https://hsdes.intel.com/resource/14013174718","14013174718")</f>
        <v>14013174718</v>
      </c>
      <c r="B264" s="7" t="s">
        <v>899</v>
      </c>
      <c r="C264" s="7" t="s">
        <v>2017</v>
      </c>
      <c r="D264" s="7" t="s">
        <v>401</v>
      </c>
      <c r="E264" s="7" t="s">
        <v>19</v>
      </c>
      <c r="F264" s="7" t="s">
        <v>20</v>
      </c>
      <c r="G264" s="28" t="s">
        <v>2027</v>
      </c>
      <c r="J264" s="7" t="s">
        <v>2020</v>
      </c>
      <c r="K264"/>
      <c r="M264" s="6">
        <v>44785</v>
      </c>
      <c r="O264" s="7" t="s">
        <v>32</v>
      </c>
      <c r="P264" s="7" t="s">
        <v>186</v>
      </c>
      <c r="Q264" s="7" t="s">
        <v>34</v>
      </c>
      <c r="R264" s="7" t="s">
        <v>147</v>
      </c>
      <c r="S264" s="7" t="s">
        <v>900</v>
      </c>
      <c r="T264" s="7" t="s">
        <v>244</v>
      </c>
      <c r="U264" s="7" t="s">
        <v>901</v>
      </c>
      <c r="V264" s="7" t="s">
        <v>189</v>
      </c>
      <c r="X264" s="2" t="str">
        <f>HYPERLINK("https://hsdes.intel.com/resource/14013174718","14013174718")</f>
        <v>14013174718</v>
      </c>
    </row>
    <row r="265" spans="1:24" x14ac:dyDescent="0.3">
      <c r="A265" s="2" t="str">
        <f>HYPERLINK("https://hsdes.intel.com/resource/14013163415","14013163415")</f>
        <v>14013163415</v>
      </c>
      <c r="B265" s="7" t="s">
        <v>902</v>
      </c>
      <c r="C265" s="7" t="s">
        <v>2017</v>
      </c>
      <c r="D265" s="7" t="s">
        <v>18</v>
      </c>
      <c r="E265" s="7" t="s">
        <v>19</v>
      </c>
      <c r="F265" s="7" t="s">
        <v>20</v>
      </c>
      <c r="G265" s="28" t="s">
        <v>2027</v>
      </c>
      <c r="J265" s="7" t="s">
        <v>2004</v>
      </c>
      <c r="M265" s="6">
        <v>44784</v>
      </c>
      <c r="O265" s="7" t="s">
        <v>104</v>
      </c>
      <c r="P265" s="7" t="s">
        <v>22</v>
      </c>
      <c r="Q265" s="7" t="s">
        <v>34</v>
      </c>
      <c r="R265" s="7" t="s">
        <v>24</v>
      </c>
      <c r="S265" s="7" t="s">
        <v>903</v>
      </c>
      <c r="T265" s="7" t="s">
        <v>360</v>
      </c>
      <c r="U265" s="7" t="s">
        <v>904</v>
      </c>
      <c r="V265" s="7" t="s">
        <v>28</v>
      </c>
      <c r="X265" s="2" t="str">
        <f>HYPERLINK("https://hsdes.intel.com/resource/14013163415","14013163415")</f>
        <v>14013163415</v>
      </c>
    </row>
    <row r="266" spans="1:24" x14ac:dyDescent="0.3">
      <c r="A266" s="2" t="str">
        <f>HYPERLINK("https://hsdes.intel.com/resource/16013162130","16013162130")</f>
        <v>16013162130</v>
      </c>
      <c r="B266" s="7" t="s">
        <v>905</v>
      </c>
      <c r="C266" s="7" t="s">
        <v>2017</v>
      </c>
      <c r="D266" s="7" t="s">
        <v>18</v>
      </c>
      <c r="E266" s="7" t="s">
        <v>122</v>
      </c>
      <c r="F266" s="7" t="s">
        <v>20</v>
      </c>
      <c r="G266" s="28" t="s">
        <v>2027</v>
      </c>
      <c r="J266" s="7" t="s">
        <v>2020</v>
      </c>
      <c r="M266" s="6">
        <v>44784</v>
      </c>
      <c r="O266" s="7" t="s">
        <v>104</v>
      </c>
      <c r="P266" s="7" t="s">
        <v>22</v>
      </c>
      <c r="Q266" s="7" t="s">
        <v>34</v>
      </c>
      <c r="R266" s="7" t="s">
        <v>24</v>
      </c>
      <c r="T266" s="7" t="s">
        <v>906</v>
      </c>
      <c r="U266" s="7" t="s">
        <v>907</v>
      </c>
      <c r="X266" s="5" t="str">
        <f>HYPERLINK("https://hsdes.intel.com/resource/16013162130","16013162130")</f>
        <v>16013162130</v>
      </c>
    </row>
    <row r="267" spans="1:24" x14ac:dyDescent="0.3">
      <c r="A267" s="2" t="str">
        <f>HYPERLINK("https://hsdes.intel.com/resource/14013175465","14013175465")</f>
        <v>14013175465</v>
      </c>
      <c r="B267" s="7" t="s">
        <v>908</v>
      </c>
      <c r="C267" s="7" t="s">
        <v>2017</v>
      </c>
      <c r="D267" s="7" t="s">
        <v>401</v>
      </c>
      <c r="E267" s="7" t="s">
        <v>19</v>
      </c>
      <c r="F267" s="7" t="s">
        <v>20</v>
      </c>
      <c r="G267" s="28" t="s">
        <v>2027</v>
      </c>
      <c r="J267" s="7" t="s">
        <v>2020</v>
      </c>
      <c r="M267" s="6">
        <v>44783</v>
      </c>
      <c r="O267" s="7" t="s">
        <v>32</v>
      </c>
      <c r="P267" s="7" t="s">
        <v>186</v>
      </c>
      <c r="Q267" s="7" t="s">
        <v>23</v>
      </c>
      <c r="R267" s="7" t="s">
        <v>147</v>
      </c>
      <c r="S267" s="7" t="s">
        <v>909</v>
      </c>
      <c r="T267" s="7" t="s">
        <v>140</v>
      </c>
      <c r="U267" s="7" t="s">
        <v>910</v>
      </c>
      <c r="V267" s="7" t="s">
        <v>189</v>
      </c>
      <c r="X267" s="2" t="str">
        <f>HYPERLINK("https://hsdes.intel.com/resource/14013175465","14013175465")</f>
        <v>14013175465</v>
      </c>
    </row>
    <row r="268" spans="1:24" x14ac:dyDescent="0.3">
      <c r="A268" s="5" t="str">
        <f>HYPERLINK("https://hsdes.intel.com/resource/14013175473","14013175473")</f>
        <v>14013175473</v>
      </c>
      <c r="B268" s="7" t="s">
        <v>911</v>
      </c>
      <c r="C268" s="7" t="s">
        <v>2017</v>
      </c>
      <c r="D268" s="7" t="s">
        <v>401</v>
      </c>
      <c r="E268" s="7" t="s">
        <v>19</v>
      </c>
      <c r="F268" s="7" t="s">
        <v>20</v>
      </c>
      <c r="G268" s="28" t="s">
        <v>2027</v>
      </c>
      <c r="J268" s="7" t="s">
        <v>2020</v>
      </c>
      <c r="L268" s="7" t="s">
        <v>2024</v>
      </c>
      <c r="M268" s="6">
        <v>44785</v>
      </c>
      <c r="O268" s="7" t="s">
        <v>32</v>
      </c>
      <c r="P268" s="7" t="s">
        <v>186</v>
      </c>
      <c r="Q268" s="7" t="s">
        <v>23</v>
      </c>
      <c r="R268" s="7" t="s">
        <v>147</v>
      </c>
      <c r="S268" s="7" t="s">
        <v>912</v>
      </c>
      <c r="T268" s="7" t="s">
        <v>244</v>
      </c>
      <c r="U268" s="7" t="s">
        <v>913</v>
      </c>
      <c r="V268" s="7" t="s">
        <v>189</v>
      </c>
      <c r="X268" s="2" t="str">
        <f>HYPERLINK("https://hsdes.intel.com/resource/14013175473","14013175473")</f>
        <v>14013175473</v>
      </c>
    </row>
    <row r="269" spans="1:24" x14ac:dyDescent="0.3">
      <c r="A269" s="2" t="str">
        <f>HYPERLINK("https://hsdes.intel.com/resource/14013175469","14013175469")</f>
        <v>14013175469</v>
      </c>
      <c r="B269" s="7" t="s">
        <v>914</v>
      </c>
      <c r="C269" s="7" t="s">
        <v>1975</v>
      </c>
      <c r="D269" s="7" t="s">
        <v>401</v>
      </c>
      <c r="E269" s="7" t="s">
        <v>19</v>
      </c>
      <c r="F269" s="7" t="s">
        <v>20</v>
      </c>
      <c r="G269" s="28" t="s">
        <v>2027</v>
      </c>
      <c r="J269" s="7" t="s">
        <v>2004</v>
      </c>
      <c r="L269" s="7" t="s">
        <v>915</v>
      </c>
      <c r="M269" s="6"/>
      <c r="O269" s="7" t="s">
        <v>32</v>
      </c>
      <c r="P269" s="7" t="s">
        <v>186</v>
      </c>
      <c r="Q269" s="7" t="s">
        <v>34</v>
      </c>
      <c r="R269" s="7" t="s">
        <v>147</v>
      </c>
      <c r="S269" s="7" t="s">
        <v>916</v>
      </c>
      <c r="T269" s="7" t="s">
        <v>244</v>
      </c>
      <c r="U269" s="7" t="s">
        <v>917</v>
      </c>
      <c r="V269" s="7" t="s">
        <v>189</v>
      </c>
      <c r="X269" s="2" t="str">
        <f>HYPERLINK("https://hsdes.intel.com/resource/14013175469","14013175469")</f>
        <v>14013175469</v>
      </c>
    </row>
    <row r="270" spans="1:24" x14ac:dyDescent="0.3">
      <c r="A270" s="2" t="str">
        <f>HYPERLINK("https://hsdes.intel.com/resource/14013183238","14013183238")</f>
        <v>14013183238</v>
      </c>
      <c r="B270" s="7" t="s">
        <v>918</v>
      </c>
      <c r="C270" s="7" t="s">
        <v>1975</v>
      </c>
      <c r="D270" s="7" t="s">
        <v>401</v>
      </c>
      <c r="E270" s="7" t="s">
        <v>19</v>
      </c>
      <c r="F270" s="7" t="s">
        <v>20</v>
      </c>
      <c r="G270" s="28" t="s">
        <v>2027</v>
      </c>
      <c r="J270" s="7" t="s">
        <v>2004</v>
      </c>
      <c r="L270" s="7" t="s">
        <v>915</v>
      </c>
      <c r="M270" s="6"/>
      <c r="O270" s="7" t="s">
        <v>32</v>
      </c>
      <c r="P270" s="7" t="s">
        <v>186</v>
      </c>
      <c r="Q270" s="7" t="s">
        <v>34</v>
      </c>
      <c r="R270" s="7" t="s">
        <v>147</v>
      </c>
      <c r="S270" s="7" t="s">
        <v>919</v>
      </c>
      <c r="T270" s="7" t="s">
        <v>244</v>
      </c>
      <c r="U270" s="7" t="s">
        <v>920</v>
      </c>
      <c r="V270" s="7" t="s">
        <v>189</v>
      </c>
      <c r="X270" s="2" t="str">
        <f>HYPERLINK("https://hsdes.intel.com/resource/14013183238","14013183238")</f>
        <v>14013183238</v>
      </c>
    </row>
    <row r="271" spans="1:24" x14ac:dyDescent="0.3">
      <c r="A271" s="2" t="str">
        <f>HYPERLINK("https://hsdes.intel.com/resource/14013163191","14013163191")</f>
        <v>14013163191</v>
      </c>
      <c r="B271" s="7" t="s">
        <v>921</v>
      </c>
      <c r="C271" s="7" t="s">
        <v>2017</v>
      </c>
      <c r="D271" s="7" t="s">
        <v>18</v>
      </c>
      <c r="E271" s="7" t="s">
        <v>19</v>
      </c>
      <c r="F271" s="7" t="s">
        <v>20</v>
      </c>
      <c r="G271" s="28" t="s">
        <v>2027</v>
      </c>
      <c r="J271" s="7" t="s">
        <v>2020</v>
      </c>
      <c r="M271" s="6">
        <v>44785</v>
      </c>
      <c r="O271" s="7" t="s">
        <v>32</v>
      </c>
      <c r="P271" s="7" t="s">
        <v>22</v>
      </c>
      <c r="Q271" s="7" t="s">
        <v>34</v>
      </c>
      <c r="R271" s="7" t="s">
        <v>24</v>
      </c>
      <c r="S271" s="7" t="s">
        <v>922</v>
      </c>
      <c r="T271" s="7" t="s">
        <v>106</v>
      </c>
      <c r="U271" s="7" t="s">
        <v>923</v>
      </c>
      <c r="V271" s="7" t="s">
        <v>28</v>
      </c>
      <c r="X271" s="2" t="str">
        <f>HYPERLINK("https://hsdes.intel.com/resource/14013163191","14013163191")</f>
        <v>14013163191</v>
      </c>
    </row>
    <row r="272" spans="1:24" x14ac:dyDescent="0.3">
      <c r="A272" s="2" t="str">
        <f>HYPERLINK("https://hsdes.intel.com/resource/14013178947","14013178947")</f>
        <v>14013178947</v>
      </c>
      <c r="B272" s="7" t="s">
        <v>924</v>
      </c>
      <c r="C272" s="7" t="s">
        <v>2017</v>
      </c>
      <c r="D272" s="7" t="s">
        <v>238</v>
      </c>
      <c r="E272" s="7" t="s">
        <v>19</v>
      </c>
      <c r="F272" s="7" t="s">
        <v>20</v>
      </c>
      <c r="G272" s="28" t="s">
        <v>2027</v>
      </c>
      <c r="J272" s="7" t="s">
        <v>2004</v>
      </c>
      <c r="L272" s="7" t="s">
        <v>1976</v>
      </c>
      <c r="M272" s="6">
        <v>44785</v>
      </c>
      <c r="O272" s="7" t="s">
        <v>32</v>
      </c>
      <c r="P272" s="7" t="s">
        <v>186</v>
      </c>
      <c r="Q272" s="7" t="s">
        <v>23</v>
      </c>
      <c r="R272" s="7" t="s">
        <v>147</v>
      </c>
      <c r="S272" s="7" t="s">
        <v>925</v>
      </c>
      <c r="T272" s="7" t="s">
        <v>205</v>
      </c>
      <c r="U272" s="7" t="s">
        <v>926</v>
      </c>
      <c r="V272" s="7" t="s">
        <v>189</v>
      </c>
      <c r="X272" s="2" t="str">
        <f>HYPERLINK("https://hsdes.intel.com/resource/14013178947","14013178947")</f>
        <v>14013178947</v>
      </c>
    </row>
    <row r="273" spans="1:24" x14ac:dyDescent="0.3">
      <c r="A273" s="2" t="str">
        <f>HYPERLINK("https://hsdes.intel.com/resource/14013178956","14013178956")</f>
        <v>14013178956</v>
      </c>
      <c r="B273" s="7" t="s">
        <v>927</v>
      </c>
      <c r="C273" s="7" t="s">
        <v>2017</v>
      </c>
      <c r="D273" s="7" t="s">
        <v>238</v>
      </c>
      <c r="E273" s="7" t="s">
        <v>19</v>
      </c>
      <c r="F273" s="7" t="s">
        <v>20</v>
      </c>
      <c r="G273" s="28" t="s">
        <v>2027</v>
      </c>
      <c r="J273" s="7" t="s">
        <v>2004</v>
      </c>
      <c r="L273" s="7" t="s">
        <v>1976</v>
      </c>
      <c r="M273" s="6">
        <v>44785</v>
      </c>
      <c r="O273" s="7" t="s">
        <v>32</v>
      </c>
      <c r="P273" s="7" t="s">
        <v>186</v>
      </c>
      <c r="Q273" s="7" t="s">
        <v>23</v>
      </c>
      <c r="R273" s="7" t="s">
        <v>147</v>
      </c>
      <c r="S273" s="7" t="s">
        <v>928</v>
      </c>
      <c r="T273" s="7" t="s">
        <v>205</v>
      </c>
      <c r="U273" s="7" t="s">
        <v>929</v>
      </c>
      <c r="V273" s="7" t="s">
        <v>189</v>
      </c>
      <c r="X273" s="2" t="str">
        <f>HYPERLINK("https://hsdes.intel.com/resource/14013178956","14013178956")</f>
        <v>14013178956</v>
      </c>
    </row>
    <row r="274" spans="1:24" x14ac:dyDescent="0.3">
      <c r="A274" s="2" t="str">
        <f>HYPERLINK("https://hsdes.intel.com/resource/14013158399","14013158399")</f>
        <v>14013158399</v>
      </c>
      <c r="B274" s="7" t="s">
        <v>930</v>
      </c>
      <c r="C274" s="7" t="s">
        <v>2017</v>
      </c>
      <c r="D274" s="7" t="s">
        <v>18</v>
      </c>
      <c r="E274" s="7" t="s">
        <v>19</v>
      </c>
      <c r="F274" s="7" t="s">
        <v>20</v>
      </c>
      <c r="G274" s="28" t="s">
        <v>2027</v>
      </c>
      <c r="J274" s="7" t="s">
        <v>2020</v>
      </c>
      <c r="M274" s="6">
        <v>44785</v>
      </c>
      <c r="O274" s="7" t="s">
        <v>104</v>
      </c>
      <c r="P274" s="7" t="s">
        <v>22</v>
      </c>
      <c r="Q274" s="7" t="s">
        <v>34</v>
      </c>
      <c r="R274" s="7" t="s">
        <v>24</v>
      </c>
      <c r="S274" s="7" t="s">
        <v>931</v>
      </c>
      <c r="T274" s="7" t="s">
        <v>106</v>
      </c>
      <c r="U274" s="7" t="s">
        <v>932</v>
      </c>
      <c r="V274" s="7" t="s">
        <v>28</v>
      </c>
      <c r="X274" s="2" t="str">
        <f>HYPERLINK("https://hsdes.intel.com/resource/14013158399","14013158399")</f>
        <v>14013158399</v>
      </c>
    </row>
    <row r="275" spans="1:24" x14ac:dyDescent="0.3">
      <c r="A275" s="5" t="str">
        <f>HYPERLINK("https://hsdes.intel.com/resource/14013179108","14013179108")</f>
        <v>14013179108</v>
      </c>
      <c r="B275" s="7" t="s">
        <v>933</v>
      </c>
      <c r="C275" s="7" t="s">
        <v>2017</v>
      </c>
      <c r="D275" s="7" t="s">
        <v>401</v>
      </c>
      <c r="E275" s="7" t="s">
        <v>19</v>
      </c>
      <c r="F275" s="7" t="s">
        <v>20</v>
      </c>
      <c r="G275" s="28" t="s">
        <v>2027</v>
      </c>
      <c r="J275" s="7" t="s">
        <v>2020</v>
      </c>
      <c r="L275" s="7" t="s">
        <v>1982</v>
      </c>
      <c r="M275" s="6">
        <v>44783</v>
      </c>
      <c r="O275" s="7" t="s">
        <v>32</v>
      </c>
      <c r="P275" s="7" t="s">
        <v>186</v>
      </c>
      <c r="Q275" s="7" t="s">
        <v>34</v>
      </c>
      <c r="R275" s="7" t="s">
        <v>147</v>
      </c>
      <c r="S275" s="7" t="s">
        <v>934</v>
      </c>
      <c r="T275" s="7" t="s">
        <v>244</v>
      </c>
      <c r="U275" s="7" t="s">
        <v>935</v>
      </c>
      <c r="V275" s="7" t="s">
        <v>189</v>
      </c>
      <c r="X275" s="2" t="str">
        <f>HYPERLINK("https://hsdes.intel.com/resource/14013179108","14013179108")</f>
        <v>14013179108</v>
      </c>
    </row>
    <row r="276" spans="1:24" x14ac:dyDescent="0.3">
      <c r="A276" s="2" t="str">
        <f>HYPERLINK("https://hsdes.intel.com/resource/14013163019","14013163019")</f>
        <v>14013163019</v>
      </c>
      <c r="B276" s="7" t="s">
        <v>936</v>
      </c>
      <c r="C276" s="7" t="s">
        <v>2017</v>
      </c>
      <c r="D276" s="7" t="s">
        <v>401</v>
      </c>
      <c r="E276" s="7" t="s">
        <v>19</v>
      </c>
      <c r="F276" s="7" t="s">
        <v>20</v>
      </c>
      <c r="G276" s="28" t="s">
        <v>2027</v>
      </c>
      <c r="J276" s="7" t="s">
        <v>2020</v>
      </c>
      <c r="M276" s="6">
        <v>44784</v>
      </c>
      <c r="O276" s="7" t="s">
        <v>32</v>
      </c>
      <c r="P276" s="7" t="s">
        <v>186</v>
      </c>
      <c r="Q276" s="7" t="s">
        <v>23</v>
      </c>
      <c r="R276" s="7" t="s">
        <v>147</v>
      </c>
      <c r="S276" s="7" t="s">
        <v>937</v>
      </c>
      <c r="T276" s="7" t="s">
        <v>244</v>
      </c>
      <c r="U276" s="7" t="s">
        <v>938</v>
      </c>
      <c r="V276" s="7" t="s">
        <v>189</v>
      </c>
      <c r="X276" s="2" t="str">
        <f>HYPERLINK("https://hsdes.intel.com/resource/14013163019","14013163019")</f>
        <v>14013163019</v>
      </c>
    </row>
    <row r="277" spans="1:24" x14ac:dyDescent="0.3">
      <c r="A277" s="5" t="str">
        <f>HYPERLINK("https://hsdes.intel.com/resource/14013173243","14013173243")</f>
        <v>14013173243</v>
      </c>
      <c r="B277" s="7" t="s">
        <v>939</v>
      </c>
      <c r="C277" s="7" t="s">
        <v>2017</v>
      </c>
      <c r="D277" s="7" t="s">
        <v>283</v>
      </c>
      <c r="E277" s="7" t="s">
        <v>19</v>
      </c>
      <c r="F277" s="7" t="s">
        <v>20</v>
      </c>
      <c r="G277" s="28" t="s">
        <v>2027</v>
      </c>
      <c r="J277" s="7" t="s">
        <v>2020</v>
      </c>
      <c r="M277" s="6">
        <v>44784</v>
      </c>
      <c r="O277" s="7" t="s">
        <v>32</v>
      </c>
      <c r="P277" s="7" t="s">
        <v>22</v>
      </c>
      <c r="Q277" s="7" t="s">
        <v>34</v>
      </c>
      <c r="R277" s="7" t="s">
        <v>24</v>
      </c>
      <c r="S277" s="7" t="s">
        <v>940</v>
      </c>
      <c r="T277" s="7" t="s">
        <v>941</v>
      </c>
      <c r="U277" s="7" t="s">
        <v>942</v>
      </c>
      <c r="V277" s="7" t="s">
        <v>172</v>
      </c>
      <c r="X277" s="2" t="str">
        <f>HYPERLINK("https://hsdes.intel.com/resource/14013173243","14013173243")</f>
        <v>14013173243</v>
      </c>
    </row>
    <row r="278" spans="1:24" x14ac:dyDescent="0.3">
      <c r="A278" s="2" t="str">
        <f>HYPERLINK("https://hsdes.intel.com/resource/14013176457","14013176457")</f>
        <v>14013176457</v>
      </c>
      <c r="B278" s="7" t="s">
        <v>943</v>
      </c>
      <c r="C278" s="7" t="s">
        <v>2017</v>
      </c>
      <c r="D278" s="7" t="s">
        <v>138</v>
      </c>
      <c r="E278" s="7" t="s">
        <v>19</v>
      </c>
      <c r="F278" s="7" t="s">
        <v>20</v>
      </c>
      <c r="G278" s="28" t="s">
        <v>2027</v>
      </c>
      <c r="J278" s="7" t="s">
        <v>2004</v>
      </c>
      <c r="L278" s="7" t="s">
        <v>2011</v>
      </c>
      <c r="M278" s="6">
        <v>44785</v>
      </c>
      <c r="O278" s="7" t="s">
        <v>32</v>
      </c>
      <c r="P278" s="7" t="s">
        <v>22</v>
      </c>
      <c r="Q278" s="7" t="s">
        <v>34</v>
      </c>
      <c r="R278" s="7" t="s">
        <v>147</v>
      </c>
      <c r="S278" s="7" t="s">
        <v>944</v>
      </c>
      <c r="T278" s="7" t="s">
        <v>170</v>
      </c>
      <c r="U278" s="7" t="s">
        <v>945</v>
      </c>
      <c r="V278" s="7" t="s">
        <v>179</v>
      </c>
      <c r="X278" s="2" t="str">
        <f>HYPERLINK("https://hsdes.intel.com/resource/14013176457","14013176457")</f>
        <v>14013176457</v>
      </c>
    </row>
    <row r="279" spans="1:24" x14ac:dyDescent="0.3">
      <c r="A279" s="2" t="str">
        <f>HYPERLINK("https://hsdes.intel.com/resource/14013176937","14013176937")</f>
        <v>14013176937</v>
      </c>
      <c r="B279" s="7" t="s">
        <v>946</v>
      </c>
      <c r="C279" s="7" t="s">
        <v>2017</v>
      </c>
      <c r="D279" s="7" t="s">
        <v>947</v>
      </c>
      <c r="E279" s="7" t="s">
        <v>122</v>
      </c>
      <c r="F279" s="7" t="s">
        <v>20</v>
      </c>
      <c r="G279" s="28" t="s">
        <v>2027</v>
      </c>
      <c r="J279" s="7" t="s">
        <v>1974</v>
      </c>
      <c r="L279" s="7" t="s">
        <v>948</v>
      </c>
      <c r="M279" s="6">
        <v>44781</v>
      </c>
      <c r="O279" s="7" t="s">
        <v>32</v>
      </c>
      <c r="P279" s="7" t="s">
        <v>175</v>
      </c>
      <c r="Q279" s="7" t="s">
        <v>34</v>
      </c>
      <c r="R279" s="7" t="s">
        <v>147</v>
      </c>
      <c r="S279" s="7" t="s">
        <v>949</v>
      </c>
      <c r="T279" s="7" t="s">
        <v>45</v>
      </c>
      <c r="U279" s="7" t="s">
        <v>950</v>
      </c>
      <c r="V279" s="7" t="s">
        <v>179</v>
      </c>
      <c r="X279" s="2" t="str">
        <f>HYPERLINK("https://hsdes.intel.com/resource/14013176937","14013176937")</f>
        <v>14013176937</v>
      </c>
    </row>
    <row r="280" spans="1:24" x14ac:dyDescent="0.3">
      <c r="A280" s="5" t="str">
        <f>HYPERLINK("https://hsdes.intel.com/resource/14013183719","14013183719")</f>
        <v>14013183719</v>
      </c>
      <c r="B280" s="7" t="s">
        <v>951</v>
      </c>
      <c r="C280" s="7" t="s">
        <v>2017</v>
      </c>
      <c r="D280" s="7" t="s">
        <v>546</v>
      </c>
      <c r="E280" s="7" t="s">
        <v>19</v>
      </c>
      <c r="F280" s="7" t="s">
        <v>20</v>
      </c>
      <c r="G280" s="28" t="s">
        <v>2027</v>
      </c>
      <c r="J280" s="7" t="s">
        <v>2020</v>
      </c>
      <c r="M280" s="6">
        <v>44784</v>
      </c>
      <c r="O280" s="7" t="s">
        <v>32</v>
      </c>
      <c r="P280" s="7" t="s">
        <v>186</v>
      </c>
      <c r="Q280" s="7" t="s">
        <v>23</v>
      </c>
      <c r="R280" s="7" t="s">
        <v>147</v>
      </c>
      <c r="S280" s="7" t="s">
        <v>952</v>
      </c>
      <c r="T280" s="7" t="s">
        <v>45</v>
      </c>
      <c r="U280" s="7" t="s">
        <v>953</v>
      </c>
      <c r="V280" s="7" t="s">
        <v>189</v>
      </c>
      <c r="X280" s="2" t="str">
        <f>HYPERLINK("https://hsdes.intel.com/resource/14013183719","14013183719")</f>
        <v>14013183719</v>
      </c>
    </row>
    <row r="281" spans="1:24" x14ac:dyDescent="0.3">
      <c r="A281" s="5" t="str">
        <f>HYPERLINK("https://hsdes.intel.com/resource/14013185345","14013185345")</f>
        <v>14013185345</v>
      </c>
      <c r="B281" s="7" t="s">
        <v>954</v>
      </c>
      <c r="C281" s="7" t="s">
        <v>2017</v>
      </c>
      <c r="D281" s="7" t="s">
        <v>546</v>
      </c>
      <c r="E281" s="7" t="s">
        <v>19</v>
      </c>
      <c r="F281" s="7" t="s">
        <v>20</v>
      </c>
      <c r="G281" s="28" t="s">
        <v>2027</v>
      </c>
      <c r="J281" s="7" t="s">
        <v>2020</v>
      </c>
      <c r="M281" s="6">
        <v>44783</v>
      </c>
      <c r="O281" s="7" t="s">
        <v>32</v>
      </c>
      <c r="P281" s="7" t="s">
        <v>186</v>
      </c>
      <c r="Q281" s="7" t="s">
        <v>34</v>
      </c>
      <c r="R281" s="7" t="s">
        <v>147</v>
      </c>
      <c r="S281" s="7" t="s">
        <v>955</v>
      </c>
      <c r="T281" s="7" t="s">
        <v>293</v>
      </c>
      <c r="U281" s="7" t="s">
        <v>956</v>
      </c>
      <c r="V281" s="7" t="s">
        <v>189</v>
      </c>
      <c r="X281" s="2" t="str">
        <f>HYPERLINK("https://hsdes.intel.com/resource/14013185345","14013185345")</f>
        <v>14013185345</v>
      </c>
    </row>
    <row r="282" spans="1:24" x14ac:dyDescent="0.3">
      <c r="A282" s="5" t="str">
        <f>HYPERLINK("https://hsdes.intel.com/resource/16013335322","16013335322")</f>
        <v>16013335322</v>
      </c>
      <c r="B282" s="7" t="s">
        <v>957</v>
      </c>
      <c r="C282" s="7" t="s">
        <v>2017</v>
      </c>
      <c r="D282" s="7" t="s">
        <v>546</v>
      </c>
      <c r="E282" s="7" t="s">
        <v>19</v>
      </c>
      <c r="F282" s="7" t="s">
        <v>20</v>
      </c>
      <c r="G282" s="28" t="s">
        <v>2027</v>
      </c>
      <c r="J282" s="7" t="s">
        <v>2020</v>
      </c>
      <c r="M282" s="6">
        <v>44784</v>
      </c>
      <c r="O282" s="7" t="s">
        <v>32</v>
      </c>
      <c r="P282" s="7" t="s">
        <v>186</v>
      </c>
      <c r="Q282" s="7" t="s">
        <v>34</v>
      </c>
      <c r="R282" s="7" t="s">
        <v>147</v>
      </c>
      <c r="S282" s="7" t="s">
        <v>952</v>
      </c>
      <c r="T282" s="7" t="s">
        <v>293</v>
      </c>
      <c r="U282" s="7" t="s">
        <v>958</v>
      </c>
      <c r="V282" s="7" t="s">
        <v>189</v>
      </c>
      <c r="X282" s="2" t="str">
        <f>HYPERLINK("https://hsdes.intel.com/resource/16013335322","16013335322")</f>
        <v>16013335322</v>
      </c>
    </row>
    <row r="283" spans="1:24" x14ac:dyDescent="0.3">
      <c r="A283" s="2" t="str">
        <f>HYPERLINK("https://hsdes.intel.com/resource/14013160692","14013160692")</f>
        <v>14013160692</v>
      </c>
      <c r="B283" s="7" t="s">
        <v>959</v>
      </c>
      <c r="C283" s="7" t="s">
        <v>2017</v>
      </c>
      <c r="D283" s="7" t="s">
        <v>401</v>
      </c>
      <c r="E283" s="7" t="s">
        <v>19</v>
      </c>
      <c r="F283" s="7" t="s">
        <v>20</v>
      </c>
      <c r="G283" s="28" t="s">
        <v>2027</v>
      </c>
      <c r="J283" s="7" t="s">
        <v>2006</v>
      </c>
      <c r="L283" s="7" t="s">
        <v>1981</v>
      </c>
      <c r="M283" s="6">
        <v>44783</v>
      </c>
      <c r="O283" s="7" t="s">
        <v>32</v>
      </c>
      <c r="P283" s="7" t="s">
        <v>146</v>
      </c>
      <c r="Q283" s="7" t="s">
        <v>34</v>
      </c>
      <c r="R283" s="7" t="s">
        <v>147</v>
      </c>
      <c r="S283" s="7" t="s">
        <v>960</v>
      </c>
      <c r="T283" s="7" t="s">
        <v>961</v>
      </c>
      <c r="U283" s="7" t="s">
        <v>962</v>
      </c>
      <c r="V283" s="7" t="s">
        <v>202</v>
      </c>
      <c r="X283" s="2" t="str">
        <f>HYPERLINK("https://hsdes.intel.com/resource/14013160692","14013160692")</f>
        <v>14013160692</v>
      </c>
    </row>
    <row r="284" spans="1:24" x14ac:dyDescent="0.3">
      <c r="A284" s="2" t="str">
        <f>HYPERLINK("https://hsdes.intel.com/resource/14013186480","14013186480")</f>
        <v>14013186480</v>
      </c>
      <c r="B284" s="7" t="s">
        <v>959</v>
      </c>
      <c r="C284" s="7" t="s">
        <v>2017</v>
      </c>
      <c r="D284" s="7" t="s">
        <v>401</v>
      </c>
      <c r="E284" s="7" t="s">
        <v>19</v>
      </c>
      <c r="F284" s="7" t="s">
        <v>20</v>
      </c>
      <c r="G284" s="28" t="s">
        <v>2027</v>
      </c>
      <c r="J284" s="7" t="s">
        <v>2006</v>
      </c>
      <c r="L284" s="7" t="s">
        <v>1981</v>
      </c>
      <c r="M284" s="6">
        <v>44783</v>
      </c>
      <c r="O284" s="7" t="s">
        <v>32</v>
      </c>
      <c r="P284" s="7" t="s">
        <v>146</v>
      </c>
      <c r="Q284" s="7" t="s">
        <v>34</v>
      </c>
      <c r="R284" s="7" t="s">
        <v>147</v>
      </c>
      <c r="S284" s="7" t="s">
        <v>963</v>
      </c>
      <c r="T284" s="7" t="s">
        <v>200</v>
      </c>
      <c r="U284" s="7" t="s">
        <v>964</v>
      </c>
      <c r="V284" s="7" t="s">
        <v>202</v>
      </c>
      <c r="X284" s="2" t="str">
        <f>HYPERLINK("https://hsdes.intel.com/resource/14013186480","14013186480")</f>
        <v>14013186480</v>
      </c>
    </row>
    <row r="285" spans="1:24" x14ac:dyDescent="0.3">
      <c r="A285" s="2" t="str">
        <f>HYPERLINK("https://hsdes.intel.com/resource/14013185201","14013185201")</f>
        <v>14013185201</v>
      </c>
      <c r="B285" s="7" t="s">
        <v>965</v>
      </c>
      <c r="C285" s="7" t="s">
        <v>2017</v>
      </c>
      <c r="D285" s="7" t="s">
        <v>401</v>
      </c>
      <c r="E285" s="7" t="s">
        <v>19</v>
      </c>
      <c r="F285" s="7" t="s">
        <v>20</v>
      </c>
      <c r="G285" s="28" t="s">
        <v>2027</v>
      </c>
      <c r="J285" s="7" t="s">
        <v>2006</v>
      </c>
      <c r="L285" s="7" t="s">
        <v>1981</v>
      </c>
      <c r="M285" s="6">
        <v>44783</v>
      </c>
      <c r="O285" s="7" t="s">
        <v>32</v>
      </c>
      <c r="P285" s="7" t="s">
        <v>146</v>
      </c>
      <c r="Q285" s="7" t="s">
        <v>34</v>
      </c>
      <c r="R285" s="7" t="s">
        <v>147</v>
      </c>
      <c r="S285" s="7" t="s">
        <v>966</v>
      </c>
      <c r="T285" s="7" t="s">
        <v>961</v>
      </c>
      <c r="U285" s="7" t="s">
        <v>967</v>
      </c>
      <c r="V285" s="7" t="s">
        <v>202</v>
      </c>
      <c r="X285" s="2" t="str">
        <f>HYPERLINK("https://hsdes.intel.com/resource/14013185201","14013185201")</f>
        <v>14013185201</v>
      </c>
    </row>
    <row r="286" spans="1:24" x14ac:dyDescent="0.3">
      <c r="A286" s="2" t="str">
        <f>HYPERLINK("https://hsdes.intel.com/resource/14013185861","14013185861")</f>
        <v>14013185861</v>
      </c>
      <c r="B286" s="7" t="s">
        <v>968</v>
      </c>
      <c r="C286" s="7" t="s">
        <v>2017</v>
      </c>
      <c r="D286" s="7" t="s">
        <v>401</v>
      </c>
      <c r="E286" s="7" t="s">
        <v>19</v>
      </c>
      <c r="F286" s="7" t="s">
        <v>20</v>
      </c>
      <c r="G286" s="28" t="s">
        <v>2027</v>
      </c>
      <c r="J286" s="7" t="s">
        <v>2006</v>
      </c>
      <c r="L286" s="7" t="s">
        <v>1981</v>
      </c>
      <c r="M286" s="6">
        <v>44783</v>
      </c>
      <c r="O286" s="7" t="s">
        <v>32</v>
      </c>
      <c r="P286" s="7" t="s">
        <v>146</v>
      </c>
      <c r="Q286" s="7" t="s">
        <v>34</v>
      </c>
      <c r="R286" s="7" t="s">
        <v>147</v>
      </c>
      <c r="S286" s="7" t="s">
        <v>969</v>
      </c>
      <c r="T286" s="7" t="s">
        <v>205</v>
      </c>
      <c r="U286" s="7" t="s">
        <v>970</v>
      </c>
      <c r="V286" s="7" t="s">
        <v>202</v>
      </c>
      <c r="X286" s="2" t="str">
        <f>HYPERLINK("https://hsdes.intel.com/resource/14013185861","14013185861")</f>
        <v>14013185861</v>
      </c>
    </row>
    <row r="287" spans="1:24" x14ac:dyDescent="0.3">
      <c r="A287" s="2" t="str">
        <f>HYPERLINK("https://hsdes.intel.com/resource/14013175741","14013175741")</f>
        <v>14013175741</v>
      </c>
      <c r="B287" s="7" t="s">
        <v>971</v>
      </c>
      <c r="C287" s="7" t="s">
        <v>2017</v>
      </c>
      <c r="D287" s="7" t="s">
        <v>242</v>
      </c>
      <c r="E287" s="7" t="s">
        <v>122</v>
      </c>
      <c r="F287" s="7" t="s">
        <v>20</v>
      </c>
      <c r="G287" s="28" t="s">
        <v>2027</v>
      </c>
      <c r="J287" s="7" t="s">
        <v>31</v>
      </c>
      <c r="M287" s="6"/>
      <c r="O287" s="7" t="s">
        <v>32</v>
      </c>
      <c r="P287" s="7" t="s">
        <v>175</v>
      </c>
      <c r="Q287" s="7" t="s">
        <v>34</v>
      </c>
      <c r="R287" s="7" t="s">
        <v>24</v>
      </c>
      <c r="S287" s="7" t="s">
        <v>972</v>
      </c>
      <c r="T287" s="7" t="s">
        <v>135</v>
      </c>
      <c r="U287" s="7" t="s">
        <v>973</v>
      </c>
      <c r="V287" s="7" t="s">
        <v>179</v>
      </c>
      <c r="X287" s="2" t="str">
        <f>HYPERLINK("https://hsdes.intel.com/resource/14013175741","14013175741")</f>
        <v>14013175741</v>
      </c>
    </row>
    <row r="288" spans="1:24" x14ac:dyDescent="0.3">
      <c r="A288" s="2" t="str">
        <f>HYPERLINK("https://hsdes.intel.com/resource/14013162431","14013162431")</f>
        <v>14013162431</v>
      </c>
      <c r="B288" s="7" t="s">
        <v>974</v>
      </c>
      <c r="C288" s="7" t="s">
        <v>2017</v>
      </c>
      <c r="D288" s="7" t="s">
        <v>267</v>
      </c>
      <c r="E288" s="7" t="s">
        <v>19</v>
      </c>
      <c r="F288" s="7" t="s">
        <v>20</v>
      </c>
      <c r="G288" s="28" t="s">
        <v>2027</v>
      </c>
      <c r="J288" s="7" t="s">
        <v>31</v>
      </c>
      <c r="M288" s="6"/>
      <c r="O288" s="7" t="s">
        <v>32</v>
      </c>
      <c r="P288" s="7" t="s">
        <v>33</v>
      </c>
      <c r="Q288" s="7" t="s">
        <v>34</v>
      </c>
      <c r="R288" s="7" t="s">
        <v>147</v>
      </c>
      <c r="S288" s="7" t="s">
        <v>975</v>
      </c>
      <c r="T288" s="7" t="s">
        <v>244</v>
      </c>
      <c r="U288" s="7" t="s">
        <v>976</v>
      </c>
      <c r="V288" s="7" t="s">
        <v>270</v>
      </c>
      <c r="X288" s="2" t="str">
        <f>HYPERLINK("https://hsdes.intel.com/resource/14013162431","14013162431")</f>
        <v>14013162431</v>
      </c>
    </row>
    <row r="289" spans="1:24" x14ac:dyDescent="0.3">
      <c r="A289" s="2" t="str">
        <f>HYPERLINK("https://hsdes.intel.com/resource/14013114837","14013114837")</f>
        <v>14013114837</v>
      </c>
      <c r="B289" s="7" t="s">
        <v>977</v>
      </c>
      <c r="C289" s="7" t="s">
        <v>2017</v>
      </c>
      <c r="D289" s="7" t="s">
        <v>843</v>
      </c>
      <c r="E289" s="7" t="s">
        <v>122</v>
      </c>
      <c r="F289" s="7" t="s">
        <v>20</v>
      </c>
      <c r="G289" s="28" t="s">
        <v>2027</v>
      </c>
      <c r="J289" s="7" t="s">
        <v>2020</v>
      </c>
      <c r="M289" s="6">
        <v>44784</v>
      </c>
      <c r="O289" s="7" t="s">
        <v>32</v>
      </c>
      <c r="P289" s="7" t="s">
        <v>22</v>
      </c>
      <c r="Q289" s="7" t="s">
        <v>34</v>
      </c>
      <c r="R289" s="7" t="s">
        <v>24</v>
      </c>
      <c r="S289" s="7" t="s">
        <v>978</v>
      </c>
      <c r="T289" s="7" t="s">
        <v>45</v>
      </c>
      <c r="U289" s="7" t="s">
        <v>979</v>
      </c>
      <c r="V289" s="7" t="s">
        <v>849</v>
      </c>
      <c r="X289" s="5" t="str">
        <f>HYPERLINK("https://hsdes.intel.com/resource/14013114837","14013114837")</f>
        <v>14013114837</v>
      </c>
    </row>
    <row r="290" spans="1:24" x14ac:dyDescent="0.3">
      <c r="A290" s="5" t="str">
        <f>HYPERLINK("https://hsdes.intel.com/resource/14013174283","14013174283")</f>
        <v>14013174283</v>
      </c>
      <c r="B290" s="7" t="s">
        <v>980</v>
      </c>
      <c r="C290" s="7" t="s">
        <v>2017</v>
      </c>
      <c r="D290" s="7" t="s">
        <v>546</v>
      </c>
      <c r="E290" s="7" t="s">
        <v>19</v>
      </c>
      <c r="F290" s="7" t="s">
        <v>20</v>
      </c>
      <c r="G290" s="28" t="s">
        <v>2027</v>
      </c>
      <c r="J290" s="7" t="s">
        <v>2020</v>
      </c>
      <c r="M290" s="6">
        <v>44783</v>
      </c>
      <c r="O290" s="7" t="s">
        <v>32</v>
      </c>
      <c r="P290" s="7" t="s">
        <v>186</v>
      </c>
      <c r="Q290" s="7" t="s">
        <v>23</v>
      </c>
      <c r="R290" s="7" t="s">
        <v>147</v>
      </c>
      <c r="S290" s="7" t="s">
        <v>981</v>
      </c>
      <c r="T290" s="7" t="s">
        <v>140</v>
      </c>
      <c r="U290" s="7" t="s">
        <v>982</v>
      </c>
      <c r="V290" s="7" t="s">
        <v>189</v>
      </c>
      <c r="X290" s="2" t="str">
        <f>HYPERLINK("https://hsdes.intel.com/resource/14013174283","14013174283")</f>
        <v>14013174283</v>
      </c>
    </row>
    <row r="291" spans="1:24" x14ac:dyDescent="0.3">
      <c r="A291" s="5" t="str">
        <f>HYPERLINK("https://hsdes.intel.com/resource/14013158282","14013158282")</f>
        <v>14013158282</v>
      </c>
      <c r="B291" s="7" t="s">
        <v>983</v>
      </c>
      <c r="C291" s="7" t="s">
        <v>2017</v>
      </c>
      <c r="D291" s="7" t="s">
        <v>198</v>
      </c>
      <c r="E291" s="7" t="s">
        <v>19</v>
      </c>
      <c r="F291" s="7" t="s">
        <v>20</v>
      </c>
      <c r="G291" s="28" t="s">
        <v>2027</v>
      </c>
      <c r="J291" s="7" t="s">
        <v>2004</v>
      </c>
      <c r="M291" s="6">
        <v>44785</v>
      </c>
      <c r="O291" s="7" t="s">
        <v>32</v>
      </c>
      <c r="P291" s="7" t="s">
        <v>146</v>
      </c>
      <c r="Q291" s="7" t="s">
        <v>34</v>
      </c>
      <c r="R291" s="7" t="s">
        <v>147</v>
      </c>
      <c r="S291" s="7" t="s">
        <v>984</v>
      </c>
      <c r="T291" s="7" t="s">
        <v>985</v>
      </c>
      <c r="U291" s="7" t="s">
        <v>986</v>
      </c>
      <c r="V291" s="7" t="s">
        <v>202</v>
      </c>
      <c r="X291" s="2" t="str">
        <f>HYPERLINK("https://hsdes.intel.com/resource/14013158282","14013158282")</f>
        <v>14013158282</v>
      </c>
    </row>
    <row r="292" spans="1:24" x14ac:dyDescent="0.3">
      <c r="A292" s="2" t="str">
        <f>HYPERLINK("https://hsdes.intel.com/resource/14013156876","14013156876")</f>
        <v>14013156876</v>
      </c>
      <c r="B292" s="7" t="s">
        <v>987</v>
      </c>
      <c r="C292" s="7" t="s">
        <v>2017</v>
      </c>
      <c r="D292" s="7" t="s">
        <v>283</v>
      </c>
      <c r="E292" s="7" t="s">
        <v>19</v>
      </c>
      <c r="F292" s="7" t="s">
        <v>20</v>
      </c>
      <c r="G292" s="28" t="s">
        <v>2027</v>
      </c>
      <c r="J292" s="7" t="s">
        <v>2006</v>
      </c>
      <c r="M292" s="6">
        <v>44783</v>
      </c>
      <c r="O292" s="7" t="s">
        <v>32</v>
      </c>
      <c r="P292" s="7" t="s">
        <v>175</v>
      </c>
      <c r="Q292" s="7" t="s">
        <v>34</v>
      </c>
      <c r="R292" s="7" t="s">
        <v>24</v>
      </c>
      <c r="S292" s="7" t="s">
        <v>988</v>
      </c>
      <c r="T292" s="7" t="s">
        <v>45</v>
      </c>
      <c r="U292" s="7" t="s">
        <v>989</v>
      </c>
      <c r="V292" s="7" t="s">
        <v>286</v>
      </c>
      <c r="X292" s="2" t="str">
        <f>HYPERLINK("https://hsdes.intel.com/resource/14013156876","14013156876")</f>
        <v>14013156876</v>
      </c>
    </row>
    <row r="293" spans="1:24" x14ac:dyDescent="0.3">
      <c r="A293" s="5" t="str">
        <f>HYPERLINK("https://hsdes.intel.com/resource/14013175500","14013175500")</f>
        <v>14013175500</v>
      </c>
      <c r="B293" s="7" t="s">
        <v>990</v>
      </c>
      <c r="C293" s="7" t="s">
        <v>2017</v>
      </c>
      <c r="D293" s="7" t="s">
        <v>546</v>
      </c>
      <c r="E293" s="7" t="s">
        <v>19</v>
      </c>
      <c r="F293" s="7" t="s">
        <v>20</v>
      </c>
      <c r="G293" s="28" t="s">
        <v>2027</v>
      </c>
      <c r="J293" s="7" t="s">
        <v>2020</v>
      </c>
      <c r="M293" s="6">
        <v>44784</v>
      </c>
      <c r="O293" s="7" t="s">
        <v>32</v>
      </c>
      <c r="P293" s="7" t="s">
        <v>186</v>
      </c>
      <c r="Q293" s="7" t="s">
        <v>34</v>
      </c>
      <c r="R293" s="7" t="s">
        <v>147</v>
      </c>
      <c r="S293" s="7" t="s">
        <v>991</v>
      </c>
      <c r="T293" s="7" t="s">
        <v>182</v>
      </c>
      <c r="U293" s="7" t="s">
        <v>992</v>
      </c>
      <c r="V293" s="7" t="s">
        <v>189</v>
      </c>
      <c r="X293" s="2" t="str">
        <f>HYPERLINK("https://hsdes.intel.com/resource/14013175500","14013175500")</f>
        <v>14013175500</v>
      </c>
    </row>
    <row r="294" spans="1:24" x14ac:dyDescent="0.3">
      <c r="A294" s="2" t="str">
        <f>HYPERLINK("https://hsdes.intel.com/resource/14013183036","14013183036")</f>
        <v>14013183036</v>
      </c>
      <c r="B294" s="7" t="s">
        <v>993</v>
      </c>
      <c r="C294" s="7" t="s">
        <v>2017</v>
      </c>
      <c r="D294" s="7" t="s">
        <v>546</v>
      </c>
      <c r="E294" s="7" t="s">
        <v>19</v>
      </c>
      <c r="F294" s="7" t="s">
        <v>20</v>
      </c>
      <c r="G294" s="28" t="s">
        <v>2027</v>
      </c>
      <c r="J294" s="7" t="s">
        <v>2020</v>
      </c>
      <c r="M294" s="6">
        <v>44783</v>
      </c>
      <c r="O294" s="7" t="s">
        <v>32</v>
      </c>
      <c r="P294" s="7" t="s">
        <v>186</v>
      </c>
      <c r="Q294" s="7" t="s">
        <v>23</v>
      </c>
      <c r="R294" s="7" t="s">
        <v>147</v>
      </c>
      <c r="S294" s="7" t="s">
        <v>994</v>
      </c>
      <c r="T294" s="7" t="s">
        <v>45</v>
      </c>
      <c r="U294" s="7" t="s">
        <v>995</v>
      </c>
      <c r="V294" s="7" t="s">
        <v>189</v>
      </c>
      <c r="X294" s="2" t="str">
        <f>HYPERLINK("https://hsdes.intel.com/resource/14013183036","14013183036")</f>
        <v>14013183036</v>
      </c>
    </row>
    <row r="295" spans="1:24" x14ac:dyDescent="0.3">
      <c r="A295" s="5" t="str">
        <f>HYPERLINK("https://hsdes.intel.com/resource/14013185242","14013185242")</f>
        <v>14013185242</v>
      </c>
      <c r="B295" s="7" t="s">
        <v>996</v>
      </c>
      <c r="C295" s="7" t="s">
        <v>2017</v>
      </c>
      <c r="D295" s="7" t="s">
        <v>546</v>
      </c>
      <c r="E295" s="7" t="s">
        <v>19</v>
      </c>
      <c r="F295" s="7" t="s">
        <v>20</v>
      </c>
      <c r="G295" s="28" t="s">
        <v>2027</v>
      </c>
      <c r="J295" s="7" t="s">
        <v>2020</v>
      </c>
      <c r="M295" s="6">
        <v>44783</v>
      </c>
      <c r="O295" s="7" t="s">
        <v>32</v>
      </c>
      <c r="P295" s="7" t="s">
        <v>186</v>
      </c>
      <c r="Q295" s="7" t="s">
        <v>34</v>
      </c>
      <c r="R295" s="7" t="s">
        <v>147</v>
      </c>
      <c r="S295" s="7" t="s">
        <v>997</v>
      </c>
      <c r="T295" s="7" t="s">
        <v>293</v>
      </c>
      <c r="U295" s="7" t="s">
        <v>998</v>
      </c>
      <c r="V295" s="7" t="s">
        <v>189</v>
      </c>
      <c r="X295" s="2" t="str">
        <f>HYPERLINK("https://hsdes.intel.com/resource/14013185242","14013185242")</f>
        <v>14013185242</v>
      </c>
    </row>
    <row r="296" spans="1:24" x14ac:dyDescent="0.3">
      <c r="A296" s="5" t="str">
        <f>HYPERLINK("https://hsdes.intel.com/resource/14013185254","14013185254")</f>
        <v>14013185254</v>
      </c>
      <c r="B296" s="7" t="s">
        <v>999</v>
      </c>
      <c r="C296" s="7" t="s">
        <v>2017</v>
      </c>
      <c r="D296" s="7" t="s">
        <v>546</v>
      </c>
      <c r="E296" s="7" t="s">
        <v>19</v>
      </c>
      <c r="F296" s="7" t="s">
        <v>20</v>
      </c>
      <c r="G296" s="28" t="s">
        <v>2027</v>
      </c>
      <c r="J296" s="7" t="s">
        <v>2020</v>
      </c>
      <c r="M296" s="6">
        <v>44783</v>
      </c>
      <c r="O296" s="7" t="s">
        <v>104</v>
      </c>
      <c r="P296" s="7" t="s">
        <v>186</v>
      </c>
      <c r="Q296" s="7" t="s">
        <v>34</v>
      </c>
      <c r="R296" s="7" t="s">
        <v>147</v>
      </c>
      <c r="S296" s="7" t="s">
        <v>1000</v>
      </c>
      <c r="T296" s="7" t="s">
        <v>293</v>
      </c>
      <c r="U296" s="7" t="s">
        <v>1001</v>
      </c>
      <c r="V296" s="7" t="s">
        <v>189</v>
      </c>
      <c r="X296" s="2" t="str">
        <f>HYPERLINK("https://hsdes.intel.com/resource/14013185254","14013185254")</f>
        <v>14013185254</v>
      </c>
    </row>
    <row r="297" spans="1:24" x14ac:dyDescent="0.3">
      <c r="A297" s="5" t="str">
        <f>HYPERLINK("https://hsdes.intel.com/resource/14013175495","14013175495")</f>
        <v>14013175495</v>
      </c>
      <c r="B297" s="7" t="s">
        <v>1002</v>
      </c>
      <c r="C297" s="7" t="s">
        <v>2017</v>
      </c>
      <c r="D297" s="7" t="s">
        <v>546</v>
      </c>
      <c r="E297" s="7" t="s">
        <v>19</v>
      </c>
      <c r="F297" s="7" t="s">
        <v>20</v>
      </c>
      <c r="G297" s="28" t="s">
        <v>2027</v>
      </c>
      <c r="J297" s="7" t="s">
        <v>2020</v>
      </c>
      <c r="M297" s="6">
        <v>44783</v>
      </c>
      <c r="O297" s="7" t="s">
        <v>21</v>
      </c>
      <c r="P297" s="7" t="s">
        <v>186</v>
      </c>
      <c r="Q297" s="7" t="s">
        <v>34</v>
      </c>
      <c r="R297" s="7" t="s">
        <v>147</v>
      </c>
      <c r="S297" s="7" t="s">
        <v>1003</v>
      </c>
      <c r="T297" s="7" t="s">
        <v>293</v>
      </c>
      <c r="U297" s="7" t="s">
        <v>1004</v>
      </c>
      <c r="V297" s="7" t="s">
        <v>189</v>
      </c>
      <c r="X297" s="2" t="str">
        <f>HYPERLINK("https://hsdes.intel.com/resource/14013175495","14013175495")</f>
        <v>14013175495</v>
      </c>
    </row>
    <row r="298" spans="1:24" x14ac:dyDescent="0.3">
      <c r="A298" s="2" t="str">
        <f>HYPERLINK("https://hsdes.intel.com/resource/14013173250","14013173250")</f>
        <v>14013173250</v>
      </c>
      <c r="B298" s="7" t="s">
        <v>1005</v>
      </c>
      <c r="C298" s="7" t="s">
        <v>2017</v>
      </c>
      <c r="D298" s="7" t="s">
        <v>30</v>
      </c>
      <c r="E298" s="7" t="s">
        <v>19</v>
      </c>
      <c r="F298" s="7" t="s">
        <v>20</v>
      </c>
      <c r="G298" s="28" t="s">
        <v>2027</v>
      </c>
      <c r="J298" s="7" t="s">
        <v>31</v>
      </c>
      <c r="M298" s="6"/>
      <c r="O298" s="7" t="s">
        <v>32</v>
      </c>
      <c r="P298" s="7" t="s">
        <v>33</v>
      </c>
      <c r="Q298" s="7" t="s">
        <v>34</v>
      </c>
      <c r="R298" s="7" t="s">
        <v>24</v>
      </c>
      <c r="S298" s="7" t="s">
        <v>1006</v>
      </c>
      <c r="T298" s="7" t="s">
        <v>36</v>
      </c>
      <c r="U298" s="7" t="s">
        <v>1007</v>
      </c>
      <c r="V298" s="7" t="s">
        <v>38</v>
      </c>
      <c r="X298" s="2" t="str">
        <f>HYPERLINK("https://hsdes.intel.com/resource/14013173250","14013173250")</f>
        <v>14013173250</v>
      </c>
    </row>
    <row r="299" spans="1:24" x14ac:dyDescent="0.3">
      <c r="A299" s="5" t="str">
        <f>HYPERLINK("https://hsdes.intel.com/resource/14013178166","14013178166")</f>
        <v>14013178166</v>
      </c>
      <c r="B299" s="7" t="s">
        <v>1008</v>
      </c>
      <c r="C299" s="7" t="s">
        <v>2017</v>
      </c>
      <c r="D299" s="7" t="s">
        <v>162</v>
      </c>
      <c r="E299" s="7" t="s">
        <v>19</v>
      </c>
      <c r="F299" s="7" t="s">
        <v>20</v>
      </c>
      <c r="G299" s="28" t="s">
        <v>2027</v>
      </c>
      <c r="J299" s="7" t="s">
        <v>1974</v>
      </c>
      <c r="M299" s="6">
        <v>44781</v>
      </c>
      <c r="O299" s="7" t="s">
        <v>104</v>
      </c>
      <c r="P299" s="7" t="s">
        <v>163</v>
      </c>
      <c r="Q299" s="7" t="s">
        <v>34</v>
      </c>
      <c r="R299" s="7" t="s">
        <v>24</v>
      </c>
      <c r="S299" s="7" t="s">
        <v>1009</v>
      </c>
      <c r="T299" s="7" t="s">
        <v>45</v>
      </c>
      <c r="U299" s="7" t="s">
        <v>1010</v>
      </c>
      <c r="V299" s="7" t="s">
        <v>166</v>
      </c>
      <c r="X299" s="2" t="str">
        <f>HYPERLINK("https://hsdes.intel.com/resource/14013178166","14013178166")</f>
        <v>14013178166</v>
      </c>
    </row>
    <row r="300" spans="1:24" x14ac:dyDescent="0.3">
      <c r="A300" s="5" t="str">
        <f>HYPERLINK("https://hsdes.intel.com/resource/14013184395","14013184395")</f>
        <v>14013184395</v>
      </c>
      <c r="B300" s="7" t="s">
        <v>1011</v>
      </c>
      <c r="C300" s="7" t="s">
        <v>2017</v>
      </c>
      <c r="D300" s="7" t="s">
        <v>546</v>
      </c>
      <c r="E300" s="7" t="s">
        <v>19</v>
      </c>
      <c r="F300" s="7" t="s">
        <v>20</v>
      </c>
      <c r="G300" s="28" t="s">
        <v>2027</v>
      </c>
      <c r="J300" s="7" t="s">
        <v>2020</v>
      </c>
      <c r="L300" s="7" t="s">
        <v>358</v>
      </c>
      <c r="M300" s="6">
        <v>44784</v>
      </c>
      <c r="O300" s="7" t="s">
        <v>32</v>
      </c>
      <c r="P300" s="7" t="s">
        <v>186</v>
      </c>
      <c r="Q300" s="7" t="s">
        <v>34</v>
      </c>
      <c r="R300" s="7" t="s">
        <v>147</v>
      </c>
      <c r="S300" s="7" t="s">
        <v>1012</v>
      </c>
      <c r="T300" s="7" t="s">
        <v>293</v>
      </c>
      <c r="U300" s="7" t="s">
        <v>1013</v>
      </c>
      <c r="V300" s="7" t="s">
        <v>189</v>
      </c>
      <c r="X300" s="5" t="str">
        <f>HYPERLINK("https://hsdes.intel.com/resource/14013184395","14013184395")</f>
        <v>14013184395</v>
      </c>
    </row>
    <row r="301" spans="1:24" x14ac:dyDescent="0.3">
      <c r="A301" s="2" t="str">
        <f>HYPERLINK("https://hsdes.intel.com/resource/14013185473","14013185473")</f>
        <v>14013185473</v>
      </c>
      <c r="B301" s="7" t="s">
        <v>1014</v>
      </c>
      <c r="C301" s="7" t="s">
        <v>2017</v>
      </c>
      <c r="D301" s="7" t="s">
        <v>546</v>
      </c>
      <c r="E301" s="7" t="s">
        <v>19</v>
      </c>
      <c r="F301" s="7" t="s">
        <v>20</v>
      </c>
      <c r="G301" s="28" t="s">
        <v>2027</v>
      </c>
      <c r="J301" s="7" t="s">
        <v>2020</v>
      </c>
      <c r="M301" s="6">
        <v>44784</v>
      </c>
      <c r="O301" s="7" t="s">
        <v>32</v>
      </c>
      <c r="P301" s="7" t="s">
        <v>186</v>
      </c>
      <c r="Q301" s="7" t="s">
        <v>34</v>
      </c>
      <c r="R301" s="7" t="s">
        <v>147</v>
      </c>
      <c r="S301" s="7" t="s">
        <v>1015</v>
      </c>
      <c r="T301" s="7" t="s">
        <v>1016</v>
      </c>
      <c r="U301" s="7" t="s">
        <v>1017</v>
      </c>
      <c r="V301" s="7" t="s">
        <v>189</v>
      </c>
      <c r="X301" s="5" t="str">
        <f>HYPERLINK("https://hsdes.intel.com/resource/14013185473","14013185473")</f>
        <v>14013185473</v>
      </c>
    </row>
    <row r="302" spans="1:24" x14ac:dyDescent="0.3">
      <c r="A302" s="5" t="str">
        <f>HYPERLINK("https://hsdes.intel.com/resource/14013175223","14013175223")</f>
        <v>14013175223</v>
      </c>
      <c r="B302" s="7" t="s">
        <v>1018</v>
      </c>
      <c r="C302" s="7" t="s">
        <v>2017</v>
      </c>
      <c r="D302" s="7" t="s">
        <v>546</v>
      </c>
      <c r="E302" s="7" t="s">
        <v>19</v>
      </c>
      <c r="F302" s="7" t="s">
        <v>20</v>
      </c>
      <c r="G302" s="28" t="s">
        <v>2027</v>
      </c>
      <c r="J302" s="7" t="s">
        <v>2020</v>
      </c>
      <c r="L302" s="10"/>
      <c r="M302" s="6">
        <v>44785</v>
      </c>
      <c r="O302" s="7" t="s">
        <v>104</v>
      </c>
      <c r="P302" s="7" t="s">
        <v>186</v>
      </c>
      <c r="Q302" s="7" t="s">
        <v>34</v>
      </c>
      <c r="R302" s="7" t="s">
        <v>147</v>
      </c>
      <c r="S302" s="7" t="s">
        <v>715</v>
      </c>
      <c r="T302" s="7" t="s">
        <v>244</v>
      </c>
      <c r="U302" s="7" t="s">
        <v>1019</v>
      </c>
      <c r="V302" s="7" t="s">
        <v>189</v>
      </c>
      <c r="X302" s="5" t="str">
        <f>HYPERLINK("https://hsdes.intel.com/resource/14013175223","14013175223")</f>
        <v>14013175223</v>
      </c>
    </row>
    <row r="303" spans="1:24" x14ac:dyDescent="0.3">
      <c r="A303" s="2" t="str">
        <f>HYPERLINK("https://hsdes.intel.com/resource/14013178263","14013178263")</f>
        <v>14013178263</v>
      </c>
      <c r="B303" s="7" t="s">
        <v>1020</v>
      </c>
      <c r="C303" s="7" t="s">
        <v>2017</v>
      </c>
      <c r="D303" s="7" t="s">
        <v>162</v>
      </c>
      <c r="E303" s="7" t="s">
        <v>19</v>
      </c>
      <c r="F303" s="7" t="s">
        <v>20</v>
      </c>
      <c r="G303" s="28" t="s">
        <v>2027</v>
      </c>
      <c r="J303" s="7" t="s">
        <v>2020</v>
      </c>
      <c r="M303" s="6">
        <v>44785</v>
      </c>
      <c r="O303" s="7" t="s">
        <v>104</v>
      </c>
      <c r="P303" s="7" t="s">
        <v>163</v>
      </c>
      <c r="Q303" s="7" t="s">
        <v>34</v>
      </c>
      <c r="R303" s="7" t="s">
        <v>147</v>
      </c>
      <c r="S303" s="7" t="s">
        <v>1021</v>
      </c>
      <c r="T303" s="7" t="s">
        <v>45</v>
      </c>
      <c r="U303" s="7" t="s">
        <v>1022</v>
      </c>
      <c r="V303" s="7" t="s">
        <v>166</v>
      </c>
      <c r="X303" s="5" t="str">
        <f>HYPERLINK("https://hsdes.intel.com/resource/14013178263","14013178263")</f>
        <v>14013178263</v>
      </c>
    </row>
    <row r="304" spans="1:24" x14ac:dyDescent="0.3">
      <c r="A304" s="5" t="str">
        <f>HYPERLINK("https://hsdes.intel.com/resource/14013162852","14013162852")</f>
        <v>14013162852</v>
      </c>
      <c r="B304" s="18" t="s">
        <v>1023</v>
      </c>
      <c r="C304" s="7" t="s">
        <v>2017</v>
      </c>
      <c r="D304" s="7" t="s">
        <v>283</v>
      </c>
      <c r="E304" s="7" t="s">
        <v>19</v>
      </c>
      <c r="F304" s="7" t="s">
        <v>20</v>
      </c>
      <c r="G304" s="28" t="s">
        <v>2027</v>
      </c>
      <c r="J304" s="7" t="s">
        <v>2004</v>
      </c>
      <c r="M304" s="6">
        <v>44785</v>
      </c>
      <c r="O304" s="7" t="s">
        <v>32</v>
      </c>
      <c r="P304" s="7" t="s">
        <v>175</v>
      </c>
      <c r="Q304" s="7" t="s">
        <v>34</v>
      </c>
      <c r="R304" s="7" t="s">
        <v>24</v>
      </c>
      <c r="S304" s="7" t="s">
        <v>1024</v>
      </c>
      <c r="T304" s="7" t="s">
        <v>244</v>
      </c>
      <c r="U304" s="7" t="s">
        <v>1025</v>
      </c>
      <c r="V304" s="7" t="s">
        <v>286</v>
      </c>
      <c r="X304" s="5" t="str">
        <f>HYPERLINK("https://hsdes.intel.com/resource/14013162852","14013162852")</f>
        <v>14013162852</v>
      </c>
    </row>
    <row r="305" spans="1:24" x14ac:dyDescent="0.3">
      <c r="A305" s="2" t="str">
        <f>HYPERLINK("https://hsdes.intel.com/resource/14013176789","14013176789")</f>
        <v>14013176789</v>
      </c>
      <c r="B305" s="7" t="s">
        <v>1026</v>
      </c>
      <c r="C305" s="7" t="s">
        <v>2017</v>
      </c>
      <c r="D305" s="7" t="s">
        <v>133</v>
      </c>
      <c r="E305" s="7" t="s">
        <v>19</v>
      </c>
      <c r="F305" s="7" t="s">
        <v>20</v>
      </c>
      <c r="G305" s="28" t="s">
        <v>2027</v>
      </c>
      <c r="J305" s="7" t="s">
        <v>31</v>
      </c>
      <c r="M305" s="6"/>
      <c r="O305" s="7" t="s">
        <v>32</v>
      </c>
      <c r="P305" s="7" t="s">
        <v>175</v>
      </c>
      <c r="Q305" s="7" t="s">
        <v>34</v>
      </c>
      <c r="R305" s="7" t="s">
        <v>24</v>
      </c>
      <c r="S305" s="7" t="s">
        <v>1027</v>
      </c>
      <c r="T305" s="7" t="s">
        <v>135</v>
      </c>
      <c r="U305" s="7" t="s">
        <v>1028</v>
      </c>
      <c r="V305" s="7" t="s">
        <v>179</v>
      </c>
      <c r="X305" s="2" t="str">
        <f>HYPERLINK("https://hsdes.intel.com/resource/14013176789","14013176789")</f>
        <v>14013176789</v>
      </c>
    </row>
    <row r="306" spans="1:24" x14ac:dyDescent="0.3">
      <c r="A306" s="2" t="str">
        <f>HYPERLINK("https://hsdes.intel.com/resource/14013177269","14013177269")</f>
        <v>14013177269</v>
      </c>
      <c r="B306" s="7" t="s">
        <v>1029</v>
      </c>
      <c r="C306" s="7" t="s">
        <v>2017</v>
      </c>
      <c r="D306" s="7" t="s">
        <v>133</v>
      </c>
      <c r="E306" s="7" t="s">
        <v>122</v>
      </c>
      <c r="F306" s="7" t="s">
        <v>20</v>
      </c>
      <c r="G306" s="28" t="s">
        <v>2027</v>
      </c>
      <c r="J306" s="7" t="s">
        <v>2006</v>
      </c>
      <c r="M306" s="6">
        <v>44784</v>
      </c>
      <c r="O306" s="7" t="s">
        <v>32</v>
      </c>
      <c r="P306" s="7" t="s">
        <v>175</v>
      </c>
      <c r="Q306" s="7" t="s">
        <v>34</v>
      </c>
      <c r="R306" s="7" t="s">
        <v>24</v>
      </c>
      <c r="S306" s="7" t="s">
        <v>1030</v>
      </c>
      <c r="T306" s="7" t="s">
        <v>1031</v>
      </c>
      <c r="U306" s="7" t="s">
        <v>1032</v>
      </c>
      <c r="V306" s="7" t="s">
        <v>179</v>
      </c>
      <c r="X306" s="2" t="str">
        <f>HYPERLINK("https://hsdes.intel.com/resource/14013177269","14013177269")</f>
        <v>14013177269</v>
      </c>
    </row>
    <row r="307" spans="1:24" x14ac:dyDescent="0.3">
      <c r="A307" s="5" t="str">
        <f>HYPERLINK("https://hsdes.intel.com/resource/14013185111","14013185111")</f>
        <v>14013185111</v>
      </c>
      <c r="B307" s="7" t="s">
        <v>1033</v>
      </c>
      <c r="C307" s="7" t="s">
        <v>2017</v>
      </c>
      <c r="D307" s="7" t="s">
        <v>267</v>
      </c>
      <c r="E307" s="7" t="s">
        <v>19</v>
      </c>
      <c r="F307" s="7" t="s">
        <v>20</v>
      </c>
      <c r="G307" s="28" t="s">
        <v>2027</v>
      </c>
      <c r="J307" s="7" t="s">
        <v>2004</v>
      </c>
      <c r="L307" s="7" t="s">
        <v>1977</v>
      </c>
      <c r="M307" s="6">
        <v>44785</v>
      </c>
      <c r="O307" s="7" t="s">
        <v>32</v>
      </c>
      <c r="P307" s="7" t="s">
        <v>33</v>
      </c>
      <c r="Q307" s="7" t="s">
        <v>23</v>
      </c>
      <c r="R307" s="7" t="s">
        <v>24</v>
      </c>
      <c r="S307" s="7" t="s">
        <v>1034</v>
      </c>
      <c r="T307" s="7" t="s">
        <v>326</v>
      </c>
      <c r="U307" s="7" t="s">
        <v>1035</v>
      </c>
      <c r="V307" s="7" t="s">
        <v>270</v>
      </c>
      <c r="X307" s="2" t="str">
        <f>HYPERLINK("https://hsdes.intel.com/resource/14013185111","14013185111")</f>
        <v>14013185111</v>
      </c>
    </row>
    <row r="308" spans="1:24" x14ac:dyDescent="0.3">
      <c r="A308" s="2" t="str">
        <f>HYPERLINK("https://hsdes.intel.com/resource/14013160693","14013160693")</f>
        <v>14013160693</v>
      </c>
      <c r="B308" s="7" t="s">
        <v>1036</v>
      </c>
      <c r="C308" s="7" t="s">
        <v>2017</v>
      </c>
      <c r="D308" s="7" t="s">
        <v>267</v>
      </c>
      <c r="E308" s="7" t="s">
        <v>19</v>
      </c>
      <c r="F308" s="7" t="s">
        <v>20</v>
      </c>
      <c r="G308" s="28" t="s">
        <v>2027</v>
      </c>
      <c r="J308" s="7" t="s">
        <v>2004</v>
      </c>
      <c r="L308" s="7" t="s">
        <v>1977</v>
      </c>
      <c r="M308" s="6">
        <v>44785</v>
      </c>
      <c r="O308" s="7" t="s">
        <v>104</v>
      </c>
      <c r="P308" s="7" t="s">
        <v>33</v>
      </c>
      <c r="Q308" s="7" t="s">
        <v>23</v>
      </c>
      <c r="R308" s="7" t="s">
        <v>24</v>
      </c>
      <c r="S308" s="7" t="s">
        <v>1037</v>
      </c>
      <c r="T308" s="7" t="s">
        <v>326</v>
      </c>
      <c r="U308" s="7" t="s">
        <v>1038</v>
      </c>
      <c r="V308" s="7" t="s">
        <v>270</v>
      </c>
      <c r="X308" s="2" t="str">
        <f>HYPERLINK("https://hsdes.intel.com/resource/14013160693","14013160693")</f>
        <v>14013160693</v>
      </c>
    </row>
    <row r="309" spans="1:24" x14ac:dyDescent="0.3">
      <c r="A309" s="2" t="str">
        <f>HYPERLINK("https://hsdes.intel.com/resource/14013185103","14013185103")</f>
        <v>14013185103</v>
      </c>
      <c r="B309" s="7" t="s">
        <v>1039</v>
      </c>
      <c r="C309" s="7" t="s">
        <v>2017</v>
      </c>
      <c r="D309" s="7" t="s">
        <v>267</v>
      </c>
      <c r="E309" s="7" t="s">
        <v>19</v>
      </c>
      <c r="F309" s="7" t="s">
        <v>20</v>
      </c>
      <c r="G309" s="28" t="s">
        <v>2027</v>
      </c>
      <c r="J309" s="7" t="s">
        <v>2004</v>
      </c>
      <c r="L309" s="7" t="s">
        <v>1977</v>
      </c>
      <c r="M309" s="6">
        <v>44785</v>
      </c>
      <c r="O309" s="7" t="s">
        <v>104</v>
      </c>
      <c r="P309" s="7" t="s">
        <v>33</v>
      </c>
      <c r="Q309" s="7" t="s">
        <v>23</v>
      </c>
      <c r="R309" s="7" t="s">
        <v>24</v>
      </c>
      <c r="S309" s="7" t="s">
        <v>1040</v>
      </c>
      <c r="T309" s="7" t="s">
        <v>205</v>
      </c>
      <c r="U309" s="7" t="s">
        <v>1041</v>
      </c>
      <c r="V309" s="7" t="s">
        <v>270</v>
      </c>
      <c r="X309" s="2" t="str">
        <f>HYPERLINK("https://hsdes.intel.com/resource/14013185103","14013185103")</f>
        <v>14013185103</v>
      </c>
    </row>
    <row r="310" spans="1:24" x14ac:dyDescent="0.3">
      <c r="A310" s="2" t="str">
        <f>HYPERLINK("https://hsdes.intel.com/resource/14013185105","14013185105")</f>
        <v>14013185105</v>
      </c>
      <c r="B310" s="7" t="s">
        <v>1042</v>
      </c>
      <c r="C310" s="7" t="s">
        <v>2017</v>
      </c>
      <c r="D310" s="7" t="s">
        <v>267</v>
      </c>
      <c r="E310" s="7" t="s">
        <v>19</v>
      </c>
      <c r="F310" s="7" t="s">
        <v>20</v>
      </c>
      <c r="G310" s="28" t="s">
        <v>2027</v>
      </c>
      <c r="J310" s="7" t="s">
        <v>2004</v>
      </c>
      <c r="L310" s="7" t="s">
        <v>1977</v>
      </c>
      <c r="M310" s="6">
        <v>44785</v>
      </c>
      <c r="O310" s="7" t="s">
        <v>104</v>
      </c>
      <c r="P310" s="7" t="s">
        <v>33</v>
      </c>
      <c r="Q310" s="7" t="s">
        <v>23</v>
      </c>
      <c r="R310" s="7" t="s">
        <v>24</v>
      </c>
      <c r="S310" s="7" t="s">
        <v>1043</v>
      </c>
      <c r="T310" s="7" t="s">
        <v>205</v>
      </c>
      <c r="U310" s="7" t="s">
        <v>1044</v>
      </c>
      <c r="V310" s="7" t="s">
        <v>270</v>
      </c>
      <c r="X310" s="2" t="str">
        <f>HYPERLINK("https://hsdes.intel.com/resource/14013185105","14013185105")</f>
        <v>14013185105</v>
      </c>
    </row>
    <row r="311" spans="1:24" x14ac:dyDescent="0.3">
      <c r="A311" s="2" t="str">
        <f>HYPERLINK("https://hsdes.intel.com/resource/14013184723","14013184723")</f>
        <v>14013184723</v>
      </c>
      <c r="B311" s="7" t="s">
        <v>1045</v>
      </c>
      <c r="C311" s="7" t="s">
        <v>2017</v>
      </c>
      <c r="D311" s="7" t="s">
        <v>267</v>
      </c>
      <c r="E311" s="7" t="s">
        <v>19</v>
      </c>
      <c r="F311" s="7" t="s">
        <v>20</v>
      </c>
      <c r="G311" s="28" t="s">
        <v>2027</v>
      </c>
      <c r="J311" s="7" t="s">
        <v>2004</v>
      </c>
      <c r="L311" s="7" t="s">
        <v>1977</v>
      </c>
      <c r="M311" s="6">
        <v>44785</v>
      </c>
      <c r="O311" s="7" t="s">
        <v>32</v>
      </c>
      <c r="P311" s="7" t="s">
        <v>33</v>
      </c>
      <c r="Q311" s="7" t="s">
        <v>23</v>
      </c>
      <c r="R311" s="7" t="s">
        <v>24</v>
      </c>
      <c r="S311" s="7" t="s">
        <v>1046</v>
      </c>
      <c r="T311" s="7" t="s">
        <v>1047</v>
      </c>
      <c r="U311" s="7" t="s">
        <v>1048</v>
      </c>
      <c r="V311" s="7" t="s">
        <v>270</v>
      </c>
      <c r="X311" s="2" t="str">
        <f>HYPERLINK("https://hsdes.intel.com/resource/14013184723","14013184723")</f>
        <v>14013184723</v>
      </c>
    </row>
    <row r="312" spans="1:24" x14ac:dyDescent="0.3">
      <c r="A312" s="2" t="str">
        <f>HYPERLINK("https://hsdes.intel.com/resource/14013175901","14013175901")</f>
        <v>14013175901</v>
      </c>
      <c r="B312" s="7" t="s">
        <v>1049</v>
      </c>
      <c r="C312" s="7" t="s">
        <v>2017</v>
      </c>
      <c r="D312" s="7" t="s">
        <v>267</v>
      </c>
      <c r="E312" s="7" t="s">
        <v>19</v>
      </c>
      <c r="F312" s="7" t="s">
        <v>20</v>
      </c>
      <c r="G312" s="28" t="s">
        <v>2027</v>
      </c>
      <c r="J312" s="7" t="s">
        <v>2004</v>
      </c>
      <c r="L312" s="7" t="s">
        <v>1977</v>
      </c>
      <c r="M312" s="6">
        <v>44785</v>
      </c>
      <c r="O312" s="7" t="s">
        <v>104</v>
      </c>
      <c r="P312" s="7" t="s">
        <v>33</v>
      </c>
      <c r="Q312" s="7" t="s">
        <v>23</v>
      </c>
      <c r="R312" s="7" t="s">
        <v>24</v>
      </c>
      <c r="S312" s="7" t="s">
        <v>1050</v>
      </c>
      <c r="T312" s="7" t="s">
        <v>205</v>
      </c>
      <c r="U312" s="7" t="s">
        <v>1051</v>
      </c>
      <c r="V312" s="7" t="s">
        <v>270</v>
      </c>
      <c r="X312" s="2" t="str">
        <f>HYPERLINK("https://hsdes.intel.com/resource/14013175901","14013175901")</f>
        <v>14013175901</v>
      </c>
    </row>
    <row r="313" spans="1:24" x14ac:dyDescent="0.3">
      <c r="A313" s="2" t="str">
        <f>HYPERLINK("https://hsdes.intel.com/resource/14013185011","14013185011")</f>
        <v>14013185011</v>
      </c>
      <c r="B313" s="7" t="s">
        <v>1052</v>
      </c>
      <c r="C313" s="7" t="s">
        <v>2017</v>
      </c>
      <c r="D313" s="7" t="s">
        <v>198</v>
      </c>
      <c r="E313" s="7" t="s">
        <v>19</v>
      </c>
      <c r="F313" s="7" t="s">
        <v>20</v>
      </c>
      <c r="G313" s="28" t="s">
        <v>2027</v>
      </c>
      <c r="J313" s="7" t="s">
        <v>2020</v>
      </c>
      <c r="M313" s="6">
        <v>44785</v>
      </c>
      <c r="N313" s="6"/>
      <c r="O313" s="7" t="s">
        <v>32</v>
      </c>
      <c r="P313" s="7" t="s">
        <v>146</v>
      </c>
      <c r="Q313" s="7" t="s">
        <v>34</v>
      </c>
      <c r="R313" s="7" t="s">
        <v>147</v>
      </c>
      <c r="S313" s="7" t="s">
        <v>1053</v>
      </c>
      <c r="T313" s="7" t="s">
        <v>961</v>
      </c>
      <c r="U313" s="7" t="s">
        <v>1054</v>
      </c>
      <c r="V313" s="7" t="s">
        <v>202</v>
      </c>
      <c r="X313" s="2" t="str">
        <f>HYPERLINK("https://hsdes.intel.com/resource/14013185011","14013185011")</f>
        <v>14013185011</v>
      </c>
    </row>
    <row r="314" spans="1:24" x14ac:dyDescent="0.3">
      <c r="A314" s="2" t="str">
        <f>HYPERLINK("https://hsdes.intel.com/resource/14013185013","14013185013")</f>
        <v>14013185013</v>
      </c>
      <c r="B314" s="7" t="s">
        <v>1055</v>
      </c>
      <c r="C314" s="7" t="s">
        <v>2017</v>
      </c>
      <c r="D314" s="7" t="s">
        <v>198</v>
      </c>
      <c r="E314" s="7" t="s">
        <v>19</v>
      </c>
      <c r="F314" s="7" t="s">
        <v>20</v>
      </c>
      <c r="G314" s="28" t="s">
        <v>2027</v>
      </c>
      <c r="J314" s="7" t="s">
        <v>2004</v>
      </c>
      <c r="L314" s="7" t="s">
        <v>1056</v>
      </c>
      <c r="M314" s="6">
        <v>44785</v>
      </c>
      <c r="N314" s="6"/>
      <c r="O314" s="7" t="s">
        <v>32</v>
      </c>
      <c r="P314" s="7" t="s">
        <v>146</v>
      </c>
      <c r="Q314" s="7" t="s">
        <v>34</v>
      </c>
      <c r="R314" s="7" t="s">
        <v>147</v>
      </c>
      <c r="S314" s="7" t="s">
        <v>1057</v>
      </c>
      <c r="T314" s="7" t="s">
        <v>961</v>
      </c>
      <c r="U314" s="7" t="s">
        <v>1058</v>
      </c>
      <c r="V314" s="7" t="s">
        <v>202</v>
      </c>
      <c r="X314" s="2" t="str">
        <f>HYPERLINK("https://hsdes.intel.com/resource/14013185013","14013185013")</f>
        <v>14013185013</v>
      </c>
    </row>
    <row r="315" spans="1:24" x14ac:dyDescent="0.3">
      <c r="A315" s="2" t="str">
        <f>HYPERLINK("https://hsdes.intel.com/resource/14013185018","14013185018")</f>
        <v>14013185018</v>
      </c>
      <c r="B315" s="7" t="s">
        <v>1059</v>
      </c>
      <c r="C315" s="7" t="s">
        <v>2017</v>
      </c>
      <c r="D315" s="7" t="s">
        <v>198</v>
      </c>
      <c r="E315" s="7" t="s">
        <v>19</v>
      </c>
      <c r="F315" s="7" t="s">
        <v>20</v>
      </c>
      <c r="G315" s="28" t="s">
        <v>2027</v>
      </c>
      <c r="J315" s="7" t="s">
        <v>2020</v>
      </c>
      <c r="M315" s="6">
        <v>44785</v>
      </c>
      <c r="N315" s="6"/>
      <c r="O315" s="7" t="s">
        <v>32</v>
      </c>
      <c r="P315" s="7" t="s">
        <v>146</v>
      </c>
      <c r="Q315" s="7" t="s">
        <v>34</v>
      </c>
      <c r="R315" s="7" t="s">
        <v>147</v>
      </c>
      <c r="S315" s="7" t="s">
        <v>1060</v>
      </c>
      <c r="T315" s="7" t="s">
        <v>961</v>
      </c>
      <c r="U315" s="7" t="s">
        <v>1061</v>
      </c>
      <c r="V315" s="7" t="s">
        <v>202</v>
      </c>
      <c r="X315" s="2" t="str">
        <f>HYPERLINK("https://hsdes.intel.com/resource/14013185018","14013185018")</f>
        <v>14013185018</v>
      </c>
    </row>
    <row r="316" spans="1:24" x14ac:dyDescent="0.3">
      <c r="A316" s="2" t="str">
        <f>HYPERLINK("https://hsdes.intel.com/resource/14013185024","14013185024")</f>
        <v>14013185024</v>
      </c>
      <c r="B316" s="7" t="s">
        <v>1062</v>
      </c>
      <c r="C316" s="7" t="s">
        <v>2017</v>
      </c>
      <c r="D316" s="7" t="s">
        <v>198</v>
      </c>
      <c r="E316" s="7" t="s">
        <v>19</v>
      </c>
      <c r="F316" s="7" t="s">
        <v>20</v>
      </c>
      <c r="G316" s="28" t="s">
        <v>2027</v>
      </c>
      <c r="J316" s="7" t="s">
        <v>2020</v>
      </c>
      <c r="M316" s="6">
        <v>44785</v>
      </c>
      <c r="N316" s="6"/>
      <c r="O316" s="7" t="s">
        <v>32</v>
      </c>
      <c r="P316" s="7" t="s">
        <v>146</v>
      </c>
      <c r="Q316" s="7" t="s">
        <v>34</v>
      </c>
      <c r="R316" s="7" t="s">
        <v>147</v>
      </c>
      <c r="S316" s="7" t="s">
        <v>1063</v>
      </c>
      <c r="T316" s="7" t="s">
        <v>961</v>
      </c>
      <c r="U316" s="7" t="s">
        <v>1064</v>
      </c>
      <c r="V316" s="7" t="s">
        <v>202</v>
      </c>
      <c r="X316" s="2" t="str">
        <f>HYPERLINK("https://hsdes.intel.com/resource/14013185024","14013185024")</f>
        <v>14013185024</v>
      </c>
    </row>
    <row r="317" spans="1:24" x14ac:dyDescent="0.3">
      <c r="A317" s="2" t="str">
        <f>HYPERLINK("https://hsdes.intel.com/resource/14013179168","14013179168")</f>
        <v>14013179168</v>
      </c>
      <c r="B317" s="7" t="s">
        <v>1065</v>
      </c>
      <c r="C317" s="7" t="s">
        <v>2017</v>
      </c>
      <c r="D317" s="7" t="s">
        <v>238</v>
      </c>
      <c r="E317" s="7" t="s">
        <v>19</v>
      </c>
      <c r="F317" s="7" t="s">
        <v>20</v>
      </c>
      <c r="G317" s="28" t="s">
        <v>2027</v>
      </c>
      <c r="J317" s="7" t="s">
        <v>2020</v>
      </c>
      <c r="L317" s="10"/>
      <c r="M317" s="6">
        <v>44784</v>
      </c>
      <c r="O317" s="7" t="s">
        <v>104</v>
      </c>
      <c r="P317" s="7" t="s">
        <v>186</v>
      </c>
      <c r="Q317" s="7" t="s">
        <v>23</v>
      </c>
      <c r="R317" s="7" t="s">
        <v>147</v>
      </c>
      <c r="S317" s="7" t="s">
        <v>1066</v>
      </c>
      <c r="T317" s="7" t="s">
        <v>485</v>
      </c>
      <c r="U317" s="7" t="s">
        <v>1067</v>
      </c>
      <c r="V317" s="7" t="s">
        <v>189</v>
      </c>
      <c r="X317" s="5" t="str">
        <f>HYPERLINK("https://hsdes.intel.com/resource/14013179168","14013179168")</f>
        <v>14013179168</v>
      </c>
    </row>
    <row r="318" spans="1:24" x14ac:dyDescent="0.3">
      <c r="A318" s="5" t="str">
        <f>HYPERLINK("https://hsdes.intel.com/resource/14013183837","14013183837")</f>
        <v>14013183837</v>
      </c>
      <c r="B318" s="7" t="s">
        <v>1068</v>
      </c>
      <c r="C318" s="7" t="s">
        <v>2017</v>
      </c>
      <c r="D318" s="7" t="s">
        <v>238</v>
      </c>
      <c r="E318" s="7" t="s">
        <v>19</v>
      </c>
      <c r="F318" s="7" t="s">
        <v>20</v>
      </c>
      <c r="G318" s="28" t="s">
        <v>2027</v>
      </c>
      <c r="J318" s="7" t="s">
        <v>2020</v>
      </c>
      <c r="M318" s="6">
        <v>44783</v>
      </c>
      <c r="O318" s="7" t="s">
        <v>32</v>
      </c>
      <c r="P318" s="7" t="s">
        <v>186</v>
      </c>
      <c r="Q318" s="7" t="s">
        <v>23</v>
      </c>
      <c r="R318" s="7" t="s">
        <v>147</v>
      </c>
      <c r="S318" s="7" t="s">
        <v>1069</v>
      </c>
      <c r="T318" s="7" t="s">
        <v>485</v>
      </c>
      <c r="U318" s="7" t="s">
        <v>1070</v>
      </c>
      <c r="V318" s="7" t="s">
        <v>189</v>
      </c>
      <c r="X318" s="2" t="str">
        <f>HYPERLINK("https://hsdes.intel.com/resource/14013183837","14013183837")</f>
        <v>14013183837</v>
      </c>
    </row>
    <row r="319" spans="1:24" x14ac:dyDescent="0.3">
      <c r="A319" s="2" t="str">
        <f>HYPERLINK("https://hsdes.intel.com/resource/14013185372","14013185372")</f>
        <v>14013185372</v>
      </c>
      <c r="B319" s="7" t="s">
        <v>1071</v>
      </c>
      <c r="C319" s="7" t="s">
        <v>2017</v>
      </c>
      <c r="D319" s="7" t="s">
        <v>238</v>
      </c>
      <c r="E319" s="7" t="s">
        <v>19</v>
      </c>
      <c r="F319" s="7" t="s">
        <v>20</v>
      </c>
      <c r="G319" s="28" t="s">
        <v>2027</v>
      </c>
      <c r="J319" s="7" t="s">
        <v>2020</v>
      </c>
      <c r="M319" s="6">
        <v>44784</v>
      </c>
      <c r="O319" s="7" t="s">
        <v>32</v>
      </c>
      <c r="P319" s="7" t="s">
        <v>186</v>
      </c>
      <c r="Q319" s="7" t="s">
        <v>23</v>
      </c>
      <c r="R319" s="7" t="s">
        <v>147</v>
      </c>
      <c r="S319" s="7" t="s">
        <v>1072</v>
      </c>
      <c r="T319" s="7" t="s">
        <v>489</v>
      </c>
      <c r="U319" s="7" t="s">
        <v>1073</v>
      </c>
      <c r="V319" s="7" t="s">
        <v>189</v>
      </c>
      <c r="X319" s="5" t="str">
        <f>HYPERLINK("https://hsdes.intel.com/resource/14013185372","14013185372")</f>
        <v>14013185372</v>
      </c>
    </row>
    <row r="320" spans="1:24" x14ac:dyDescent="0.3">
      <c r="A320" s="2" t="str">
        <f>HYPERLINK("https://hsdes.intel.com/resource/14013174307","14013174307")</f>
        <v>14013174307</v>
      </c>
      <c r="B320" s="7" t="s">
        <v>1074</v>
      </c>
      <c r="C320" s="7" t="s">
        <v>2017</v>
      </c>
      <c r="D320" s="7" t="s">
        <v>1075</v>
      </c>
      <c r="E320" s="7" t="s">
        <v>19</v>
      </c>
      <c r="F320" s="7" t="s">
        <v>20</v>
      </c>
      <c r="G320" s="28" t="s">
        <v>2027</v>
      </c>
      <c r="J320" s="7" t="s">
        <v>2020</v>
      </c>
      <c r="M320" s="6">
        <v>44784</v>
      </c>
      <c r="O320" s="7" t="s">
        <v>32</v>
      </c>
      <c r="P320" s="7" t="s">
        <v>186</v>
      </c>
      <c r="Q320" s="7" t="s">
        <v>34</v>
      </c>
      <c r="R320" s="7" t="s">
        <v>147</v>
      </c>
      <c r="S320" s="7" t="s">
        <v>1076</v>
      </c>
      <c r="T320" s="7" t="s">
        <v>244</v>
      </c>
      <c r="U320" s="7" t="s">
        <v>1077</v>
      </c>
      <c r="V320" s="7" t="s">
        <v>189</v>
      </c>
      <c r="X320" s="2" t="str">
        <f>HYPERLINK("https://hsdes.intel.com/resource/14013174307","14013174307")</f>
        <v>14013174307</v>
      </c>
    </row>
    <row r="321" spans="1:24" x14ac:dyDescent="0.3">
      <c r="A321" s="2" t="str">
        <f>HYPERLINK("https://hsdes.intel.com/resource/14013160568","14013160568")</f>
        <v>14013160568</v>
      </c>
      <c r="B321" s="7" t="s">
        <v>1078</v>
      </c>
      <c r="C321" s="7" t="s">
        <v>2017</v>
      </c>
      <c r="D321" s="7" t="s">
        <v>18</v>
      </c>
      <c r="E321" s="7" t="s">
        <v>19</v>
      </c>
      <c r="F321" s="7" t="s">
        <v>20</v>
      </c>
      <c r="G321" s="28" t="s">
        <v>2027</v>
      </c>
      <c r="J321" s="7" t="s">
        <v>1974</v>
      </c>
      <c r="M321" s="6">
        <v>44785</v>
      </c>
      <c r="O321" s="7" t="s">
        <v>32</v>
      </c>
      <c r="P321" s="7" t="s">
        <v>22</v>
      </c>
      <c r="Q321" s="7" t="s">
        <v>34</v>
      </c>
      <c r="R321" s="7" t="s">
        <v>24</v>
      </c>
      <c r="S321" s="7" t="s">
        <v>1079</v>
      </c>
      <c r="T321" s="7" t="s">
        <v>116</v>
      </c>
      <c r="U321" s="7" t="s">
        <v>1080</v>
      </c>
      <c r="V321" s="7" t="s">
        <v>28</v>
      </c>
      <c r="X321" s="2" t="str">
        <f>HYPERLINK("https://hsdes.intel.com/resource/14013160568","14013160568")</f>
        <v>14013160568</v>
      </c>
    </row>
    <row r="322" spans="1:24" x14ac:dyDescent="0.3">
      <c r="A322" s="2" t="str">
        <f>HYPERLINK("https://hsdes.intel.com/resource/14013160571","14013160571")</f>
        <v>14013160571</v>
      </c>
      <c r="B322" s="7" t="s">
        <v>1081</v>
      </c>
      <c r="C322" s="7" t="s">
        <v>2017</v>
      </c>
      <c r="D322" s="7" t="s">
        <v>18</v>
      </c>
      <c r="E322" s="7" t="s">
        <v>19</v>
      </c>
      <c r="F322" s="7" t="s">
        <v>20</v>
      </c>
      <c r="G322" s="28" t="s">
        <v>2027</v>
      </c>
      <c r="J322" s="7" t="s">
        <v>1974</v>
      </c>
      <c r="M322" s="6">
        <v>44785</v>
      </c>
      <c r="O322" s="7" t="s">
        <v>104</v>
      </c>
      <c r="P322" s="7" t="s">
        <v>22</v>
      </c>
      <c r="Q322" s="7" t="s">
        <v>34</v>
      </c>
      <c r="R322" s="7" t="s">
        <v>147</v>
      </c>
      <c r="S322" s="7" t="s">
        <v>1082</v>
      </c>
      <c r="T322" s="7" t="s">
        <v>116</v>
      </c>
      <c r="U322" s="7" t="s">
        <v>1083</v>
      </c>
      <c r="V322" s="7" t="s">
        <v>28</v>
      </c>
      <c r="X322" s="2" t="str">
        <f>HYPERLINK("https://hsdes.intel.com/resource/14013160571","14013160571")</f>
        <v>14013160571</v>
      </c>
    </row>
    <row r="323" spans="1:24" x14ac:dyDescent="0.3">
      <c r="A323" s="2" t="str">
        <f>HYPERLINK("https://hsdes.intel.com/resource/14013176453","14013176453")</f>
        <v>14013176453</v>
      </c>
      <c r="B323" s="7" t="s">
        <v>1084</v>
      </c>
      <c r="C323" s="7" t="s">
        <v>1975</v>
      </c>
      <c r="D323" s="7" t="s">
        <v>162</v>
      </c>
      <c r="E323" s="7" t="s">
        <v>19</v>
      </c>
      <c r="F323" s="7" t="s">
        <v>20</v>
      </c>
      <c r="G323" s="28" t="s">
        <v>2027</v>
      </c>
      <c r="J323" s="7" t="s">
        <v>1974</v>
      </c>
      <c r="L323" s="7" t="s">
        <v>569</v>
      </c>
      <c r="M323" s="6"/>
      <c r="O323" s="7" t="s">
        <v>32</v>
      </c>
      <c r="P323" s="7" t="s">
        <v>163</v>
      </c>
      <c r="Q323" s="7" t="s">
        <v>34</v>
      </c>
      <c r="R323" s="7" t="s">
        <v>147</v>
      </c>
      <c r="S323" s="7" t="s">
        <v>1085</v>
      </c>
      <c r="T323" s="7" t="s">
        <v>205</v>
      </c>
      <c r="U323" s="7" t="s">
        <v>1086</v>
      </c>
      <c r="V323" s="7" t="s">
        <v>166</v>
      </c>
      <c r="X323" s="2" t="str">
        <f>HYPERLINK("https://hsdes.intel.com/resource/14013176453","14013176453")</f>
        <v>14013176453</v>
      </c>
    </row>
    <row r="324" spans="1:24" x14ac:dyDescent="0.3">
      <c r="A324" s="5" t="str">
        <f>HYPERLINK("https://hsdes.intel.com/resource/14013174030","14013174030")</f>
        <v>14013174030</v>
      </c>
      <c r="B324" s="7" t="s">
        <v>1087</v>
      </c>
      <c r="C324" s="7" t="s">
        <v>2017</v>
      </c>
      <c r="D324" s="7" t="s">
        <v>401</v>
      </c>
      <c r="E324" s="7" t="s">
        <v>19</v>
      </c>
      <c r="F324" s="7" t="s">
        <v>20</v>
      </c>
      <c r="G324" s="28" t="s">
        <v>2027</v>
      </c>
      <c r="J324" s="7" t="s">
        <v>2020</v>
      </c>
      <c r="M324" s="6">
        <v>44784</v>
      </c>
      <c r="O324" s="7" t="s">
        <v>32</v>
      </c>
      <c r="P324" s="7" t="s">
        <v>186</v>
      </c>
      <c r="Q324" s="7" t="s">
        <v>23</v>
      </c>
      <c r="R324" s="7" t="s">
        <v>147</v>
      </c>
      <c r="S324" s="7" t="s">
        <v>1088</v>
      </c>
      <c r="T324" s="7" t="s">
        <v>244</v>
      </c>
      <c r="U324" s="7" t="s">
        <v>1089</v>
      </c>
      <c r="V324" s="7" t="s">
        <v>189</v>
      </c>
      <c r="X324" s="5" t="str">
        <f>HYPERLINK("https://hsdes.intel.com/resource/14013174030","14013174030")</f>
        <v>14013174030</v>
      </c>
    </row>
    <row r="325" spans="1:24" x14ac:dyDescent="0.3">
      <c r="A325" s="2" t="str">
        <f>HYPERLINK("https://hsdes.intel.com/resource/14013173177","14013173177")</f>
        <v>14013173177</v>
      </c>
      <c r="B325" s="7" t="s">
        <v>1090</v>
      </c>
      <c r="C325" s="7" t="s">
        <v>2017</v>
      </c>
      <c r="D325" s="7" t="s">
        <v>283</v>
      </c>
      <c r="E325" s="7" t="s">
        <v>19</v>
      </c>
      <c r="F325" s="7" t="s">
        <v>20</v>
      </c>
      <c r="G325" s="28" t="s">
        <v>2027</v>
      </c>
      <c r="J325" s="7" t="s">
        <v>31</v>
      </c>
      <c r="M325" s="6"/>
      <c r="O325" s="7" t="s">
        <v>32</v>
      </c>
      <c r="P325" s="7" t="s">
        <v>175</v>
      </c>
      <c r="Q325" s="7" t="s">
        <v>34</v>
      </c>
      <c r="R325" s="7" t="s">
        <v>24</v>
      </c>
      <c r="S325" s="7" t="s">
        <v>1091</v>
      </c>
      <c r="T325" s="7" t="s">
        <v>244</v>
      </c>
      <c r="U325" s="7" t="s">
        <v>1092</v>
      </c>
      <c r="V325" s="7" t="s">
        <v>286</v>
      </c>
      <c r="X325" s="2" t="str">
        <f>HYPERLINK("https://hsdes.intel.com/resource/14013173177","14013173177")</f>
        <v>14013173177</v>
      </c>
    </row>
    <row r="326" spans="1:24" x14ac:dyDescent="0.3">
      <c r="A326" s="2" t="str">
        <f>HYPERLINK("https://hsdes.intel.com/resource/14013175736","14013175736")</f>
        <v>14013175736</v>
      </c>
      <c r="B326" s="7" t="s">
        <v>1093</v>
      </c>
      <c r="C326" s="7" t="s">
        <v>2017</v>
      </c>
      <c r="D326" s="7" t="s">
        <v>162</v>
      </c>
      <c r="E326" s="7" t="s">
        <v>19</v>
      </c>
      <c r="F326" s="7" t="s">
        <v>20</v>
      </c>
      <c r="G326" s="28" t="s">
        <v>2027</v>
      </c>
      <c r="J326" s="7" t="s">
        <v>31</v>
      </c>
      <c r="M326" s="6"/>
      <c r="O326" s="7" t="s">
        <v>32</v>
      </c>
      <c r="P326" s="7" t="s">
        <v>163</v>
      </c>
      <c r="Q326" s="7" t="s">
        <v>34</v>
      </c>
      <c r="R326" s="7" t="s">
        <v>24</v>
      </c>
      <c r="S326" s="7" t="s">
        <v>1094</v>
      </c>
      <c r="T326" s="7" t="s">
        <v>205</v>
      </c>
      <c r="U326" s="7" t="s">
        <v>1095</v>
      </c>
      <c r="V326" s="7" t="s">
        <v>166</v>
      </c>
      <c r="X326" s="2" t="str">
        <f>HYPERLINK("https://hsdes.intel.com/resource/14013175736","14013175736")</f>
        <v>14013175736</v>
      </c>
    </row>
    <row r="327" spans="1:24" x14ac:dyDescent="0.3">
      <c r="A327" s="2" t="str">
        <f>HYPERLINK("https://hsdes.intel.com/resource/14013174014","14013174014")</f>
        <v>14013174014</v>
      </c>
      <c r="B327" s="7" t="s">
        <v>1096</v>
      </c>
      <c r="C327" s="7" t="s">
        <v>1975</v>
      </c>
      <c r="D327" s="7" t="s">
        <v>401</v>
      </c>
      <c r="E327" s="7" t="s">
        <v>19</v>
      </c>
      <c r="F327" s="7" t="s">
        <v>20</v>
      </c>
      <c r="G327" s="28" t="s">
        <v>2027</v>
      </c>
      <c r="J327" s="7" t="s">
        <v>2004</v>
      </c>
      <c r="L327" s="7" t="s">
        <v>915</v>
      </c>
      <c r="M327" s="6"/>
      <c r="O327" s="7" t="s">
        <v>32</v>
      </c>
      <c r="P327" s="7" t="s">
        <v>186</v>
      </c>
      <c r="Q327" s="7" t="s">
        <v>23</v>
      </c>
      <c r="R327" s="7" t="s">
        <v>147</v>
      </c>
      <c r="S327" s="7" t="s">
        <v>1097</v>
      </c>
      <c r="T327" s="7" t="s">
        <v>244</v>
      </c>
      <c r="U327" s="7" t="s">
        <v>1098</v>
      </c>
      <c r="V327" s="7" t="s">
        <v>189</v>
      </c>
      <c r="X327" s="2" t="str">
        <f>HYPERLINK("https://hsdes.intel.com/resource/14013174014","14013174014")</f>
        <v>14013174014</v>
      </c>
    </row>
    <row r="328" spans="1:24" s="18" customFormat="1" x14ac:dyDescent="0.3">
      <c r="A328" s="19" t="str">
        <f>HYPERLINK("https://hsdes.intel.com/resource/16013229221","16013229221")</f>
        <v>16013229221</v>
      </c>
      <c r="B328" s="18" t="s">
        <v>1099</v>
      </c>
      <c r="C328" s="7" t="s">
        <v>2017</v>
      </c>
      <c r="D328" s="7" t="s">
        <v>247</v>
      </c>
      <c r="E328" s="7" t="s">
        <v>19</v>
      </c>
      <c r="F328" s="7" t="s">
        <v>20</v>
      </c>
      <c r="G328" s="28" t="s">
        <v>2027</v>
      </c>
      <c r="J328" s="7" t="s">
        <v>1974</v>
      </c>
      <c r="M328" s="22">
        <v>44785</v>
      </c>
      <c r="O328" s="18" t="s">
        <v>32</v>
      </c>
      <c r="P328" s="18" t="s">
        <v>186</v>
      </c>
      <c r="Q328" s="18" t="s">
        <v>34</v>
      </c>
      <c r="R328" s="18" t="s">
        <v>147</v>
      </c>
      <c r="S328" s="18" t="s">
        <v>1100</v>
      </c>
      <c r="T328" s="18" t="s">
        <v>1101</v>
      </c>
      <c r="U328" s="18" t="s">
        <v>1102</v>
      </c>
      <c r="V328" s="18" t="s">
        <v>189</v>
      </c>
      <c r="X328" s="19" t="str">
        <f>HYPERLINK("https://hsdes.intel.com/resource/16013229221","16013229221")</f>
        <v>16013229221</v>
      </c>
    </row>
    <row r="329" spans="1:24" x14ac:dyDescent="0.3">
      <c r="A329" s="2" t="str">
        <f>HYPERLINK("https://hsdes.intel.com/resource/14013174120","14013174120")</f>
        <v>14013174120</v>
      </c>
      <c r="B329" s="7" t="s">
        <v>1103</v>
      </c>
      <c r="C329" s="7" t="s">
        <v>2017</v>
      </c>
      <c r="D329" s="7" t="s">
        <v>247</v>
      </c>
      <c r="E329" s="7" t="s">
        <v>19</v>
      </c>
      <c r="F329" s="7" t="s">
        <v>20</v>
      </c>
      <c r="G329" s="28" t="s">
        <v>2027</v>
      </c>
      <c r="J329" s="7" t="s">
        <v>31</v>
      </c>
      <c r="M329" s="6"/>
      <c r="O329" s="7" t="s">
        <v>32</v>
      </c>
      <c r="P329" s="7" t="s">
        <v>186</v>
      </c>
      <c r="Q329" s="7" t="s">
        <v>23</v>
      </c>
      <c r="R329" s="7" t="s">
        <v>147</v>
      </c>
      <c r="S329" s="7" t="s">
        <v>1100</v>
      </c>
      <c r="T329" s="7" t="s">
        <v>177</v>
      </c>
      <c r="U329" s="7" t="s">
        <v>1104</v>
      </c>
      <c r="V329" s="7" t="s">
        <v>189</v>
      </c>
      <c r="X329" s="2" t="str">
        <f>HYPERLINK("https://hsdes.intel.com/resource/14013174120","14013174120")</f>
        <v>14013174120</v>
      </c>
    </row>
    <row r="330" spans="1:24" x14ac:dyDescent="0.3">
      <c r="A330" s="2" t="str">
        <f>HYPERLINK("https://hsdes.intel.com/resource/14013180516","14013180516")</f>
        <v>14013180516</v>
      </c>
      <c r="B330" s="7" t="s">
        <v>1105</v>
      </c>
      <c r="C330" s="7" t="s">
        <v>1975</v>
      </c>
      <c r="D330" s="7" t="s">
        <v>30</v>
      </c>
      <c r="E330" s="7" t="s">
        <v>19</v>
      </c>
      <c r="F330" s="7" t="s">
        <v>20</v>
      </c>
      <c r="G330" s="28" t="s">
        <v>2027</v>
      </c>
      <c r="J330" s="7" t="s">
        <v>1974</v>
      </c>
      <c r="L330" s="7" t="s">
        <v>1106</v>
      </c>
      <c r="M330" s="6"/>
      <c r="O330" s="7" t="s">
        <v>32</v>
      </c>
      <c r="P330" s="7" t="s">
        <v>33</v>
      </c>
      <c r="Q330" s="7" t="s">
        <v>23</v>
      </c>
      <c r="R330" s="7" t="s">
        <v>147</v>
      </c>
      <c r="S330" s="7" t="s">
        <v>1107</v>
      </c>
      <c r="T330" s="7" t="s">
        <v>496</v>
      </c>
      <c r="U330" s="7" t="s">
        <v>1108</v>
      </c>
      <c r="V330" s="7" t="s">
        <v>38</v>
      </c>
      <c r="X330" s="2" t="str">
        <f>HYPERLINK("https://hsdes.intel.com/resource/14013180516","14013180516")</f>
        <v>14013180516</v>
      </c>
    </row>
    <row r="331" spans="1:24" x14ac:dyDescent="0.3">
      <c r="A331" s="5" t="str">
        <f>HYPERLINK("https://hsdes.intel.com/resource/14013117289","14013117289")</f>
        <v>14013117289</v>
      </c>
      <c r="B331" s="7" t="s">
        <v>1109</v>
      </c>
      <c r="C331" s="7" t="s">
        <v>2017</v>
      </c>
      <c r="D331" s="7" t="s">
        <v>198</v>
      </c>
      <c r="E331" s="7" t="s">
        <v>19</v>
      </c>
      <c r="F331" s="7" t="s">
        <v>20</v>
      </c>
      <c r="G331" s="28" t="s">
        <v>2027</v>
      </c>
      <c r="J331" s="7" t="s">
        <v>2004</v>
      </c>
      <c r="M331" s="6">
        <v>44785</v>
      </c>
      <c r="O331" s="7" t="s">
        <v>32</v>
      </c>
      <c r="P331" s="7" t="s">
        <v>146</v>
      </c>
      <c r="Q331" s="7" t="s">
        <v>34</v>
      </c>
      <c r="R331" s="7" t="s">
        <v>147</v>
      </c>
      <c r="S331" s="7" t="s">
        <v>1110</v>
      </c>
      <c r="T331" s="7" t="s">
        <v>200</v>
      </c>
      <c r="U331" s="7" t="s">
        <v>1111</v>
      </c>
      <c r="V331" s="7" t="s">
        <v>202</v>
      </c>
      <c r="X331" s="2" t="str">
        <f>HYPERLINK("https://hsdes.intel.com/resource/14013117289","14013117289")</f>
        <v>14013117289</v>
      </c>
    </row>
    <row r="332" spans="1:24" x14ac:dyDescent="0.3">
      <c r="A332" s="2" t="str">
        <f>HYPERLINK("https://hsdes.intel.com/resource/14013175643","14013175643")</f>
        <v>14013175643</v>
      </c>
      <c r="B332" s="7" t="s">
        <v>1112</v>
      </c>
      <c r="C332" s="7" t="s">
        <v>2017</v>
      </c>
      <c r="D332" s="7" t="s">
        <v>138</v>
      </c>
      <c r="E332" s="7" t="s">
        <v>19</v>
      </c>
      <c r="F332" s="7" t="s">
        <v>20</v>
      </c>
      <c r="G332" s="28" t="s">
        <v>2027</v>
      </c>
      <c r="J332" s="7" t="s">
        <v>1974</v>
      </c>
      <c r="M332" s="6">
        <v>44783</v>
      </c>
      <c r="O332" s="7" t="s">
        <v>32</v>
      </c>
      <c r="P332" s="7" t="s">
        <v>78</v>
      </c>
      <c r="Q332" s="7" t="s">
        <v>34</v>
      </c>
      <c r="R332" s="7" t="s">
        <v>24</v>
      </c>
      <c r="S332" s="7" t="s">
        <v>1113</v>
      </c>
      <c r="T332" s="7" t="s">
        <v>244</v>
      </c>
      <c r="U332" s="7" t="s">
        <v>1114</v>
      </c>
      <c r="V332" s="7" t="s">
        <v>142</v>
      </c>
      <c r="X332" s="2" t="str">
        <f>HYPERLINK("https://hsdes.intel.com/resource/14013175643","14013175643")</f>
        <v>14013175643</v>
      </c>
    </row>
    <row r="333" spans="1:24" x14ac:dyDescent="0.3">
      <c r="A333" s="2" t="str">
        <f>HYPERLINK("https://hsdes.intel.com/resource/14013157206","14013157206")</f>
        <v>14013157206</v>
      </c>
      <c r="B333" s="7" t="s">
        <v>1115</v>
      </c>
      <c r="C333" s="7" t="s">
        <v>2017</v>
      </c>
      <c r="D333" s="7" t="s">
        <v>77</v>
      </c>
      <c r="E333" s="7" t="s">
        <v>19</v>
      </c>
      <c r="F333" s="7" t="s">
        <v>20</v>
      </c>
      <c r="G333" s="28" t="s">
        <v>2027</v>
      </c>
      <c r="J333" s="7" t="s">
        <v>2004</v>
      </c>
      <c r="M333" s="6">
        <v>44785</v>
      </c>
      <c r="O333" s="7" t="s">
        <v>104</v>
      </c>
      <c r="P333" s="7" t="s">
        <v>78</v>
      </c>
      <c r="Q333" s="7" t="s">
        <v>34</v>
      </c>
      <c r="R333" s="7" t="s">
        <v>24</v>
      </c>
      <c r="S333" s="7" t="s">
        <v>1116</v>
      </c>
      <c r="T333" s="7" t="s">
        <v>140</v>
      </c>
      <c r="U333" s="7" t="s">
        <v>1117</v>
      </c>
      <c r="V333" s="7" t="s">
        <v>81</v>
      </c>
      <c r="X333" s="2" t="str">
        <f>HYPERLINK("https://hsdes.intel.com/resource/14013157206","14013157206")</f>
        <v>14013157206</v>
      </c>
    </row>
    <row r="334" spans="1:24" x14ac:dyDescent="0.3">
      <c r="A334" s="5" t="str">
        <f>HYPERLINK("https://hsdes.intel.com/resource/14013119531","14013119531")</f>
        <v>14013119531</v>
      </c>
      <c r="B334" s="7" t="s">
        <v>1118</v>
      </c>
      <c r="C334" s="7" t="s">
        <v>2017</v>
      </c>
      <c r="D334" s="7" t="s">
        <v>275</v>
      </c>
      <c r="E334" s="7" t="s">
        <v>19</v>
      </c>
      <c r="F334" s="7" t="s">
        <v>20</v>
      </c>
      <c r="G334" s="28" t="s">
        <v>2027</v>
      </c>
      <c r="J334" s="7" t="s">
        <v>2004</v>
      </c>
      <c r="M334" s="6">
        <v>44785</v>
      </c>
      <c r="O334" s="7" t="s">
        <v>104</v>
      </c>
      <c r="P334" s="7" t="s">
        <v>78</v>
      </c>
      <c r="Q334" s="7" t="s">
        <v>34</v>
      </c>
      <c r="R334" s="7" t="s">
        <v>24</v>
      </c>
      <c r="S334" s="7" t="s">
        <v>1119</v>
      </c>
      <c r="T334" s="7" t="s">
        <v>244</v>
      </c>
      <c r="U334" s="7" t="s">
        <v>1120</v>
      </c>
      <c r="V334" s="7" t="s">
        <v>278</v>
      </c>
      <c r="X334" s="5" t="str">
        <f>HYPERLINK("https://hsdes.intel.com/resource/14013119531","14013119531")</f>
        <v>14013119531</v>
      </c>
    </row>
    <row r="335" spans="1:24" s="18" customFormat="1" x14ac:dyDescent="0.3">
      <c r="A335" s="17" t="str">
        <f>HYPERLINK("https://hsdes.intel.com/resource/16015007753","16015007753")</f>
        <v>16015007753</v>
      </c>
      <c r="B335" s="18" t="s">
        <v>1121</v>
      </c>
      <c r="C335" s="7" t="s">
        <v>2017</v>
      </c>
      <c r="D335" s="7" t="s">
        <v>144</v>
      </c>
      <c r="E335" s="7" t="s">
        <v>19</v>
      </c>
      <c r="F335" s="7" t="s">
        <v>20</v>
      </c>
      <c r="G335" s="28" t="s">
        <v>2027</v>
      </c>
      <c r="J335" s="7" t="s">
        <v>2006</v>
      </c>
      <c r="M335" s="6">
        <v>44783</v>
      </c>
      <c r="O335" s="18" t="s">
        <v>32</v>
      </c>
      <c r="P335" s="18" t="s">
        <v>146</v>
      </c>
      <c r="Q335" s="18" t="s">
        <v>34</v>
      </c>
      <c r="R335" s="18" t="s">
        <v>1122</v>
      </c>
      <c r="S335" s="18" t="s">
        <v>1123</v>
      </c>
      <c r="T335" s="18" t="s">
        <v>149</v>
      </c>
      <c r="U335" s="18" t="s">
        <v>1124</v>
      </c>
      <c r="V335" s="18" t="s">
        <v>1125</v>
      </c>
      <c r="X335" s="17" t="str">
        <f>HYPERLINK("https://hsdes.intel.com/resource/16015007753","16015007753")</f>
        <v>16015007753</v>
      </c>
    </row>
    <row r="336" spans="1:24" x14ac:dyDescent="0.3">
      <c r="A336" s="5" t="str">
        <f>HYPERLINK("https://hsdes.intel.com/resource/16013896948","16013896948")</f>
        <v>16013896948</v>
      </c>
      <c r="B336" s="7" t="s">
        <v>1126</v>
      </c>
      <c r="C336" s="7" t="s">
        <v>2017</v>
      </c>
      <c r="D336" s="7" t="s">
        <v>198</v>
      </c>
      <c r="E336" s="7" t="s">
        <v>19</v>
      </c>
      <c r="F336" s="7" t="s">
        <v>20</v>
      </c>
      <c r="G336" s="28" t="s">
        <v>2027</v>
      </c>
      <c r="J336" s="7" t="s">
        <v>2020</v>
      </c>
      <c r="M336" s="6">
        <v>44785</v>
      </c>
      <c r="O336" s="7" t="s">
        <v>32</v>
      </c>
      <c r="P336" s="7" t="s">
        <v>146</v>
      </c>
      <c r="Q336" s="7" t="s">
        <v>34</v>
      </c>
      <c r="R336" s="7" t="s">
        <v>147</v>
      </c>
      <c r="T336" s="7" t="s">
        <v>205</v>
      </c>
      <c r="U336" s="7" t="s">
        <v>1127</v>
      </c>
      <c r="X336" s="2" t="str">
        <f>HYPERLINK("https://hsdes.intel.com/resource/16013896948","16013896948")</f>
        <v>16013896948</v>
      </c>
    </row>
    <row r="337" spans="1:24" x14ac:dyDescent="0.3">
      <c r="A337" s="2" t="str">
        <f>HYPERLINK("https://hsdes.intel.com/resource/14013161609","14013161609")</f>
        <v>14013161609</v>
      </c>
      <c r="B337" s="7" t="s">
        <v>1128</v>
      </c>
      <c r="C337" s="7" t="s">
        <v>2017</v>
      </c>
      <c r="D337" s="7" t="s">
        <v>138</v>
      </c>
      <c r="E337" s="7" t="s">
        <v>19</v>
      </c>
      <c r="F337" s="7" t="s">
        <v>20</v>
      </c>
      <c r="G337" s="28" t="s">
        <v>2027</v>
      </c>
      <c r="J337" s="7" t="s">
        <v>31</v>
      </c>
      <c r="M337" s="6"/>
      <c r="O337" s="7" t="s">
        <v>32</v>
      </c>
      <c r="P337" s="7" t="s">
        <v>78</v>
      </c>
      <c r="Q337" s="7" t="s">
        <v>34</v>
      </c>
      <c r="R337" s="7" t="s">
        <v>147</v>
      </c>
      <c r="S337" s="7" t="s">
        <v>1129</v>
      </c>
      <c r="T337" s="7" t="s">
        <v>244</v>
      </c>
      <c r="U337" s="7" t="s">
        <v>1130</v>
      </c>
      <c r="V337" s="7" t="s">
        <v>142</v>
      </c>
      <c r="X337" s="2" t="str">
        <f>HYPERLINK("https://hsdes.intel.com/resource/14013161609","14013161609")</f>
        <v>14013161609</v>
      </c>
    </row>
    <row r="338" spans="1:24" x14ac:dyDescent="0.3">
      <c r="A338" s="2" t="str">
        <f>HYPERLINK("https://hsdes.intel.com/resource/14013166904","14013166904")</f>
        <v>14013166904</v>
      </c>
      <c r="B338" s="7" t="s">
        <v>1131</v>
      </c>
      <c r="C338" s="7" t="s">
        <v>1975</v>
      </c>
      <c r="D338" s="7" t="s">
        <v>1132</v>
      </c>
      <c r="E338" s="7" t="s">
        <v>19</v>
      </c>
      <c r="F338" s="7" t="s">
        <v>20</v>
      </c>
      <c r="G338" s="28" t="s">
        <v>2027</v>
      </c>
      <c r="J338" s="7" t="s">
        <v>2004</v>
      </c>
      <c r="L338" s="7" t="s">
        <v>1133</v>
      </c>
      <c r="M338" s="6"/>
      <c r="O338" s="7" t="s">
        <v>21</v>
      </c>
      <c r="P338" s="7" t="s">
        <v>146</v>
      </c>
      <c r="Q338" s="7" t="s">
        <v>34</v>
      </c>
      <c r="R338" s="7" t="s">
        <v>24</v>
      </c>
      <c r="S338" s="7" t="s">
        <v>1134</v>
      </c>
      <c r="T338" s="7" t="s">
        <v>244</v>
      </c>
      <c r="U338" s="7" t="s">
        <v>1135</v>
      </c>
      <c r="V338" s="7" t="s">
        <v>1136</v>
      </c>
      <c r="X338" s="2" t="str">
        <f>HYPERLINK("https://hsdes.intel.com/resource/14013166904","14013166904")</f>
        <v>14013166904</v>
      </c>
    </row>
    <row r="339" spans="1:24" x14ac:dyDescent="0.3">
      <c r="A339" s="2" t="str">
        <f>HYPERLINK("https://hsdes.intel.com/resource/14013180512","14013180512")</f>
        <v>14013180512</v>
      </c>
      <c r="B339" s="7" t="s">
        <v>1137</v>
      </c>
      <c r="C339" s="7" t="s">
        <v>2017</v>
      </c>
      <c r="D339" s="7" t="s">
        <v>144</v>
      </c>
      <c r="E339" s="7" t="s">
        <v>19</v>
      </c>
      <c r="F339" s="7" t="s">
        <v>20</v>
      </c>
      <c r="G339" s="28" t="s">
        <v>2027</v>
      </c>
      <c r="J339" s="7" t="s">
        <v>31</v>
      </c>
      <c r="M339" s="6"/>
      <c r="O339" s="7" t="s">
        <v>32</v>
      </c>
      <c r="P339" s="7" t="s">
        <v>146</v>
      </c>
      <c r="Q339" s="7" t="s">
        <v>34</v>
      </c>
      <c r="R339" s="7" t="s">
        <v>147</v>
      </c>
      <c r="S339" s="7" t="s">
        <v>1138</v>
      </c>
      <c r="T339" s="7" t="s">
        <v>149</v>
      </c>
      <c r="U339" s="7" t="s">
        <v>1139</v>
      </c>
      <c r="V339" s="7" t="s">
        <v>151</v>
      </c>
      <c r="X339" s="2" t="str">
        <f>HYPERLINK("https://hsdes.intel.com/resource/14013180512","14013180512")</f>
        <v>14013180512</v>
      </c>
    </row>
    <row r="340" spans="1:24" x14ac:dyDescent="0.3">
      <c r="A340" s="5" t="str">
        <f>HYPERLINK("https://hsdes.intel.com/resource/14013175503","14013175503")</f>
        <v>14013175503</v>
      </c>
      <c r="B340" s="7" t="s">
        <v>1140</v>
      </c>
      <c r="C340" s="7" t="s">
        <v>2017</v>
      </c>
      <c r="D340" s="7" t="s">
        <v>546</v>
      </c>
      <c r="E340" s="7" t="s">
        <v>19</v>
      </c>
      <c r="F340" s="7" t="s">
        <v>20</v>
      </c>
      <c r="G340" s="28" t="s">
        <v>2027</v>
      </c>
      <c r="J340" s="7" t="s">
        <v>2020</v>
      </c>
      <c r="L340" s="7" t="s">
        <v>2015</v>
      </c>
      <c r="M340" s="6">
        <v>44783</v>
      </c>
      <c r="O340" s="7" t="s">
        <v>32</v>
      </c>
      <c r="P340" s="7" t="s">
        <v>186</v>
      </c>
      <c r="Q340" s="7" t="s">
        <v>34</v>
      </c>
      <c r="R340" s="7" t="s">
        <v>147</v>
      </c>
      <c r="S340" s="7" t="s">
        <v>1141</v>
      </c>
      <c r="T340" s="7" t="s">
        <v>182</v>
      </c>
      <c r="U340" s="7" t="s">
        <v>1142</v>
      </c>
      <c r="V340" s="7" t="s">
        <v>189</v>
      </c>
      <c r="X340" s="3" t="str">
        <f>HYPERLINK("https://hsdes.intel.com/resource/14013175503","14013175503")</f>
        <v>14013175503</v>
      </c>
    </row>
    <row r="341" spans="1:24" x14ac:dyDescent="0.3">
      <c r="A341" s="2" t="str">
        <f>HYPERLINK("https://hsdes.intel.com/resource/14013161592","14013161592")</f>
        <v>14013161592</v>
      </c>
      <c r="B341" s="7" t="s">
        <v>1143</v>
      </c>
      <c r="C341" s="7" t="s">
        <v>2017</v>
      </c>
      <c r="D341" s="7" t="s">
        <v>843</v>
      </c>
      <c r="E341" s="7" t="s">
        <v>19</v>
      </c>
      <c r="F341" s="7" t="s">
        <v>20</v>
      </c>
      <c r="G341" s="28" t="s">
        <v>2027</v>
      </c>
      <c r="J341" s="7" t="s">
        <v>31</v>
      </c>
      <c r="M341" s="6"/>
      <c r="O341" s="7" t="s">
        <v>32</v>
      </c>
      <c r="P341" s="7" t="s">
        <v>22</v>
      </c>
      <c r="Q341" s="7" t="s">
        <v>34</v>
      </c>
      <c r="R341" s="7" t="s">
        <v>147</v>
      </c>
      <c r="S341" s="7" t="s">
        <v>1144</v>
      </c>
      <c r="T341" s="7" t="s">
        <v>45</v>
      </c>
      <c r="U341" s="7" t="s">
        <v>1145</v>
      </c>
      <c r="V341" s="7" t="s">
        <v>849</v>
      </c>
      <c r="X341" s="2" t="str">
        <f>HYPERLINK("https://hsdes.intel.com/resource/14013161592","14013161592")</f>
        <v>14013161592</v>
      </c>
    </row>
    <row r="342" spans="1:24" x14ac:dyDescent="0.3">
      <c r="A342" s="2" t="str">
        <f>HYPERLINK("https://hsdes.intel.com/resource/14013160106","14013160106")</f>
        <v>14013160106</v>
      </c>
      <c r="B342" s="7" t="s">
        <v>1146</v>
      </c>
      <c r="C342" s="7" t="s">
        <v>2017</v>
      </c>
      <c r="D342" s="7" t="s">
        <v>198</v>
      </c>
      <c r="E342" s="7" t="s">
        <v>19</v>
      </c>
      <c r="F342" s="7" t="s">
        <v>20</v>
      </c>
      <c r="G342" s="28" t="s">
        <v>2027</v>
      </c>
      <c r="J342" s="7" t="s">
        <v>1974</v>
      </c>
      <c r="L342" s="6"/>
      <c r="M342" s="6">
        <v>44785</v>
      </c>
      <c r="N342" s="6"/>
      <c r="O342" s="7" t="s">
        <v>32</v>
      </c>
      <c r="P342" s="7" t="s">
        <v>146</v>
      </c>
      <c r="Q342" s="7" t="s">
        <v>34</v>
      </c>
      <c r="R342" s="7" t="s">
        <v>147</v>
      </c>
      <c r="S342" s="7" t="s">
        <v>1147</v>
      </c>
      <c r="T342" s="7" t="s">
        <v>200</v>
      </c>
      <c r="U342" s="7" t="s">
        <v>1148</v>
      </c>
      <c r="V342" s="7" t="s">
        <v>202</v>
      </c>
      <c r="X342" s="2" t="str">
        <f>HYPERLINK("https://hsdes.intel.com/resource/14013160106","14013160106")</f>
        <v>14013160106</v>
      </c>
    </row>
    <row r="343" spans="1:24" x14ac:dyDescent="0.3">
      <c r="A343" s="5" t="str">
        <f>HYPERLINK("https://hsdes.intel.com/resource/14013179183","14013179183")</f>
        <v>14013179183</v>
      </c>
      <c r="B343" s="7" t="s">
        <v>1149</v>
      </c>
      <c r="C343" s="7" t="s">
        <v>2017</v>
      </c>
      <c r="D343" s="7" t="s">
        <v>238</v>
      </c>
      <c r="E343" s="7" t="s">
        <v>19</v>
      </c>
      <c r="F343" s="7" t="s">
        <v>20</v>
      </c>
      <c r="G343" s="28" t="s">
        <v>2027</v>
      </c>
      <c r="J343" s="7" t="s">
        <v>2020</v>
      </c>
      <c r="L343" s="7" t="s">
        <v>1988</v>
      </c>
      <c r="M343" s="6">
        <v>44783</v>
      </c>
      <c r="O343" s="7" t="s">
        <v>32</v>
      </c>
      <c r="P343" s="7" t="s">
        <v>186</v>
      </c>
      <c r="Q343" s="7" t="s">
        <v>23</v>
      </c>
      <c r="R343" s="7" t="s">
        <v>147</v>
      </c>
      <c r="S343" s="7" t="s">
        <v>1150</v>
      </c>
      <c r="T343" s="7" t="s">
        <v>485</v>
      </c>
      <c r="U343" s="7" t="s">
        <v>1151</v>
      </c>
      <c r="V343" s="7" t="s">
        <v>189</v>
      </c>
      <c r="X343" s="2" t="str">
        <f>HYPERLINK("https://hsdes.intel.com/resource/14013179183","14013179183")</f>
        <v>14013179183</v>
      </c>
    </row>
    <row r="344" spans="1:24" x14ac:dyDescent="0.3">
      <c r="A344" s="2" t="str">
        <f>HYPERLINK("https://hsdes.intel.com/resource/14013184407","14013184407")</f>
        <v>14013184407</v>
      </c>
      <c r="B344" s="7" t="s">
        <v>1152</v>
      </c>
      <c r="C344" s="7" t="s">
        <v>2017</v>
      </c>
      <c r="D344" s="7" t="s">
        <v>238</v>
      </c>
      <c r="E344" s="7" t="s">
        <v>19</v>
      </c>
      <c r="F344" s="7" t="s">
        <v>20</v>
      </c>
      <c r="G344" s="28" t="s">
        <v>2027</v>
      </c>
      <c r="J344" s="7" t="s">
        <v>2020</v>
      </c>
      <c r="M344" s="6">
        <v>44783</v>
      </c>
      <c r="O344" s="7" t="s">
        <v>32</v>
      </c>
      <c r="P344" s="7" t="s">
        <v>186</v>
      </c>
      <c r="Q344" s="7" t="s">
        <v>23</v>
      </c>
      <c r="R344" s="7" t="s">
        <v>147</v>
      </c>
      <c r="S344" s="7" t="s">
        <v>1153</v>
      </c>
      <c r="T344" s="7" t="s">
        <v>485</v>
      </c>
      <c r="U344" s="7" t="s">
        <v>1154</v>
      </c>
      <c r="V344" s="7" t="s">
        <v>189</v>
      </c>
      <c r="X344" s="5" t="str">
        <f>HYPERLINK("https://hsdes.intel.com/resource/14013184407","14013184407")</f>
        <v>14013184407</v>
      </c>
    </row>
    <row r="345" spans="1:24" x14ac:dyDescent="0.3">
      <c r="A345" s="2" t="str">
        <f>HYPERLINK("https://hsdes.intel.com/resource/14013185476","14013185476")</f>
        <v>14013185476</v>
      </c>
      <c r="B345" s="7" t="s">
        <v>1155</v>
      </c>
      <c r="C345" s="7" t="s">
        <v>2017</v>
      </c>
      <c r="D345" s="7" t="s">
        <v>238</v>
      </c>
      <c r="E345" s="7" t="s">
        <v>19</v>
      </c>
      <c r="F345" s="7" t="s">
        <v>20</v>
      </c>
      <c r="G345" s="28" t="s">
        <v>2027</v>
      </c>
      <c r="J345" s="7" t="s">
        <v>2020</v>
      </c>
      <c r="M345" s="6">
        <v>44783</v>
      </c>
      <c r="O345" s="7" t="s">
        <v>32</v>
      </c>
      <c r="P345" s="7" t="s">
        <v>186</v>
      </c>
      <c r="Q345" s="7" t="s">
        <v>23</v>
      </c>
      <c r="R345" s="7" t="s">
        <v>147</v>
      </c>
      <c r="S345" s="7" t="s">
        <v>1156</v>
      </c>
      <c r="T345" s="7" t="s">
        <v>485</v>
      </c>
      <c r="U345" s="7" t="s">
        <v>1157</v>
      </c>
      <c r="V345" s="7" t="s">
        <v>189</v>
      </c>
      <c r="X345" s="2" t="str">
        <f>HYPERLINK("https://hsdes.intel.com/resource/14013185476","14013185476")</f>
        <v>14013185476</v>
      </c>
    </row>
    <row r="346" spans="1:24" x14ac:dyDescent="0.3">
      <c r="A346" s="5" t="str">
        <f>HYPERLINK("https://hsdes.intel.com/resource/14013174141","14013174141")</f>
        <v>14013174141</v>
      </c>
      <c r="B346" s="7" t="s">
        <v>1158</v>
      </c>
      <c r="C346" s="7" t="s">
        <v>2017</v>
      </c>
      <c r="D346" s="7" t="s">
        <v>546</v>
      </c>
      <c r="E346" s="7" t="s">
        <v>19</v>
      </c>
      <c r="F346" s="7" t="s">
        <v>20</v>
      </c>
      <c r="G346" s="28" t="s">
        <v>2027</v>
      </c>
      <c r="J346" s="7" t="s">
        <v>2020</v>
      </c>
      <c r="M346" s="6">
        <v>44785</v>
      </c>
      <c r="O346" s="7" t="s">
        <v>32</v>
      </c>
      <c r="P346" s="7" t="s">
        <v>186</v>
      </c>
      <c r="Q346" s="7" t="s">
        <v>34</v>
      </c>
      <c r="R346" s="7" t="s">
        <v>147</v>
      </c>
      <c r="S346" s="7" t="s">
        <v>1159</v>
      </c>
      <c r="T346" s="7" t="s">
        <v>177</v>
      </c>
      <c r="U346" s="7" t="s">
        <v>1160</v>
      </c>
      <c r="V346" s="7" t="s">
        <v>189</v>
      </c>
      <c r="X346" s="5" t="str">
        <f>HYPERLINK("https://hsdes.intel.com/resource/14013174141","14013174141")</f>
        <v>14013174141</v>
      </c>
    </row>
    <row r="347" spans="1:24" x14ac:dyDescent="0.3">
      <c r="A347" s="3" t="str">
        <f>HYPERLINK("https://hsdes.intel.com/resource/14013174746","14013174746")</f>
        <v>14013174746</v>
      </c>
      <c r="B347" s="7" t="s">
        <v>1161</v>
      </c>
      <c r="C347" s="7" t="s">
        <v>2017</v>
      </c>
      <c r="D347" s="7" t="s">
        <v>546</v>
      </c>
      <c r="E347" s="7" t="s">
        <v>19</v>
      </c>
      <c r="F347" s="7" t="s">
        <v>20</v>
      </c>
      <c r="G347" s="28" t="s">
        <v>2027</v>
      </c>
      <c r="J347" s="7" t="s">
        <v>2020</v>
      </c>
      <c r="M347" s="6">
        <v>44784</v>
      </c>
      <c r="O347" s="7" t="s">
        <v>32</v>
      </c>
      <c r="P347" s="7" t="s">
        <v>186</v>
      </c>
      <c r="Q347" s="7" t="s">
        <v>34</v>
      </c>
      <c r="R347" s="7" t="s">
        <v>147</v>
      </c>
      <c r="S347" s="7" t="s">
        <v>1162</v>
      </c>
      <c r="T347" s="7" t="s">
        <v>182</v>
      </c>
      <c r="U347" s="7" t="s">
        <v>1163</v>
      </c>
      <c r="V347" s="7" t="s">
        <v>189</v>
      </c>
      <c r="X347" s="5" t="str">
        <f>HYPERLINK("https://hsdes.intel.com/resource/14013174746","14013174746")</f>
        <v>14013174746</v>
      </c>
    </row>
    <row r="348" spans="1:24" x14ac:dyDescent="0.3">
      <c r="A348" s="5" t="str">
        <f>HYPERLINK("https://hsdes.intel.com/resource/22011834541","22011834541")</f>
        <v>22011834541</v>
      </c>
      <c r="B348" s="7" t="s">
        <v>1164</v>
      </c>
      <c r="C348" s="7" t="s">
        <v>2017</v>
      </c>
      <c r="D348" s="7" t="s">
        <v>546</v>
      </c>
      <c r="E348" s="7" t="s">
        <v>19</v>
      </c>
      <c r="F348" s="7" t="s">
        <v>20</v>
      </c>
      <c r="G348" s="28" t="s">
        <v>2027</v>
      </c>
      <c r="J348" s="7" t="s">
        <v>2020</v>
      </c>
      <c r="M348" s="6">
        <v>44783</v>
      </c>
      <c r="N348" s="6"/>
      <c r="O348" s="7" t="s">
        <v>32</v>
      </c>
      <c r="P348" s="7" t="s">
        <v>186</v>
      </c>
      <c r="Q348" s="7" t="s">
        <v>34</v>
      </c>
      <c r="R348" s="7" t="s">
        <v>147</v>
      </c>
      <c r="S348" s="7" t="s">
        <v>1165</v>
      </c>
      <c r="T348" s="7" t="s">
        <v>177</v>
      </c>
      <c r="U348" s="7" t="s">
        <v>1166</v>
      </c>
      <c r="V348" s="7" t="s">
        <v>189</v>
      </c>
      <c r="X348" s="5" t="str">
        <f>HYPERLINK("https://hsdes.intel.com/resource/22011834541","22011834541")</f>
        <v>22011834541</v>
      </c>
    </row>
    <row r="349" spans="1:24" x14ac:dyDescent="0.3">
      <c r="A349" s="2" t="str">
        <f>HYPERLINK("https://hsdes.intel.com/resource/16012652857","16012652857")</f>
        <v>16012652857</v>
      </c>
      <c r="B349" s="7" t="s">
        <v>1167</v>
      </c>
      <c r="C349" s="7" t="s">
        <v>2017</v>
      </c>
      <c r="D349" s="7" t="s">
        <v>546</v>
      </c>
      <c r="E349" s="7" t="s">
        <v>19</v>
      </c>
      <c r="F349" s="7" t="s">
        <v>20</v>
      </c>
      <c r="G349" s="28" t="s">
        <v>2027</v>
      </c>
      <c r="J349" s="7" t="s">
        <v>1974</v>
      </c>
      <c r="M349" s="6">
        <v>44785</v>
      </c>
      <c r="O349" s="7" t="s">
        <v>104</v>
      </c>
      <c r="P349" s="7" t="s">
        <v>186</v>
      </c>
      <c r="Q349" s="7" t="s">
        <v>23</v>
      </c>
      <c r="R349" s="7" t="s">
        <v>147</v>
      </c>
      <c r="T349" s="7" t="s">
        <v>177</v>
      </c>
      <c r="U349" s="7" t="s">
        <v>1168</v>
      </c>
      <c r="V349" s="7" t="s">
        <v>189</v>
      </c>
      <c r="X349" s="2" t="str">
        <f>HYPERLINK("https://hsdes.intel.com/resource/16012652857","16012652857")</f>
        <v>16012652857</v>
      </c>
    </row>
    <row r="350" spans="1:24" x14ac:dyDescent="0.3">
      <c r="A350" s="2" t="str">
        <f>HYPERLINK("https://hsdes.intel.com/resource/16012513146","16012513146")</f>
        <v>16012513146</v>
      </c>
      <c r="B350" s="7" t="s">
        <v>1169</v>
      </c>
      <c r="C350" s="7" t="s">
        <v>2017</v>
      </c>
      <c r="D350" s="7" t="s">
        <v>546</v>
      </c>
      <c r="E350" s="7" t="s">
        <v>19</v>
      </c>
      <c r="F350" s="7" t="s">
        <v>20</v>
      </c>
      <c r="G350" s="28" t="s">
        <v>2027</v>
      </c>
      <c r="J350" s="7" t="s">
        <v>1974</v>
      </c>
      <c r="M350" s="6">
        <v>44785</v>
      </c>
      <c r="O350" s="7" t="s">
        <v>32</v>
      </c>
      <c r="P350" s="7" t="s">
        <v>186</v>
      </c>
      <c r="Q350" s="7" t="s">
        <v>23</v>
      </c>
      <c r="R350" s="7" t="s">
        <v>147</v>
      </c>
      <c r="T350" s="7" t="s">
        <v>177</v>
      </c>
      <c r="U350" s="7" t="s">
        <v>1170</v>
      </c>
      <c r="V350" s="7" t="s">
        <v>189</v>
      </c>
      <c r="X350" s="2" t="str">
        <f>HYPERLINK("https://hsdes.intel.com/resource/16012513146","16012513146")</f>
        <v>16012513146</v>
      </c>
    </row>
    <row r="351" spans="1:24" x14ac:dyDescent="0.3">
      <c r="A351" s="2" t="str">
        <f>HYPERLINK("https://hsdes.intel.com/resource/22011834634","22011834634")</f>
        <v>22011834634</v>
      </c>
      <c r="B351" s="7" t="s">
        <v>1171</v>
      </c>
      <c r="C351" s="7" t="s">
        <v>2017</v>
      </c>
      <c r="D351" s="7" t="s">
        <v>546</v>
      </c>
      <c r="E351" s="7" t="s">
        <v>19</v>
      </c>
      <c r="F351" s="7" t="s">
        <v>20</v>
      </c>
      <c r="G351" s="28" t="s">
        <v>2027</v>
      </c>
      <c r="J351" s="7" t="s">
        <v>1974</v>
      </c>
      <c r="M351" s="6">
        <v>44785</v>
      </c>
      <c r="O351" s="7" t="s">
        <v>32</v>
      </c>
      <c r="P351" s="7" t="s">
        <v>186</v>
      </c>
      <c r="Q351" s="7" t="s">
        <v>34</v>
      </c>
      <c r="R351" s="7" t="s">
        <v>147</v>
      </c>
      <c r="S351" s="7" t="s">
        <v>1172</v>
      </c>
      <c r="T351" s="7" t="s">
        <v>293</v>
      </c>
      <c r="U351" s="7" t="s">
        <v>1173</v>
      </c>
      <c r="V351" s="7" t="s">
        <v>189</v>
      </c>
      <c r="X351" s="2" t="str">
        <f>HYPERLINK("https://hsdes.intel.com/resource/22011834634","22011834634")</f>
        <v>22011834634</v>
      </c>
    </row>
    <row r="352" spans="1:24" x14ac:dyDescent="0.3">
      <c r="A352" s="2" t="str">
        <f>HYPERLINK("https://hsdes.intel.com/resource/22011834637","22011834637")</f>
        <v>22011834637</v>
      </c>
      <c r="B352" s="7" t="s">
        <v>1174</v>
      </c>
      <c r="C352" s="7" t="s">
        <v>1975</v>
      </c>
      <c r="D352" s="7" t="s">
        <v>546</v>
      </c>
      <c r="E352" s="7" t="s">
        <v>19</v>
      </c>
      <c r="F352" s="7" t="s">
        <v>20</v>
      </c>
      <c r="G352" s="28" t="s">
        <v>2027</v>
      </c>
      <c r="J352" s="7" t="s">
        <v>2020</v>
      </c>
      <c r="L352" s="7" t="s">
        <v>569</v>
      </c>
      <c r="M352" s="6"/>
      <c r="O352" s="7" t="s">
        <v>32</v>
      </c>
      <c r="P352" s="7" t="s">
        <v>186</v>
      </c>
      <c r="Q352" s="7" t="s">
        <v>34</v>
      </c>
      <c r="R352" s="7" t="s">
        <v>147</v>
      </c>
      <c r="S352" s="7" t="s">
        <v>1175</v>
      </c>
      <c r="T352" s="7" t="s">
        <v>1016</v>
      </c>
      <c r="U352" s="7" t="s">
        <v>1176</v>
      </c>
      <c r="V352" s="7" t="s">
        <v>189</v>
      </c>
      <c r="X352" s="2" t="str">
        <f>HYPERLINK("https://hsdes.intel.com/resource/22011834637","22011834637")</f>
        <v>22011834637</v>
      </c>
    </row>
    <row r="353" spans="1:24" x14ac:dyDescent="0.3">
      <c r="A353" s="2" t="str">
        <f>HYPERLINK("https://hsdes.intel.com/resource/14013185851","14013185851")</f>
        <v>14013185851</v>
      </c>
      <c r="B353" s="7" t="s">
        <v>1177</v>
      </c>
      <c r="C353" s="7" t="s">
        <v>2017</v>
      </c>
      <c r="D353" s="7" t="s">
        <v>198</v>
      </c>
      <c r="E353" s="7" t="s">
        <v>19</v>
      </c>
      <c r="F353" s="7" t="s">
        <v>20</v>
      </c>
      <c r="G353" s="28" t="s">
        <v>2027</v>
      </c>
      <c r="J353" s="7" t="s">
        <v>1974</v>
      </c>
      <c r="M353" s="6">
        <v>44785</v>
      </c>
      <c r="O353" s="7" t="s">
        <v>32</v>
      </c>
      <c r="P353" s="7" t="s">
        <v>146</v>
      </c>
      <c r="Q353" s="7" t="s">
        <v>34</v>
      </c>
      <c r="R353" s="7" t="s">
        <v>147</v>
      </c>
      <c r="S353" s="7" t="s">
        <v>1178</v>
      </c>
      <c r="T353" s="7" t="s">
        <v>205</v>
      </c>
      <c r="U353" s="7" t="s">
        <v>1179</v>
      </c>
      <c r="V353" s="7" t="s">
        <v>202</v>
      </c>
      <c r="X353" s="2" t="str">
        <f>HYPERLINK("https://hsdes.intel.com/resource/14013185851","14013185851")</f>
        <v>14013185851</v>
      </c>
    </row>
    <row r="354" spans="1:24" x14ac:dyDescent="0.3">
      <c r="A354" s="5" t="str">
        <f>HYPERLINK("https://hsdes.intel.com/resource/14013185855","14013185855")</f>
        <v>14013185855</v>
      </c>
      <c r="B354" s="7" t="s">
        <v>1180</v>
      </c>
      <c r="C354" s="7" t="s">
        <v>2017</v>
      </c>
      <c r="D354" s="7" t="s">
        <v>198</v>
      </c>
      <c r="E354" s="7" t="s">
        <v>19</v>
      </c>
      <c r="F354" s="7" t="s">
        <v>20</v>
      </c>
      <c r="G354" s="28" t="s">
        <v>2027</v>
      </c>
      <c r="J354" s="7" t="s">
        <v>1974</v>
      </c>
      <c r="M354" s="6">
        <v>44785</v>
      </c>
      <c r="O354" s="7" t="s">
        <v>32</v>
      </c>
      <c r="P354" s="7" t="s">
        <v>146</v>
      </c>
      <c r="Q354" s="7" t="s">
        <v>23</v>
      </c>
      <c r="R354" s="7" t="s">
        <v>147</v>
      </c>
      <c r="S354" s="7" t="s">
        <v>1181</v>
      </c>
      <c r="T354" s="7" t="s">
        <v>205</v>
      </c>
      <c r="U354" s="7" t="s">
        <v>1182</v>
      </c>
      <c r="V354" s="7" t="s">
        <v>202</v>
      </c>
      <c r="X354" s="2" t="str">
        <f>HYPERLINK("https://hsdes.intel.com/resource/14013185855","14013185855")</f>
        <v>14013185855</v>
      </c>
    </row>
    <row r="355" spans="1:24" x14ac:dyDescent="0.3">
      <c r="A355" s="2" t="str">
        <f>HYPERLINK("https://hsdes.intel.com/resource/14013185853","14013185853")</f>
        <v>14013185853</v>
      </c>
      <c r="B355" s="7" t="s">
        <v>1183</v>
      </c>
      <c r="C355" s="7" t="s">
        <v>2017</v>
      </c>
      <c r="D355" s="7" t="s">
        <v>198</v>
      </c>
      <c r="E355" s="7" t="s">
        <v>19</v>
      </c>
      <c r="F355" s="7" t="s">
        <v>20</v>
      </c>
      <c r="G355" s="28" t="s">
        <v>2027</v>
      </c>
      <c r="J355" s="7" t="s">
        <v>1974</v>
      </c>
      <c r="M355" s="6">
        <v>44785</v>
      </c>
      <c r="O355" s="7" t="s">
        <v>32</v>
      </c>
      <c r="P355" s="7" t="s">
        <v>146</v>
      </c>
      <c r="Q355" s="7" t="s">
        <v>34</v>
      </c>
      <c r="R355" s="7" t="s">
        <v>147</v>
      </c>
      <c r="S355" s="7" t="s">
        <v>1184</v>
      </c>
      <c r="T355" s="7" t="s">
        <v>205</v>
      </c>
      <c r="U355" s="7" t="s">
        <v>1185</v>
      </c>
      <c r="V355" s="7" t="s">
        <v>202</v>
      </c>
      <c r="X355" s="2" t="str">
        <f>HYPERLINK("https://hsdes.intel.com/resource/14013185853","14013185853")</f>
        <v>14013185853</v>
      </c>
    </row>
    <row r="356" spans="1:24" x14ac:dyDescent="0.3">
      <c r="A356" s="2" t="str">
        <f>HYPERLINK("https://hsdes.intel.com/resource/14013184329","14013184329")</f>
        <v>14013184329</v>
      </c>
      <c r="B356" s="7" t="s">
        <v>1186</v>
      </c>
      <c r="C356" s="7" t="s">
        <v>2017</v>
      </c>
      <c r="D356" s="7" t="s">
        <v>198</v>
      </c>
      <c r="E356" s="7" t="s">
        <v>19</v>
      </c>
      <c r="F356" s="7" t="s">
        <v>20</v>
      </c>
      <c r="G356" s="28" t="s">
        <v>2027</v>
      </c>
      <c r="J356" s="7" t="s">
        <v>2004</v>
      </c>
      <c r="L356" s="6"/>
      <c r="M356" s="6">
        <v>44785</v>
      </c>
      <c r="O356" s="7" t="s">
        <v>32</v>
      </c>
      <c r="P356" s="7" t="s">
        <v>146</v>
      </c>
      <c r="Q356" s="7" t="s">
        <v>23</v>
      </c>
      <c r="R356" s="7" t="s">
        <v>147</v>
      </c>
      <c r="S356" s="7" t="s">
        <v>1187</v>
      </c>
      <c r="T356" s="7" t="s">
        <v>205</v>
      </c>
      <c r="U356" s="7" t="s">
        <v>1188</v>
      </c>
      <c r="V356" s="7" t="s">
        <v>202</v>
      </c>
      <c r="X356" s="2" t="str">
        <f>HYPERLINK("https://hsdes.intel.com/resource/14013184329","14013184329")</f>
        <v>14013184329</v>
      </c>
    </row>
    <row r="357" spans="1:24" x14ac:dyDescent="0.3">
      <c r="A357" s="2" t="str">
        <f>HYPERLINK("https://hsdes.intel.com/resource/14013184264","14013184264")</f>
        <v>14013184264</v>
      </c>
      <c r="B357" s="7" t="s">
        <v>1189</v>
      </c>
      <c r="C357" s="7" t="s">
        <v>2017</v>
      </c>
      <c r="D357" s="7" t="s">
        <v>198</v>
      </c>
      <c r="E357" s="7" t="s">
        <v>19</v>
      </c>
      <c r="F357" s="7" t="s">
        <v>20</v>
      </c>
      <c r="G357" s="28" t="s">
        <v>2027</v>
      </c>
      <c r="J357" s="7" t="s">
        <v>2004</v>
      </c>
      <c r="M357" s="6">
        <v>44785</v>
      </c>
      <c r="O357" s="7" t="s">
        <v>32</v>
      </c>
      <c r="P357" s="7" t="s">
        <v>146</v>
      </c>
      <c r="Q357" s="7" t="s">
        <v>34</v>
      </c>
      <c r="R357" s="7" t="s">
        <v>147</v>
      </c>
      <c r="S357" s="7" t="s">
        <v>1190</v>
      </c>
      <c r="T357" s="7" t="s">
        <v>961</v>
      </c>
      <c r="U357" s="7" t="s">
        <v>1191</v>
      </c>
      <c r="V357" s="7" t="s">
        <v>202</v>
      </c>
      <c r="X357" s="2" t="str">
        <f>HYPERLINK("https://hsdes.intel.com/resource/14013184264","14013184264")</f>
        <v>14013184264</v>
      </c>
    </row>
    <row r="358" spans="1:24" x14ac:dyDescent="0.3">
      <c r="A358" s="2" t="str">
        <f>HYPERLINK("https://hsdes.intel.com/resource/14013184303","14013184303")</f>
        <v>14013184303</v>
      </c>
      <c r="B358" s="7" t="s">
        <v>1192</v>
      </c>
      <c r="C358" s="7" t="s">
        <v>2017</v>
      </c>
      <c r="D358" s="7" t="s">
        <v>198</v>
      </c>
      <c r="E358" s="7" t="s">
        <v>19</v>
      </c>
      <c r="F358" s="7" t="s">
        <v>20</v>
      </c>
      <c r="G358" s="28" t="s">
        <v>2027</v>
      </c>
      <c r="J358" s="7" t="s">
        <v>2004</v>
      </c>
      <c r="M358" s="6">
        <v>44785</v>
      </c>
      <c r="O358" s="7" t="s">
        <v>32</v>
      </c>
      <c r="P358" s="7" t="s">
        <v>146</v>
      </c>
      <c r="Q358" s="7" t="s">
        <v>23</v>
      </c>
      <c r="R358" s="7" t="s">
        <v>147</v>
      </c>
      <c r="S358" s="7" t="s">
        <v>1193</v>
      </c>
      <c r="T358" s="7" t="s">
        <v>205</v>
      </c>
      <c r="U358" s="7" t="s">
        <v>1194</v>
      </c>
      <c r="V358" s="7" t="s">
        <v>202</v>
      </c>
      <c r="X358" s="2" t="str">
        <f>HYPERLINK("https://hsdes.intel.com/resource/14013184303","14013184303")</f>
        <v>14013184303</v>
      </c>
    </row>
    <row r="359" spans="1:24" x14ac:dyDescent="0.3">
      <c r="A359" s="2" t="str">
        <f>HYPERLINK("https://hsdes.intel.com/resource/14013160694","14013160694")</f>
        <v>14013160694</v>
      </c>
      <c r="B359" s="7" t="s">
        <v>1195</v>
      </c>
      <c r="C359" s="7" t="s">
        <v>2017</v>
      </c>
      <c r="D359" s="7" t="s">
        <v>198</v>
      </c>
      <c r="E359" s="7" t="s">
        <v>19</v>
      </c>
      <c r="F359" s="7" t="s">
        <v>20</v>
      </c>
      <c r="G359" s="28" t="s">
        <v>2027</v>
      </c>
      <c r="J359" s="7" t="s">
        <v>2004</v>
      </c>
      <c r="M359" s="6">
        <v>44785</v>
      </c>
      <c r="O359" s="7" t="s">
        <v>32</v>
      </c>
      <c r="P359" s="7" t="s">
        <v>146</v>
      </c>
      <c r="Q359" s="7" t="s">
        <v>23</v>
      </c>
      <c r="R359" s="7" t="s">
        <v>147</v>
      </c>
      <c r="S359" s="7" t="s">
        <v>1196</v>
      </c>
      <c r="T359" s="7" t="s">
        <v>205</v>
      </c>
      <c r="U359" s="7" t="s">
        <v>1197</v>
      </c>
      <c r="V359" s="7" t="s">
        <v>202</v>
      </c>
      <c r="X359" s="2" t="str">
        <f>HYPERLINK("https://hsdes.intel.com/resource/14013160694","14013160694")</f>
        <v>14013160694</v>
      </c>
    </row>
    <row r="360" spans="1:24" x14ac:dyDescent="0.3">
      <c r="A360" s="2" t="str">
        <f>HYPERLINK("https://hsdes.intel.com/resource/14013186483","14013186483")</f>
        <v>14013186483</v>
      </c>
      <c r="B360" s="7" t="s">
        <v>1195</v>
      </c>
      <c r="C360" s="7" t="s">
        <v>2017</v>
      </c>
      <c r="D360" s="7" t="s">
        <v>198</v>
      </c>
      <c r="E360" s="7" t="s">
        <v>19</v>
      </c>
      <c r="F360" s="7" t="s">
        <v>20</v>
      </c>
      <c r="G360" s="28" t="s">
        <v>2027</v>
      </c>
      <c r="J360" s="7" t="s">
        <v>2004</v>
      </c>
      <c r="M360" s="6">
        <v>44785</v>
      </c>
      <c r="O360" s="7" t="s">
        <v>32</v>
      </c>
      <c r="P360" s="7" t="s">
        <v>146</v>
      </c>
      <c r="Q360" s="7" t="s">
        <v>23</v>
      </c>
      <c r="R360" s="7" t="s">
        <v>147</v>
      </c>
      <c r="S360" s="7" t="s">
        <v>1198</v>
      </c>
      <c r="T360" s="7" t="s">
        <v>205</v>
      </c>
      <c r="U360" s="7" t="s">
        <v>1199</v>
      </c>
      <c r="V360" s="7" t="s">
        <v>202</v>
      </c>
      <c r="X360" s="2" t="str">
        <f>HYPERLINK("https://hsdes.intel.com/resource/14013186483","14013186483")</f>
        <v>14013186483</v>
      </c>
    </row>
    <row r="361" spans="1:24" x14ac:dyDescent="0.3">
      <c r="A361" s="2" t="str">
        <f>HYPERLINK("https://hsdes.intel.com/resource/14013160697","14013160697")</f>
        <v>14013160697</v>
      </c>
      <c r="B361" s="7" t="s">
        <v>1200</v>
      </c>
      <c r="C361" s="7" t="s">
        <v>2017</v>
      </c>
      <c r="D361" s="7" t="s">
        <v>198</v>
      </c>
      <c r="E361" s="7" t="s">
        <v>19</v>
      </c>
      <c r="F361" s="7" t="s">
        <v>20</v>
      </c>
      <c r="G361" s="28" t="s">
        <v>2027</v>
      </c>
      <c r="J361" s="7" t="s">
        <v>2004</v>
      </c>
      <c r="M361" s="6">
        <v>44785</v>
      </c>
      <c r="O361" s="7" t="s">
        <v>32</v>
      </c>
      <c r="P361" s="7" t="s">
        <v>146</v>
      </c>
      <c r="Q361" s="7" t="s">
        <v>34</v>
      </c>
      <c r="R361" s="7" t="s">
        <v>147</v>
      </c>
      <c r="S361" s="7" t="s">
        <v>1201</v>
      </c>
      <c r="T361" s="7" t="s">
        <v>205</v>
      </c>
      <c r="U361" s="7" t="s">
        <v>1202</v>
      </c>
      <c r="V361" s="7" t="s">
        <v>202</v>
      </c>
      <c r="X361" s="2" t="str">
        <f>HYPERLINK("https://hsdes.intel.com/resource/14013160697","14013160697")</f>
        <v>14013160697</v>
      </c>
    </row>
    <row r="362" spans="1:24" x14ac:dyDescent="0.3">
      <c r="A362" s="2" t="str">
        <f>HYPERLINK("https://hsdes.intel.com/resource/14013160698","14013160698")</f>
        <v>14013160698</v>
      </c>
      <c r="B362" s="7" t="s">
        <v>1203</v>
      </c>
      <c r="C362" s="7" t="s">
        <v>2017</v>
      </c>
      <c r="D362" s="7" t="s">
        <v>198</v>
      </c>
      <c r="E362" s="7" t="s">
        <v>19</v>
      </c>
      <c r="F362" s="7" t="s">
        <v>20</v>
      </c>
      <c r="G362" s="28" t="s">
        <v>2027</v>
      </c>
      <c r="J362" s="7" t="s">
        <v>1974</v>
      </c>
      <c r="M362" s="6">
        <v>44785</v>
      </c>
      <c r="O362" s="7" t="s">
        <v>32</v>
      </c>
      <c r="P362" s="7" t="s">
        <v>146</v>
      </c>
      <c r="Q362" s="7" t="s">
        <v>34</v>
      </c>
      <c r="R362" s="7" t="s">
        <v>147</v>
      </c>
      <c r="S362" s="7" t="s">
        <v>1204</v>
      </c>
      <c r="T362" s="7" t="s">
        <v>205</v>
      </c>
      <c r="U362" s="7" t="s">
        <v>1205</v>
      </c>
      <c r="V362" s="7" t="s">
        <v>202</v>
      </c>
      <c r="X362" s="2" t="str">
        <f>HYPERLINK("https://hsdes.intel.com/resource/14013160698","14013160698")</f>
        <v>14013160698</v>
      </c>
    </row>
    <row r="363" spans="1:24" x14ac:dyDescent="0.3">
      <c r="A363" s="5" t="str">
        <f>HYPERLINK("https://hsdes.intel.com/resource/14013156689","14013156689")</f>
        <v>14013156689</v>
      </c>
      <c r="B363" s="7" t="s">
        <v>1206</v>
      </c>
      <c r="C363" s="7" t="s">
        <v>2017</v>
      </c>
      <c r="D363" s="7" t="s">
        <v>198</v>
      </c>
      <c r="E363" s="7" t="s">
        <v>19</v>
      </c>
      <c r="F363" s="7" t="s">
        <v>20</v>
      </c>
      <c r="G363" s="28" t="s">
        <v>2027</v>
      </c>
      <c r="J363" s="7" t="s">
        <v>2004</v>
      </c>
      <c r="M363" s="6">
        <v>44785</v>
      </c>
      <c r="O363" s="7" t="s">
        <v>104</v>
      </c>
      <c r="P363" s="7" t="s">
        <v>146</v>
      </c>
      <c r="Q363" s="7" t="s">
        <v>34</v>
      </c>
      <c r="R363" s="7" t="s">
        <v>147</v>
      </c>
      <c r="S363" s="7" t="s">
        <v>1207</v>
      </c>
      <c r="T363" s="7" t="s">
        <v>205</v>
      </c>
      <c r="U363" s="7" t="s">
        <v>1208</v>
      </c>
      <c r="V363" s="7" t="s">
        <v>202</v>
      </c>
      <c r="X363" s="2" t="str">
        <f>HYPERLINK("https://hsdes.intel.com/resource/14013156689","14013156689")</f>
        <v>14013156689</v>
      </c>
    </row>
    <row r="364" spans="1:24" x14ac:dyDescent="0.3">
      <c r="A364" s="2" t="str">
        <f>HYPERLINK("https://hsdes.intel.com/resource/16012909857","16012909857")</f>
        <v>16012909857</v>
      </c>
      <c r="B364" s="7" t="s">
        <v>1209</v>
      </c>
      <c r="C364" s="7" t="s">
        <v>2017</v>
      </c>
      <c r="D364" s="7" t="s">
        <v>198</v>
      </c>
      <c r="E364" s="7" t="s">
        <v>122</v>
      </c>
      <c r="F364" s="7" t="s">
        <v>20</v>
      </c>
      <c r="G364" s="28" t="s">
        <v>2027</v>
      </c>
      <c r="J364" s="7" t="s">
        <v>2004</v>
      </c>
      <c r="M364" s="6">
        <v>44785</v>
      </c>
      <c r="O364" s="7" t="s">
        <v>104</v>
      </c>
      <c r="P364" s="7" t="s">
        <v>146</v>
      </c>
      <c r="Q364" s="7" t="s">
        <v>34</v>
      </c>
      <c r="R364" s="7" t="s">
        <v>147</v>
      </c>
      <c r="S364" s="7" t="s">
        <v>1207</v>
      </c>
      <c r="T364" s="7" t="s">
        <v>244</v>
      </c>
      <c r="U364" s="7" t="s">
        <v>1210</v>
      </c>
      <c r="V364" s="7" t="s">
        <v>202</v>
      </c>
      <c r="X364" s="2" t="str">
        <f>HYPERLINK("https://hsdes.intel.com/resource/16012909857","16012909857")</f>
        <v>16012909857</v>
      </c>
    </row>
    <row r="365" spans="1:24" x14ac:dyDescent="0.3">
      <c r="A365" s="2" t="str">
        <f>HYPERLINK("https://hsdes.intel.com/resource/16012845721","16012845721")</f>
        <v>16012845721</v>
      </c>
      <c r="B365" s="7" t="s">
        <v>1211</v>
      </c>
      <c r="C365" s="7" t="s">
        <v>2017</v>
      </c>
      <c r="D365" s="7" t="s">
        <v>198</v>
      </c>
      <c r="E365" s="7" t="s">
        <v>19</v>
      </c>
      <c r="F365" s="7" t="s">
        <v>20</v>
      </c>
      <c r="G365" s="28" t="s">
        <v>2027</v>
      </c>
      <c r="J365" s="7" t="s">
        <v>2004</v>
      </c>
      <c r="M365" s="6">
        <v>44785</v>
      </c>
      <c r="O365" s="7" t="s">
        <v>104</v>
      </c>
      <c r="P365" s="7" t="s">
        <v>146</v>
      </c>
      <c r="Q365" s="7" t="s">
        <v>34</v>
      </c>
      <c r="R365" s="7" t="s">
        <v>147</v>
      </c>
      <c r="S365" s="7" t="s">
        <v>1207</v>
      </c>
      <c r="T365" s="7" t="s">
        <v>205</v>
      </c>
      <c r="U365" s="7" t="s">
        <v>1212</v>
      </c>
      <c r="V365" s="7" t="s">
        <v>202</v>
      </c>
      <c r="X365" s="2" t="str">
        <f>HYPERLINK("https://hsdes.intel.com/resource/16012845721","16012845721")</f>
        <v>16012845721</v>
      </c>
    </row>
    <row r="366" spans="1:24" x14ac:dyDescent="0.3">
      <c r="A366" s="2" t="str">
        <f>HYPERLINK("https://hsdes.intel.com/resource/16012847945","16012847945")</f>
        <v>16012847945</v>
      </c>
      <c r="B366" s="7" t="s">
        <v>1213</v>
      </c>
      <c r="C366" s="7" t="s">
        <v>2017</v>
      </c>
      <c r="D366" s="7" t="s">
        <v>198</v>
      </c>
      <c r="E366" s="7" t="s">
        <v>122</v>
      </c>
      <c r="F366" s="7" t="s">
        <v>20</v>
      </c>
      <c r="G366" s="28" t="s">
        <v>2027</v>
      </c>
      <c r="J366" s="7" t="s">
        <v>2004</v>
      </c>
      <c r="M366" s="6">
        <v>44785</v>
      </c>
      <c r="O366" s="7" t="s">
        <v>104</v>
      </c>
      <c r="P366" s="7" t="s">
        <v>146</v>
      </c>
      <c r="Q366" s="7" t="s">
        <v>34</v>
      </c>
      <c r="R366" s="7" t="s">
        <v>147</v>
      </c>
      <c r="S366" s="7" t="s">
        <v>1207</v>
      </c>
      <c r="T366" s="7" t="s">
        <v>244</v>
      </c>
      <c r="U366" s="7" t="s">
        <v>1214</v>
      </c>
      <c r="V366" s="7" t="s">
        <v>202</v>
      </c>
      <c r="X366" s="2" t="str">
        <f>HYPERLINK("https://hsdes.intel.com/resource/16012847945","16012847945")</f>
        <v>16012847945</v>
      </c>
    </row>
    <row r="367" spans="1:24" x14ac:dyDescent="0.3">
      <c r="A367" s="2" t="str">
        <f>HYPERLINK("https://hsdes.intel.com/resource/16012847938","16012847938")</f>
        <v>16012847938</v>
      </c>
      <c r="B367" s="7" t="s">
        <v>1215</v>
      </c>
      <c r="C367" s="7" t="s">
        <v>2017</v>
      </c>
      <c r="D367" s="7" t="s">
        <v>198</v>
      </c>
      <c r="E367" s="7" t="s">
        <v>19</v>
      </c>
      <c r="F367" s="7" t="s">
        <v>20</v>
      </c>
      <c r="G367" s="28" t="s">
        <v>2027</v>
      </c>
      <c r="J367" s="7" t="s">
        <v>2004</v>
      </c>
      <c r="M367" s="6">
        <v>44785</v>
      </c>
      <c r="O367" s="7" t="s">
        <v>104</v>
      </c>
      <c r="P367" s="7" t="s">
        <v>146</v>
      </c>
      <c r="Q367" s="7" t="s">
        <v>34</v>
      </c>
      <c r="R367" s="7" t="s">
        <v>147</v>
      </c>
      <c r="S367" s="7" t="s">
        <v>1207</v>
      </c>
      <c r="T367" s="7" t="s">
        <v>205</v>
      </c>
      <c r="U367" s="7" t="s">
        <v>1216</v>
      </c>
      <c r="V367" s="7" t="s">
        <v>202</v>
      </c>
      <c r="X367" s="2" t="str">
        <f>HYPERLINK("https://hsdes.intel.com/resource/16012847938","16012847938")</f>
        <v>16012847938</v>
      </c>
    </row>
    <row r="368" spans="1:24" x14ac:dyDescent="0.3">
      <c r="A368" s="2" t="str">
        <f>HYPERLINK("https://hsdes.intel.com/resource/14013185551","14013185551")</f>
        <v>14013185551</v>
      </c>
      <c r="B368" s="7" t="s">
        <v>1217</v>
      </c>
      <c r="C368" s="7" t="s">
        <v>1975</v>
      </c>
      <c r="D368" s="7" t="s">
        <v>401</v>
      </c>
      <c r="E368" s="7" t="s">
        <v>19</v>
      </c>
      <c r="F368" s="7" t="s">
        <v>20</v>
      </c>
      <c r="G368" s="28" t="s">
        <v>2027</v>
      </c>
      <c r="J368" s="7" t="s">
        <v>2020</v>
      </c>
      <c r="L368" s="7" t="s">
        <v>1218</v>
      </c>
      <c r="M368" s="6"/>
      <c r="O368" s="7" t="s">
        <v>32</v>
      </c>
      <c r="P368" s="7" t="s">
        <v>146</v>
      </c>
      <c r="Q368" s="7" t="s">
        <v>34</v>
      </c>
      <c r="R368" s="7" t="s">
        <v>147</v>
      </c>
      <c r="S368" s="7" t="s">
        <v>1219</v>
      </c>
      <c r="T368" s="7" t="s">
        <v>506</v>
      </c>
      <c r="U368" s="7" t="s">
        <v>1220</v>
      </c>
      <c r="V368" s="7" t="s">
        <v>202</v>
      </c>
      <c r="X368" s="2" t="str">
        <f>HYPERLINK("https://hsdes.intel.com/resource/14013185551","14013185551")</f>
        <v>14013185551</v>
      </c>
    </row>
    <row r="369" spans="1:24" x14ac:dyDescent="0.3">
      <c r="A369" s="2" t="str">
        <f>HYPERLINK("https://hsdes.intel.com/resource/14013185559","14013185559")</f>
        <v>14013185559</v>
      </c>
      <c r="B369" s="7" t="s">
        <v>1221</v>
      </c>
      <c r="C369" s="7" t="s">
        <v>1975</v>
      </c>
      <c r="D369" s="7" t="s">
        <v>401</v>
      </c>
      <c r="E369" s="7" t="s">
        <v>19</v>
      </c>
      <c r="F369" s="7" t="s">
        <v>20</v>
      </c>
      <c r="G369" s="28" t="s">
        <v>2027</v>
      </c>
      <c r="J369" s="7" t="s">
        <v>2020</v>
      </c>
      <c r="L369" s="7" t="s">
        <v>1218</v>
      </c>
      <c r="M369" s="6"/>
      <c r="O369" s="7" t="s">
        <v>32</v>
      </c>
      <c r="P369" s="7" t="s">
        <v>146</v>
      </c>
      <c r="Q369" s="7" t="s">
        <v>34</v>
      </c>
      <c r="R369" s="7" t="s">
        <v>147</v>
      </c>
      <c r="S369" s="7" t="s">
        <v>1222</v>
      </c>
      <c r="T369" s="7" t="s">
        <v>506</v>
      </c>
      <c r="U369" s="7" t="s">
        <v>1223</v>
      </c>
      <c r="V369" s="7" t="s">
        <v>202</v>
      </c>
      <c r="X369" s="2" t="str">
        <f>HYPERLINK("https://hsdes.intel.com/resource/14013185559","14013185559")</f>
        <v>14013185559</v>
      </c>
    </row>
    <row r="370" spans="1:24" x14ac:dyDescent="0.3">
      <c r="A370" s="2" t="str">
        <f>HYPERLINK("https://hsdes.intel.com/resource/14013158254","14013158254")</f>
        <v>14013158254</v>
      </c>
      <c r="B370" s="7" t="s">
        <v>1224</v>
      </c>
      <c r="C370" s="7" t="s">
        <v>2017</v>
      </c>
      <c r="D370" s="7" t="s">
        <v>18</v>
      </c>
      <c r="E370" s="7" t="s">
        <v>122</v>
      </c>
      <c r="F370" s="7" t="s">
        <v>20</v>
      </c>
      <c r="G370" s="28" t="s">
        <v>2027</v>
      </c>
      <c r="J370" s="7" t="s">
        <v>2004</v>
      </c>
      <c r="M370" s="6">
        <v>44785</v>
      </c>
      <c r="O370" s="7" t="s">
        <v>104</v>
      </c>
      <c r="P370" s="7" t="s">
        <v>22</v>
      </c>
      <c r="Q370" s="7" t="s">
        <v>34</v>
      </c>
      <c r="R370" s="7" t="s">
        <v>24</v>
      </c>
      <c r="S370" s="7" t="s">
        <v>1225</v>
      </c>
      <c r="T370" s="7" t="s">
        <v>116</v>
      </c>
      <c r="U370" s="7" t="s">
        <v>1226</v>
      </c>
      <c r="V370" s="7" t="s">
        <v>28</v>
      </c>
      <c r="X370" s="2" t="str">
        <f>HYPERLINK("https://hsdes.intel.com/resource/14013158254","14013158254")</f>
        <v>14013158254</v>
      </c>
    </row>
    <row r="371" spans="1:24" x14ac:dyDescent="0.3">
      <c r="A371" s="2" t="str">
        <f>HYPERLINK("https://hsdes.intel.com/resource/14013172861","14013172861")</f>
        <v>14013172861</v>
      </c>
      <c r="B371" s="7" t="s">
        <v>1227</v>
      </c>
      <c r="C371" s="7" t="s">
        <v>2017</v>
      </c>
      <c r="D371" s="7" t="s">
        <v>138</v>
      </c>
      <c r="E371" s="7" t="s">
        <v>19</v>
      </c>
      <c r="F371" s="7" t="s">
        <v>20</v>
      </c>
      <c r="G371" s="28" t="s">
        <v>2027</v>
      </c>
      <c r="J371" s="7" t="s">
        <v>1974</v>
      </c>
      <c r="M371" s="6">
        <v>44785</v>
      </c>
      <c r="O371" s="7" t="s">
        <v>32</v>
      </c>
      <c r="P371" s="7" t="s">
        <v>22</v>
      </c>
      <c r="Q371" s="7" t="s">
        <v>34</v>
      </c>
      <c r="R371" s="7" t="s">
        <v>24</v>
      </c>
      <c r="S371" s="7" t="s">
        <v>1228</v>
      </c>
      <c r="T371" s="7" t="s">
        <v>205</v>
      </c>
      <c r="U371" s="7" t="s">
        <v>1229</v>
      </c>
      <c r="V371" s="7" t="s">
        <v>172</v>
      </c>
      <c r="X371" s="2" t="str">
        <f>HYPERLINK("https://hsdes.intel.com/resource/14013172861","14013172861")</f>
        <v>14013172861</v>
      </c>
    </row>
    <row r="372" spans="1:24" x14ac:dyDescent="0.3">
      <c r="A372" s="2" t="str">
        <f>HYPERLINK("https://hsdes.intel.com/resource/14013172864","14013172864")</f>
        <v>14013172864</v>
      </c>
      <c r="B372" s="7" t="s">
        <v>1230</v>
      </c>
      <c r="C372" s="7" t="s">
        <v>2017</v>
      </c>
      <c r="D372" s="7" t="s">
        <v>138</v>
      </c>
      <c r="E372" s="7" t="s">
        <v>19</v>
      </c>
      <c r="F372" s="7" t="s">
        <v>20</v>
      </c>
      <c r="G372" s="28" t="s">
        <v>2027</v>
      </c>
      <c r="J372" s="7" t="s">
        <v>1974</v>
      </c>
      <c r="M372" s="6">
        <v>44785</v>
      </c>
      <c r="O372" s="7" t="s">
        <v>32</v>
      </c>
      <c r="P372" s="7" t="s">
        <v>22</v>
      </c>
      <c r="Q372" s="7" t="s">
        <v>34</v>
      </c>
      <c r="R372" s="7" t="s">
        <v>24</v>
      </c>
      <c r="S372" s="7" t="s">
        <v>1231</v>
      </c>
      <c r="T372" s="7" t="s">
        <v>170</v>
      </c>
      <c r="U372" s="7" t="s">
        <v>1232</v>
      </c>
      <c r="V372" s="7" t="s">
        <v>172</v>
      </c>
      <c r="X372" s="2" t="str">
        <f>HYPERLINK("https://hsdes.intel.com/resource/14013172864","14013172864")</f>
        <v>14013172864</v>
      </c>
    </row>
    <row r="373" spans="1:24" x14ac:dyDescent="0.3">
      <c r="A373" s="2" t="str">
        <f>HYPERLINK("https://hsdes.intel.com/resource/14013172859","14013172859")</f>
        <v>14013172859</v>
      </c>
      <c r="B373" s="7" t="s">
        <v>1233</v>
      </c>
      <c r="C373" s="7" t="s">
        <v>1975</v>
      </c>
      <c r="D373" s="7" t="s">
        <v>138</v>
      </c>
      <c r="E373" s="7" t="s">
        <v>19</v>
      </c>
      <c r="F373" s="7" t="s">
        <v>20</v>
      </c>
      <c r="G373" s="28" t="s">
        <v>2027</v>
      </c>
      <c r="J373" s="7" t="s">
        <v>2020</v>
      </c>
      <c r="L373" s="7" t="s">
        <v>1234</v>
      </c>
      <c r="M373" s="6"/>
      <c r="O373" s="7" t="s">
        <v>32</v>
      </c>
      <c r="P373" s="7" t="s">
        <v>22</v>
      </c>
      <c r="Q373" s="7" t="s">
        <v>34</v>
      </c>
      <c r="R373" s="7" t="s">
        <v>24</v>
      </c>
      <c r="S373" s="7" t="s">
        <v>1235</v>
      </c>
      <c r="T373" s="7" t="s">
        <v>170</v>
      </c>
      <c r="U373" s="7" t="s">
        <v>1236</v>
      </c>
      <c r="V373" s="7" t="s">
        <v>172</v>
      </c>
      <c r="X373" s="2" t="str">
        <f>HYPERLINK("https://hsdes.intel.com/resource/14013172859","14013172859")</f>
        <v>14013172859</v>
      </c>
    </row>
    <row r="374" spans="1:24" x14ac:dyDescent="0.3">
      <c r="A374" s="2" t="str">
        <f>HYPERLINK("https://hsdes.intel.com/resource/14013168624","14013168624")</f>
        <v>14013168624</v>
      </c>
      <c r="B374" s="7" t="s">
        <v>1237</v>
      </c>
      <c r="C374" s="7" t="s">
        <v>2017</v>
      </c>
      <c r="D374" s="7" t="s">
        <v>417</v>
      </c>
      <c r="E374" s="7" t="s">
        <v>19</v>
      </c>
      <c r="F374" s="7" t="s">
        <v>20</v>
      </c>
      <c r="G374" s="28" t="s">
        <v>2027</v>
      </c>
      <c r="J374" s="7" t="s">
        <v>1974</v>
      </c>
      <c r="M374" s="6">
        <v>44785</v>
      </c>
      <c r="O374" s="7" t="s">
        <v>104</v>
      </c>
      <c r="P374" s="7" t="s">
        <v>163</v>
      </c>
      <c r="Q374" s="7" t="s">
        <v>34</v>
      </c>
      <c r="R374" s="7" t="s">
        <v>24</v>
      </c>
      <c r="S374" s="7" t="s">
        <v>1238</v>
      </c>
      <c r="T374" s="7" t="s">
        <v>1239</v>
      </c>
      <c r="U374" s="7" t="s">
        <v>1240</v>
      </c>
      <c r="V374" s="7" t="s">
        <v>421</v>
      </c>
      <c r="X374" s="2" t="str">
        <f>HYPERLINK("https://hsdes.intel.com/resource/14013168624","14013168624")</f>
        <v>14013168624</v>
      </c>
    </row>
    <row r="375" spans="1:24" x14ac:dyDescent="0.3">
      <c r="A375" s="2" t="str">
        <f>HYPERLINK("https://hsdes.intel.com/resource/14013161633","14013161633")</f>
        <v>14013161633</v>
      </c>
      <c r="B375" s="7" t="s">
        <v>1241</v>
      </c>
      <c r="C375" s="7" t="s">
        <v>2017</v>
      </c>
      <c r="D375" s="7" t="s">
        <v>267</v>
      </c>
      <c r="E375" s="7" t="s">
        <v>19</v>
      </c>
      <c r="F375" s="7" t="s">
        <v>20</v>
      </c>
      <c r="G375" s="28" t="s">
        <v>2027</v>
      </c>
      <c r="J375" s="7" t="s">
        <v>2004</v>
      </c>
      <c r="L375" s="7" t="s">
        <v>1977</v>
      </c>
      <c r="M375" s="6">
        <v>44785</v>
      </c>
      <c r="O375" s="7" t="s">
        <v>104</v>
      </c>
      <c r="P375" s="7" t="s">
        <v>33</v>
      </c>
      <c r="Q375" s="7" t="s">
        <v>34</v>
      </c>
      <c r="R375" s="7" t="s">
        <v>24</v>
      </c>
      <c r="S375" s="7" t="s">
        <v>1242</v>
      </c>
      <c r="T375" s="7" t="s">
        <v>205</v>
      </c>
      <c r="U375" s="7" t="s">
        <v>1243</v>
      </c>
      <c r="V375" s="7" t="s">
        <v>270</v>
      </c>
      <c r="X375" s="2" t="str">
        <f>HYPERLINK("https://hsdes.intel.com/resource/14013161633","14013161633")</f>
        <v>14013161633</v>
      </c>
    </row>
    <row r="376" spans="1:24" x14ac:dyDescent="0.3">
      <c r="A376" s="2" t="str">
        <f>HYPERLINK("https://hsdes.intel.com/resource/14013169048","14013169048")</f>
        <v>14013169048</v>
      </c>
      <c r="B376" s="7" t="s">
        <v>1244</v>
      </c>
      <c r="C376" s="7" t="s">
        <v>1975</v>
      </c>
      <c r="D376" s="7" t="s">
        <v>417</v>
      </c>
      <c r="E376" s="7" t="s">
        <v>19</v>
      </c>
      <c r="F376" s="7" t="s">
        <v>20</v>
      </c>
      <c r="G376" s="28" t="s">
        <v>2027</v>
      </c>
      <c r="J376" s="7" t="s">
        <v>2020</v>
      </c>
      <c r="L376" s="7" t="s">
        <v>1245</v>
      </c>
      <c r="M376" s="6"/>
      <c r="O376" s="7" t="s">
        <v>32</v>
      </c>
      <c r="P376" s="7" t="s">
        <v>163</v>
      </c>
      <c r="Q376" s="7" t="s">
        <v>23</v>
      </c>
      <c r="R376" s="7" t="s">
        <v>24</v>
      </c>
      <c r="S376" s="7" t="s">
        <v>1246</v>
      </c>
      <c r="T376" s="7" t="s">
        <v>1239</v>
      </c>
      <c r="U376" s="7" t="s">
        <v>1247</v>
      </c>
      <c r="V376" s="7" t="s">
        <v>421</v>
      </c>
      <c r="X376" s="2" t="str">
        <f>HYPERLINK("https://hsdes.intel.com/resource/14013169048","14013169048")</f>
        <v>14013169048</v>
      </c>
    </row>
    <row r="377" spans="1:24" s="18" customFormat="1" x14ac:dyDescent="0.3">
      <c r="A377" s="5" t="str">
        <f>HYPERLINK("https://hsdes.intel.com/resource/16013298901","16013298901")</f>
        <v>16013298901</v>
      </c>
      <c r="B377" s="7" t="s">
        <v>1248</v>
      </c>
      <c r="C377" s="7" t="s">
        <v>2017</v>
      </c>
      <c r="D377" s="7" t="s">
        <v>417</v>
      </c>
      <c r="E377" s="7" t="s">
        <v>122</v>
      </c>
      <c r="F377" s="7" t="s">
        <v>20</v>
      </c>
      <c r="G377" s="28" t="s">
        <v>2027</v>
      </c>
      <c r="J377" s="7" t="s">
        <v>1974</v>
      </c>
      <c r="M377" s="22">
        <v>44785</v>
      </c>
      <c r="O377" s="18" t="s">
        <v>104</v>
      </c>
      <c r="P377" s="18" t="s">
        <v>163</v>
      </c>
      <c r="Q377" s="18" t="s">
        <v>34</v>
      </c>
      <c r="R377" s="18" t="s">
        <v>147</v>
      </c>
      <c r="T377" s="18" t="s">
        <v>419</v>
      </c>
      <c r="U377" s="18" t="s">
        <v>1249</v>
      </c>
      <c r="X377" s="5" t="str">
        <f>HYPERLINK("https://hsdes.intel.com/resource/16013298901","16013298901")</f>
        <v>16013298901</v>
      </c>
    </row>
    <row r="378" spans="1:24" s="18" customFormat="1" x14ac:dyDescent="0.3">
      <c r="A378" s="2" t="str">
        <f>HYPERLINK("https://hsdes.intel.com/resource/16013298910","16013298910")</f>
        <v>16013298910</v>
      </c>
      <c r="B378" s="7" t="s">
        <v>1250</v>
      </c>
      <c r="C378" s="7" t="s">
        <v>2017</v>
      </c>
      <c r="D378" s="7" t="s">
        <v>417</v>
      </c>
      <c r="E378" s="7" t="s">
        <v>122</v>
      </c>
      <c r="F378" s="7" t="s">
        <v>20</v>
      </c>
      <c r="G378" s="28" t="s">
        <v>2027</v>
      </c>
      <c r="J378" s="7" t="s">
        <v>1974</v>
      </c>
      <c r="M378" s="22">
        <v>44785</v>
      </c>
      <c r="O378" s="18" t="s">
        <v>104</v>
      </c>
      <c r="P378" s="18" t="s">
        <v>163</v>
      </c>
      <c r="Q378" s="18" t="s">
        <v>34</v>
      </c>
      <c r="R378" s="18" t="s">
        <v>147</v>
      </c>
      <c r="T378" s="18" t="s">
        <v>419</v>
      </c>
      <c r="U378" s="18" t="s">
        <v>1251</v>
      </c>
      <c r="X378" s="2" t="str">
        <f>HYPERLINK("https://hsdes.intel.com/resource/16013298910","16013298910")</f>
        <v>16013298910</v>
      </c>
    </row>
    <row r="379" spans="1:24" s="18" customFormat="1" x14ac:dyDescent="0.3">
      <c r="A379" s="2" t="str">
        <f>HYPERLINK("https://hsdes.intel.com/resource/16013298924","16013298924")</f>
        <v>16013298924</v>
      </c>
      <c r="B379" s="7" t="s">
        <v>1252</v>
      </c>
      <c r="C379" s="7" t="s">
        <v>2017</v>
      </c>
      <c r="D379" s="7" t="s">
        <v>417</v>
      </c>
      <c r="E379" s="7" t="s">
        <v>122</v>
      </c>
      <c r="F379" s="7" t="s">
        <v>20</v>
      </c>
      <c r="G379" s="28" t="s">
        <v>2027</v>
      </c>
      <c r="J379" s="7" t="s">
        <v>1974</v>
      </c>
      <c r="M379" s="22">
        <v>44785</v>
      </c>
      <c r="O379" s="18" t="s">
        <v>104</v>
      </c>
      <c r="P379" s="18" t="s">
        <v>163</v>
      </c>
      <c r="Q379" s="18" t="s">
        <v>34</v>
      </c>
      <c r="R379" s="18" t="s">
        <v>147</v>
      </c>
      <c r="T379" s="18" t="s">
        <v>419</v>
      </c>
      <c r="U379" s="18" t="s">
        <v>1253</v>
      </c>
      <c r="X379" s="2" t="str">
        <f>HYPERLINK("https://hsdes.intel.com/resource/16013298924","16013298924")</f>
        <v>16013298924</v>
      </c>
    </row>
    <row r="380" spans="1:24" s="18" customFormat="1" x14ac:dyDescent="0.3">
      <c r="A380" s="2" t="str">
        <f>HYPERLINK("https://hsdes.intel.com/resource/16013298916","16013298916")</f>
        <v>16013298916</v>
      </c>
      <c r="B380" s="7" t="s">
        <v>1254</v>
      </c>
      <c r="C380" s="7" t="s">
        <v>2017</v>
      </c>
      <c r="D380" s="7" t="s">
        <v>417</v>
      </c>
      <c r="E380" s="7" t="s">
        <v>122</v>
      </c>
      <c r="F380" s="7" t="s">
        <v>20</v>
      </c>
      <c r="G380" s="28" t="s">
        <v>2027</v>
      </c>
      <c r="J380" s="7" t="s">
        <v>1974</v>
      </c>
      <c r="M380" s="22">
        <v>44785</v>
      </c>
      <c r="O380" s="18" t="s">
        <v>104</v>
      </c>
      <c r="P380" s="18" t="s">
        <v>163</v>
      </c>
      <c r="Q380" s="18" t="s">
        <v>34</v>
      </c>
      <c r="R380" s="18" t="s">
        <v>147</v>
      </c>
      <c r="T380" s="18" t="s">
        <v>419</v>
      </c>
      <c r="U380" s="18" t="s">
        <v>1255</v>
      </c>
      <c r="X380" s="2" t="str">
        <f>HYPERLINK("https://hsdes.intel.com/resource/16013298916","16013298916")</f>
        <v>16013298916</v>
      </c>
    </row>
    <row r="381" spans="1:24" s="18" customFormat="1" x14ac:dyDescent="0.3">
      <c r="A381" s="2" t="str">
        <f>HYPERLINK("https://hsdes.intel.com/resource/16013298746","16013298746")</f>
        <v>16013298746</v>
      </c>
      <c r="B381" s="7" t="s">
        <v>1256</v>
      </c>
      <c r="C381" s="7" t="s">
        <v>2017</v>
      </c>
      <c r="D381" s="7" t="s">
        <v>417</v>
      </c>
      <c r="E381" s="7" t="s">
        <v>19</v>
      </c>
      <c r="F381" s="7" t="s">
        <v>20</v>
      </c>
      <c r="G381" s="28" t="s">
        <v>2027</v>
      </c>
      <c r="J381" s="7" t="s">
        <v>1974</v>
      </c>
      <c r="M381" s="22">
        <v>44785</v>
      </c>
      <c r="O381" s="18" t="s">
        <v>104</v>
      </c>
      <c r="P381" s="18" t="s">
        <v>163</v>
      </c>
      <c r="Q381" s="18" t="s">
        <v>34</v>
      </c>
      <c r="R381" s="18" t="s">
        <v>147</v>
      </c>
      <c r="T381" s="18" t="s">
        <v>419</v>
      </c>
      <c r="U381" s="18" t="s">
        <v>1253</v>
      </c>
      <c r="X381" s="2" t="str">
        <f>HYPERLINK("https://hsdes.intel.com/resource/16013298746","16013298746")</f>
        <v>16013298746</v>
      </c>
    </row>
    <row r="382" spans="1:24" s="18" customFormat="1" x14ac:dyDescent="0.3">
      <c r="A382" s="2" t="str">
        <f>HYPERLINK("https://hsdes.intel.com/resource/16013298763","16013298763")</f>
        <v>16013298763</v>
      </c>
      <c r="B382" s="7" t="s">
        <v>1257</v>
      </c>
      <c r="C382" s="7" t="s">
        <v>2017</v>
      </c>
      <c r="D382" s="7" t="s">
        <v>417</v>
      </c>
      <c r="E382" s="7" t="s">
        <v>122</v>
      </c>
      <c r="F382" s="7" t="s">
        <v>20</v>
      </c>
      <c r="G382" s="28" t="s">
        <v>2027</v>
      </c>
      <c r="J382" s="7" t="s">
        <v>1974</v>
      </c>
      <c r="M382" s="22">
        <v>44785</v>
      </c>
      <c r="O382" s="18" t="s">
        <v>104</v>
      </c>
      <c r="P382" s="18" t="s">
        <v>163</v>
      </c>
      <c r="Q382" s="18" t="s">
        <v>34</v>
      </c>
      <c r="R382" s="18" t="s">
        <v>147</v>
      </c>
      <c r="T382" s="18" t="s">
        <v>419</v>
      </c>
      <c r="U382" s="18" t="s">
        <v>1258</v>
      </c>
      <c r="X382" s="2" t="str">
        <f>HYPERLINK("https://hsdes.intel.com/resource/16013298763","16013298763")</f>
        <v>16013298763</v>
      </c>
    </row>
    <row r="383" spans="1:24" s="18" customFormat="1" x14ac:dyDescent="0.3">
      <c r="A383" s="2" t="str">
        <f>HYPERLINK("https://hsdes.intel.com/resource/16013298799","16013298799")</f>
        <v>16013298799</v>
      </c>
      <c r="B383" s="7" t="s">
        <v>1259</v>
      </c>
      <c r="C383" s="7" t="s">
        <v>2017</v>
      </c>
      <c r="D383" s="7" t="s">
        <v>417</v>
      </c>
      <c r="E383" s="7" t="s">
        <v>122</v>
      </c>
      <c r="F383" s="7" t="s">
        <v>20</v>
      </c>
      <c r="G383" s="28" t="s">
        <v>2027</v>
      </c>
      <c r="J383" s="7" t="s">
        <v>1974</v>
      </c>
      <c r="M383" s="22">
        <v>44785</v>
      </c>
      <c r="O383" s="18" t="s">
        <v>104</v>
      </c>
      <c r="P383" s="18" t="s">
        <v>163</v>
      </c>
      <c r="Q383" s="18" t="s">
        <v>34</v>
      </c>
      <c r="R383" s="18" t="s">
        <v>147</v>
      </c>
      <c r="T383" s="18" t="s">
        <v>419</v>
      </c>
      <c r="U383" s="18" t="s">
        <v>1260</v>
      </c>
      <c r="X383" s="5" t="str">
        <f>HYPERLINK("https://hsdes.intel.com/resource/16013298799","16013298799")</f>
        <v>16013298799</v>
      </c>
    </row>
    <row r="384" spans="1:24" s="18" customFormat="1" x14ac:dyDescent="0.3">
      <c r="A384" s="5" t="str">
        <f>HYPERLINK("https://hsdes.intel.com/resource/16013298829","16013298829")</f>
        <v>16013298829</v>
      </c>
      <c r="B384" s="7" t="s">
        <v>1261</v>
      </c>
      <c r="C384" s="7" t="s">
        <v>2017</v>
      </c>
      <c r="D384" s="7" t="s">
        <v>417</v>
      </c>
      <c r="E384" s="7" t="s">
        <v>122</v>
      </c>
      <c r="F384" s="7" t="s">
        <v>20</v>
      </c>
      <c r="G384" s="28" t="s">
        <v>2027</v>
      </c>
      <c r="J384" s="7" t="s">
        <v>1974</v>
      </c>
      <c r="M384" s="22">
        <v>44785</v>
      </c>
      <c r="O384" s="18" t="s">
        <v>104</v>
      </c>
      <c r="P384" s="18" t="s">
        <v>163</v>
      </c>
      <c r="Q384" s="18" t="s">
        <v>34</v>
      </c>
      <c r="R384" s="18" t="s">
        <v>147</v>
      </c>
      <c r="T384" s="18" t="s">
        <v>419</v>
      </c>
      <c r="U384" s="18" t="s">
        <v>1262</v>
      </c>
      <c r="X384" s="2" t="str">
        <f>HYPERLINK("https://hsdes.intel.com/resource/16013298829","16013298829")</f>
        <v>16013298829</v>
      </c>
    </row>
    <row r="385" spans="1:24" x14ac:dyDescent="0.3">
      <c r="A385" s="2" t="str">
        <f>HYPERLINK("https://hsdes.intel.com/resource/14013185842","14013185842")</f>
        <v>14013185842</v>
      </c>
      <c r="B385" s="7" t="s">
        <v>1263</v>
      </c>
      <c r="C385" s="7" t="s">
        <v>2017</v>
      </c>
      <c r="D385" s="7" t="s">
        <v>138</v>
      </c>
      <c r="E385" s="7" t="s">
        <v>19</v>
      </c>
      <c r="F385" s="7" t="s">
        <v>20</v>
      </c>
      <c r="G385" s="28" t="s">
        <v>2027</v>
      </c>
      <c r="J385" s="7" t="s">
        <v>31</v>
      </c>
      <c r="M385" s="6"/>
      <c r="O385" s="7" t="s">
        <v>104</v>
      </c>
      <c r="P385" s="7" t="s">
        <v>78</v>
      </c>
      <c r="Q385" s="7" t="s">
        <v>34</v>
      </c>
      <c r="R385" s="7" t="s">
        <v>24</v>
      </c>
      <c r="S385" s="7" t="s">
        <v>1264</v>
      </c>
      <c r="T385" s="7" t="s">
        <v>446</v>
      </c>
      <c r="U385" s="7" t="s">
        <v>1265</v>
      </c>
      <c r="V385" s="7" t="s">
        <v>142</v>
      </c>
      <c r="X385" s="2" t="str">
        <f>HYPERLINK("https://hsdes.intel.com/resource/14013185842","14013185842")</f>
        <v>14013185842</v>
      </c>
    </row>
    <row r="386" spans="1:24" x14ac:dyDescent="0.3">
      <c r="A386" s="2" t="str">
        <f>HYPERLINK("https://hsdes.intel.com/resource/14013165053","14013165053")</f>
        <v>14013165053</v>
      </c>
      <c r="B386" s="7" t="s">
        <v>1266</v>
      </c>
      <c r="C386" s="7" t="s">
        <v>2017</v>
      </c>
      <c r="D386" s="7" t="s">
        <v>138</v>
      </c>
      <c r="E386" s="7" t="s">
        <v>19</v>
      </c>
      <c r="F386" s="7" t="s">
        <v>20</v>
      </c>
      <c r="G386" s="28" t="s">
        <v>2027</v>
      </c>
      <c r="J386" s="7" t="s">
        <v>2004</v>
      </c>
      <c r="M386" s="6">
        <v>44785</v>
      </c>
      <c r="O386" s="7" t="s">
        <v>32</v>
      </c>
      <c r="P386" s="7" t="s">
        <v>78</v>
      </c>
      <c r="Q386" s="7" t="s">
        <v>34</v>
      </c>
      <c r="R386" s="7" t="s">
        <v>24</v>
      </c>
      <c r="S386" s="7" t="s">
        <v>1267</v>
      </c>
      <c r="T386" s="7" t="s">
        <v>244</v>
      </c>
      <c r="U386" s="7" t="s">
        <v>1268</v>
      </c>
      <c r="V386" s="7" t="s">
        <v>142</v>
      </c>
      <c r="X386" s="2" t="str">
        <f>HYPERLINK("https://hsdes.intel.com/resource/14013165053","14013165053")</f>
        <v>14013165053</v>
      </c>
    </row>
    <row r="387" spans="1:24" x14ac:dyDescent="0.3">
      <c r="A387" s="2" t="str">
        <f>HYPERLINK("https://hsdes.intel.com/resource/14013179421","14013179421")</f>
        <v>14013179421</v>
      </c>
      <c r="B387" s="7" t="s">
        <v>1269</v>
      </c>
      <c r="C387" s="7" t="s">
        <v>2017</v>
      </c>
      <c r="D387" s="7" t="s">
        <v>267</v>
      </c>
      <c r="E387" s="7" t="s">
        <v>19</v>
      </c>
      <c r="F387" s="7" t="s">
        <v>20</v>
      </c>
      <c r="G387" s="28" t="s">
        <v>2027</v>
      </c>
      <c r="J387" s="7" t="s">
        <v>1974</v>
      </c>
      <c r="M387" s="6">
        <v>44785</v>
      </c>
      <c r="O387" s="7" t="s">
        <v>32</v>
      </c>
      <c r="P387" s="7" t="s">
        <v>33</v>
      </c>
      <c r="Q387" s="7" t="s">
        <v>34</v>
      </c>
      <c r="R387" s="7" t="s">
        <v>24</v>
      </c>
      <c r="S387" s="7" t="s">
        <v>1270</v>
      </c>
      <c r="T387" s="7" t="s">
        <v>326</v>
      </c>
      <c r="U387" s="7" t="s">
        <v>1271</v>
      </c>
      <c r="V387" s="7" t="s">
        <v>270</v>
      </c>
      <c r="X387" s="2" t="str">
        <f>HYPERLINK("https://hsdes.intel.com/resource/14013179421","14013179421")</f>
        <v>14013179421</v>
      </c>
    </row>
    <row r="388" spans="1:24" x14ac:dyDescent="0.3">
      <c r="A388" s="2" t="str">
        <f>HYPERLINK("https://hsdes.intel.com/resource/14013185807","14013185807")</f>
        <v>14013185807</v>
      </c>
      <c r="B388" s="7" t="s">
        <v>1272</v>
      </c>
      <c r="C388" s="7" t="s">
        <v>2017</v>
      </c>
      <c r="D388" s="7" t="s">
        <v>138</v>
      </c>
      <c r="E388" s="7" t="s">
        <v>19</v>
      </c>
      <c r="F388" s="7" t="s">
        <v>20</v>
      </c>
      <c r="G388" s="28" t="s">
        <v>2027</v>
      </c>
      <c r="J388" s="7" t="s">
        <v>1974</v>
      </c>
      <c r="M388" s="6">
        <v>44783</v>
      </c>
      <c r="O388" s="7" t="s">
        <v>32</v>
      </c>
      <c r="P388" s="7" t="s">
        <v>78</v>
      </c>
      <c r="Q388" s="7" t="s">
        <v>34</v>
      </c>
      <c r="R388" s="7" t="s">
        <v>24</v>
      </c>
      <c r="S388" s="7" t="s">
        <v>1273</v>
      </c>
      <c r="T388" s="7" t="s">
        <v>244</v>
      </c>
      <c r="U388" s="7" t="s">
        <v>1274</v>
      </c>
      <c r="V388" s="7" t="s">
        <v>81</v>
      </c>
      <c r="X388" s="2" t="str">
        <f>HYPERLINK("https://hsdes.intel.com/resource/14013185807","14013185807")</f>
        <v>14013185807</v>
      </c>
    </row>
    <row r="389" spans="1:24" x14ac:dyDescent="0.3">
      <c r="A389" s="2" t="str">
        <f>HYPERLINK("https://hsdes.intel.com/resource/14013157813","14013157813")</f>
        <v>14013157813</v>
      </c>
      <c r="B389" s="7" t="s">
        <v>1275</v>
      </c>
      <c r="C389" s="7" t="s">
        <v>2017</v>
      </c>
      <c r="D389" s="7" t="s">
        <v>283</v>
      </c>
      <c r="E389" s="7" t="s">
        <v>19</v>
      </c>
      <c r="F389" s="7" t="s">
        <v>20</v>
      </c>
      <c r="G389" s="28" t="s">
        <v>2027</v>
      </c>
      <c r="J389" s="7" t="s">
        <v>31</v>
      </c>
      <c r="M389" s="6"/>
      <c r="O389" s="7" t="s">
        <v>32</v>
      </c>
      <c r="P389" s="7" t="s">
        <v>175</v>
      </c>
      <c r="Q389" s="7" t="s">
        <v>34</v>
      </c>
      <c r="R389" s="7" t="s">
        <v>24</v>
      </c>
      <c r="S389" s="7" t="s">
        <v>1276</v>
      </c>
      <c r="T389" s="7" t="s">
        <v>244</v>
      </c>
      <c r="U389" s="7" t="s">
        <v>1277</v>
      </c>
      <c r="V389" s="7" t="s">
        <v>286</v>
      </c>
      <c r="X389" s="2" t="str">
        <f>HYPERLINK("https://hsdes.intel.com/resource/14013157813","14013157813")</f>
        <v>14013157813</v>
      </c>
    </row>
    <row r="390" spans="1:24" x14ac:dyDescent="0.3">
      <c r="A390" s="2" t="str">
        <f>HYPERLINK("https://hsdes.intel.com/resource/14013176928","14013176928")</f>
        <v>14013176928</v>
      </c>
      <c r="B390" s="7" t="s">
        <v>1278</v>
      </c>
      <c r="C390" s="7" t="s">
        <v>2017</v>
      </c>
      <c r="D390" s="7" t="s">
        <v>275</v>
      </c>
      <c r="E390" s="7" t="s">
        <v>19</v>
      </c>
      <c r="F390" s="7" t="s">
        <v>20</v>
      </c>
      <c r="G390" s="28" t="s">
        <v>2027</v>
      </c>
      <c r="J390" s="7" t="s">
        <v>31</v>
      </c>
      <c r="M390" s="6"/>
      <c r="O390" s="7" t="s">
        <v>104</v>
      </c>
      <c r="P390" s="7" t="s">
        <v>78</v>
      </c>
      <c r="Q390" s="7" t="s">
        <v>34</v>
      </c>
      <c r="R390" s="7" t="s">
        <v>24</v>
      </c>
      <c r="S390" s="7" t="s">
        <v>1279</v>
      </c>
      <c r="T390" s="7" t="s">
        <v>244</v>
      </c>
      <c r="U390" s="7" t="s">
        <v>1280</v>
      </c>
      <c r="V390" s="7" t="s">
        <v>278</v>
      </c>
      <c r="X390" s="2" t="str">
        <f>HYPERLINK("https://hsdes.intel.com/resource/14013176928","14013176928")</f>
        <v>14013176928</v>
      </c>
    </row>
    <row r="391" spans="1:24" x14ac:dyDescent="0.3">
      <c r="A391" s="3" t="str">
        <f>HYPERLINK("https://hsdes.intel.com/resource/14013158404","14013158404")</f>
        <v>14013158404</v>
      </c>
      <c r="B391" s="7" t="s">
        <v>1281</v>
      </c>
      <c r="C391" s="7" t="s">
        <v>2017</v>
      </c>
      <c r="D391" s="7" t="s">
        <v>238</v>
      </c>
      <c r="E391" s="7" t="s">
        <v>19</v>
      </c>
      <c r="F391" s="7" t="s">
        <v>20</v>
      </c>
      <c r="G391" s="28" t="s">
        <v>2027</v>
      </c>
      <c r="J391" s="7" t="s">
        <v>1974</v>
      </c>
      <c r="M391" s="6">
        <v>44785</v>
      </c>
      <c r="O391" s="7" t="s">
        <v>32</v>
      </c>
      <c r="P391" s="7" t="s">
        <v>186</v>
      </c>
      <c r="Q391" s="7" t="s">
        <v>23</v>
      </c>
      <c r="R391" s="7" t="s">
        <v>147</v>
      </c>
      <c r="S391" s="7" t="s">
        <v>1282</v>
      </c>
      <c r="T391" s="7" t="s">
        <v>326</v>
      </c>
      <c r="U391" s="7" t="s">
        <v>1283</v>
      </c>
      <c r="V391" s="7" t="s">
        <v>189</v>
      </c>
      <c r="X391" s="3" t="str">
        <f>HYPERLINK("https://hsdes.intel.com/resource/14013158404","14013158404")</f>
        <v>14013158404</v>
      </c>
    </row>
    <row r="392" spans="1:24" x14ac:dyDescent="0.3">
      <c r="A392" s="2" t="str">
        <f>HYPERLINK("https://hsdes.intel.com/resource/14013174102","14013174102")</f>
        <v>14013174102</v>
      </c>
      <c r="B392" s="7" t="s">
        <v>1284</v>
      </c>
      <c r="C392" s="7" t="s">
        <v>2017</v>
      </c>
      <c r="D392" s="7" t="s">
        <v>30</v>
      </c>
      <c r="E392" s="7" t="s">
        <v>122</v>
      </c>
      <c r="F392" s="7" t="s">
        <v>20</v>
      </c>
      <c r="G392" s="28" t="s">
        <v>2027</v>
      </c>
      <c r="J392" s="7" t="s">
        <v>31</v>
      </c>
      <c r="M392" s="6"/>
      <c r="O392" s="7" t="s">
        <v>32</v>
      </c>
      <c r="P392" s="7" t="s">
        <v>175</v>
      </c>
      <c r="Q392" s="7" t="s">
        <v>34</v>
      </c>
      <c r="R392" s="7" t="s">
        <v>24</v>
      </c>
      <c r="S392" s="7" t="s">
        <v>1285</v>
      </c>
      <c r="T392" s="7" t="s">
        <v>478</v>
      </c>
      <c r="U392" s="7" t="s">
        <v>1286</v>
      </c>
      <c r="V392" s="7" t="s">
        <v>179</v>
      </c>
      <c r="X392" s="2" t="str">
        <f>HYPERLINK("https://hsdes.intel.com/resource/14013174102","14013174102")</f>
        <v>14013174102</v>
      </c>
    </row>
    <row r="393" spans="1:24" s="18" customFormat="1" x14ac:dyDescent="0.3">
      <c r="A393" s="17" t="str">
        <f>HYPERLINK("https://hsdes.intel.com/resource/14013176877","14013176877")</f>
        <v>14013176877</v>
      </c>
      <c r="B393" s="18" t="s">
        <v>1287</v>
      </c>
      <c r="C393" s="7" t="s">
        <v>2017</v>
      </c>
      <c r="D393" s="7" t="s">
        <v>257</v>
      </c>
      <c r="E393" s="7" t="s">
        <v>19</v>
      </c>
      <c r="F393" s="7" t="s">
        <v>20</v>
      </c>
      <c r="G393" s="28" t="s">
        <v>2027</v>
      </c>
      <c r="J393" s="7" t="s">
        <v>1974</v>
      </c>
      <c r="M393" s="6">
        <v>44783</v>
      </c>
      <c r="O393" s="18" t="s">
        <v>104</v>
      </c>
      <c r="P393" s="18" t="s">
        <v>163</v>
      </c>
      <c r="Q393" s="18" t="s">
        <v>23</v>
      </c>
      <c r="R393" s="18" t="s">
        <v>24</v>
      </c>
      <c r="S393" s="18" t="s">
        <v>1288</v>
      </c>
      <c r="T393" s="18" t="s">
        <v>205</v>
      </c>
      <c r="U393" s="18" t="s">
        <v>1289</v>
      </c>
      <c r="V393" s="18" t="s">
        <v>166</v>
      </c>
      <c r="X393" s="17" t="str">
        <f>HYPERLINK("https://hsdes.intel.com/resource/14013176877","14013176877")</f>
        <v>14013176877</v>
      </c>
    </row>
    <row r="394" spans="1:24" x14ac:dyDescent="0.3">
      <c r="A394" s="2" t="str">
        <f>HYPERLINK("https://hsdes.intel.com/resource/14013179329","14013179329")</f>
        <v>14013179329</v>
      </c>
      <c r="B394" s="7" t="s">
        <v>1290</v>
      </c>
      <c r="C394" s="7" t="s">
        <v>2017</v>
      </c>
      <c r="D394" s="7" t="s">
        <v>275</v>
      </c>
      <c r="E394" s="7" t="s">
        <v>19</v>
      </c>
      <c r="F394" s="7" t="s">
        <v>20</v>
      </c>
      <c r="G394" s="28" t="s">
        <v>2027</v>
      </c>
      <c r="J394" s="7" t="s">
        <v>2004</v>
      </c>
      <c r="L394" s="7" t="s">
        <v>1976</v>
      </c>
      <c r="M394" s="6">
        <v>44785</v>
      </c>
      <c r="O394" s="7" t="s">
        <v>104</v>
      </c>
      <c r="P394" s="7" t="s">
        <v>78</v>
      </c>
      <c r="Q394" s="7" t="s">
        <v>34</v>
      </c>
      <c r="R394" s="7" t="s">
        <v>24</v>
      </c>
      <c r="S394" s="7" t="s">
        <v>1291</v>
      </c>
      <c r="T394" s="7" t="s">
        <v>1292</v>
      </c>
      <c r="U394" s="7" t="s">
        <v>1293</v>
      </c>
      <c r="V394" s="7" t="s">
        <v>278</v>
      </c>
      <c r="X394" s="2" t="str">
        <f>HYPERLINK("https://hsdes.intel.com/resource/14013179329","14013179329")</f>
        <v>14013179329</v>
      </c>
    </row>
    <row r="395" spans="1:24" x14ac:dyDescent="0.3">
      <c r="A395" s="2" t="str">
        <f>HYPERLINK("https://hsdes.intel.com/resource/14013179332","14013179332")</f>
        <v>14013179332</v>
      </c>
      <c r="B395" s="7" t="s">
        <v>1294</v>
      </c>
      <c r="C395" s="7" t="s">
        <v>2017</v>
      </c>
      <c r="D395" s="7" t="s">
        <v>275</v>
      </c>
      <c r="E395" s="7" t="s">
        <v>122</v>
      </c>
      <c r="F395" s="7" t="s">
        <v>20</v>
      </c>
      <c r="G395" s="28" t="s">
        <v>2027</v>
      </c>
      <c r="J395" s="7" t="s">
        <v>1974</v>
      </c>
      <c r="M395" s="6">
        <v>44785</v>
      </c>
      <c r="O395" s="7" t="s">
        <v>104</v>
      </c>
      <c r="P395" s="7" t="s">
        <v>78</v>
      </c>
      <c r="Q395" s="7" t="s">
        <v>34</v>
      </c>
      <c r="R395" s="7" t="s">
        <v>24</v>
      </c>
      <c r="S395" s="7" t="s">
        <v>1295</v>
      </c>
      <c r="T395" s="7" t="s">
        <v>1292</v>
      </c>
      <c r="U395" s="7" t="s">
        <v>1296</v>
      </c>
      <c r="V395" s="7" t="s">
        <v>278</v>
      </c>
      <c r="X395" s="2" t="str">
        <f>HYPERLINK("https://hsdes.intel.com/resource/14013179332","14013179332")</f>
        <v>14013179332</v>
      </c>
    </row>
    <row r="396" spans="1:24" x14ac:dyDescent="0.3">
      <c r="A396" s="2" t="str">
        <f>HYPERLINK("https://hsdes.intel.com/resource/14013182576","14013182576")</f>
        <v>14013182576</v>
      </c>
      <c r="B396" s="7" t="s">
        <v>1297</v>
      </c>
      <c r="C396" s="7" t="s">
        <v>2017</v>
      </c>
      <c r="D396" s="7" t="s">
        <v>138</v>
      </c>
      <c r="E396" s="7" t="s">
        <v>19</v>
      </c>
      <c r="F396" s="7" t="s">
        <v>20</v>
      </c>
      <c r="G396" s="28" t="s">
        <v>2027</v>
      </c>
      <c r="J396" s="7" t="s">
        <v>1974</v>
      </c>
      <c r="M396" s="6">
        <v>44781</v>
      </c>
      <c r="O396" s="7" t="s">
        <v>32</v>
      </c>
      <c r="P396" s="7" t="s">
        <v>78</v>
      </c>
      <c r="Q396" s="7" t="s">
        <v>34</v>
      </c>
      <c r="R396" s="7" t="s">
        <v>24</v>
      </c>
      <c r="S396" s="7" t="s">
        <v>1298</v>
      </c>
      <c r="T396" s="7" t="s">
        <v>140</v>
      </c>
      <c r="U396" s="7" t="s">
        <v>1299</v>
      </c>
      <c r="V396" s="7" t="s">
        <v>142</v>
      </c>
      <c r="X396" s="2" t="str">
        <f>HYPERLINK("https://hsdes.intel.com/resource/14013182576","14013182576")</f>
        <v>14013182576</v>
      </c>
    </row>
    <row r="397" spans="1:24" x14ac:dyDescent="0.3">
      <c r="A397" s="2" t="str">
        <f>HYPERLINK("https://hsdes.intel.com/resource/14013179024","14013179024")</f>
        <v>14013179024</v>
      </c>
      <c r="B397" s="7" t="s">
        <v>1300</v>
      </c>
      <c r="C397" s="7" t="s">
        <v>2017</v>
      </c>
      <c r="D397" s="7" t="s">
        <v>162</v>
      </c>
      <c r="E397" s="7" t="s">
        <v>19</v>
      </c>
      <c r="F397" s="7" t="s">
        <v>20</v>
      </c>
      <c r="G397" s="28" t="s">
        <v>2027</v>
      </c>
      <c r="J397" s="7" t="s">
        <v>1974</v>
      </c>
      <c r="L397" s="12"/>
      <c r="M397" s="6">
        <v>44783</v>
      </c>
      <c r="O397" s="7" t="s">
        <v>104</v>
      </c>
      <c r="P397" s="7" t="s">
        <v>163</v>
      </c>
      <c r="Q397" s="7" t="s">
        <v>34</v>
      </c>
      <c r="R397" s="7" t="s">
        <v>147</v>
      </c>
      <c r="S397" s="7" t="s">
        <v>1301</v>
      </c>
      <c r="T397" s="7" t="s">
        <v>45</v>
      </c>
      <c r="U397" s="7" t="s">
        <v>1302</v>
      </c>
      <c r="V397" s="7" t="s">
        <v>166</v>
      </c>
      <c r="X397" s="2" t="str">
        <f>HYPERLINK("https://hsdes.intel.com/resource/14013179024","14013179024")</f>
        <v>14013179024</v>
      </c>
    </row>
    <row r="398" spans="1:24" x14ac:dyDescent="0.3">
      <c r="A398" s="2" t="str">
        <f>HYPERLINK("https://hsdes.intel.com/resource/14013178542","14013178542")</f>
        <v>14013178542</v>
      </c>
      <c r="B398" s="7" t="s">
        <v>1303</v>
      </c>
      <c r="C398" s="7" t="s">
        <v>1975</v>
      </c>
      <c r="D398" s="7" t="s">
        <v>162</v>
      </c>
      <c r="E398" s="7" t="s">
        <v>19</v>
      </c>
      <c r="F398" s="7" t="s">
        <v>20</v>
      </c>
      <c r="G398" s="28" t="s">
        <v>2027</v>
      </c>
      <c r="J398" s="7" t="s">
        <v>1974</v>
      </c>
      <c r="L398" s="11" t="s">
        <v>1979</v>
      </c>
      <c r="M398" s="6"/>
      <c r="O398" s="7" t="s">
        <v>104</v>
      </c>
      <c r="P398" s="7" t="s">
        <v>163</v>
      </c>
      <c r="Q398" s="7" t="s">
        <v>23</v>
      </c>
      <c r="R398" s="7" t="s">
        <v>147</v>
      </c>
      <c r="S398" s="7" t="s">
        <v>1304</v>
      </c>
      <c r="T398" s="7" t="s">
        <v>45</v>
      </c>
      <c r="U398" s="7" t="s">
        <v>1305</v>
      </c>
      <c r="V398" s="7" t="s">
        <v>166</v>
      </c>
      <c r="X398" s="2" t="str">
        <f>HYPERLINK("https://hsdes.intel.com/resource/14013178542","14013178542")</f>
        <v>14013178542</v>
      </c>
    </row>
    <row r="399" spans="1:24" x14ac:dyDescent="0.3">
      <c r="A399" s="2" t="str">
        <f>HYPERLINK("https://hsdes.intel.com/resource/14013174020","14013174020")</f>
        <v>14013174020</v>
      </c>
      <c r="B399" s="7" t="s">
        <v>1306</v>
      </c>
      <c r="C399" s="7" t="s">
        <v>2017</v>
      </c>
      <c r="D399" s="7" t="s">
        <v>1075</v>
      </c>
      <c r="E399" s="7" t="s">
        <v>19</v>
      </c>
      <c r="F399" s="7" t="s">
        <v>20</v>
      </c>
      <c r="G399" s="28" t="s">
        <v>2027</v>
      </c>
      <c r="J399" s="7" t="s">
        <v>31</v>
      </c>
      <c r="M399" s="6"/>
      <c r="O399" s="7" t="s">
        <v>32</v>
      </c>
      <c r="P399" s="7" t="s">
        <v>186</v>
      </c>
      <c r="Q399" s="7" t="s">
        <v>23</v>
      </c>
      <c r="R399" s="7" t="s">
        <v>147</v>
      </c>
      <c r="S399" s="7" t="s">
        <v>1307</v>
      </c>
      <c r="T399" s="7" t="s">
        <v>177</v>
      </c>
      <c r="U399" s="7" t="s">
        <v>1308</v>
      </c>
      <c r="V399" s="7" t="s">
        <v>189</v>
      </c>
      <c r="X399" s="2" t="str">
        <f>HYPERLINK("https://hsdes.intel.com/resource/14013174020","14013174020")</f>
        <v>14013174020</v>
      </c>
    </row>
    <row r="400" spans="1:24" x14ac:dyDescent="0.3">
      <c r="A400" s="5" t="str">
        <f>HYPERLINK("https://hsdes.intel.com/resource/14013163067","14013163067")</f>
        <v>14013163067</v>
      </c>
      <c r="B400" s="7" t="s">
        <v>1309</v>
      </c>
      <c r="C400" s="7" t="s">
        <v>2017</v>
      </c>
      <c r="D400" s="7" t="s">
        <v>18</v>
      </c>
      <c r="E400" s="7" t="s">
        <v>19</v>
      </c>
      <c r="F400" s="7" t="s">
        <v>20</v>
      </c>
      <c r="G400" s="28" t="s">
        <v>2027</v>
      </c>
      <c r="J400" s="7" t="s">
        <v>2006</v>
      </c>
      <c r="M400" s="6">
        <v>44785</v>
      </c>
      <c r="O400" s="7" t="s">
        <v>104</v>
      </c>
      <c r="P400" s="7" t="s">
        <v>22</v>
      </c>
      <c r="Q400" s="7" t="s">
        <v>34</v>
      </c>
      <c r="R400" s="7" t="s">
        <v>24</v>
      </c>
      <c r="S400" s="7" t="s">
        <v>1310</v>
      </c>
      <c r="T400" s="7" t="s">
        <v>360</v>
      </c>
      <c r="U400" s="7" t="s">
        <v>1311</v>
      </c>
      <c r="V400" s="7" t="s">
        <v>28</v>
      </c>
      <c r="X400" s="2" t="str">
        <f>HYPERLINK("https://hsdes.intel.com/resource/14013163067","14013163067")</f>
        <v>14013163067</v>
      </c>
    </row>
    <row r="401" spans="1:24" x14ac:dyDescent="0.3">
      <c r="A401" s="2" t="str">
        <f>HYPERLINK("https://hsdes.intel.com/resource/14013163467","14013163467")</f>
        <v>14013163467</v>
      </c>
      <c r="B401" s="7" t="s">
        <v>1312</v>
      </c>
      <c r="C401" s="7" t="s">
        <v>2017</v>
      </c>
      <c r="D401" s="7" t="s">
        <v>275</v>
      </c>
      <c r="E401" s="7" t="s">
        <v>19</v>
      </c>
      <c r="F401" s="7" t="s">
        <v>20</v>
      </c>
      <c r="G401" s="28" t="s">
        <v>2027</v>
      </c>
      <c r="J401" s="7" t="s">
        <v>31</v>
      </c>
      <c r="M401" s="6"/>
      <c r="O401" s="7" t="s">
        <v>21</v>
      </c>
      <c r="P401" s="7" t="s">
        <v>78</v>
      </c>
      <c r="Q401" s="7" t="s">
        <v>34</v>
      </c>
      <c r="R401" s="7" t="s">
        <v>24</v>
      </c>
      <c r="S401" s="7" t="s">
        <v>1313</v>
      </c>
      <c r="T401" s="7" t="s">
        <v>244</v>
      </c>
      <c r="U401" s="7" t="s">
        <v>1314</v>
      </c>
      <c r="V401" s="7" t="s">
        <v>278</v>
      </c>
      <c r="X401" s="2" t="str">
        <f>HYPERLINK("https://hsdes.intel.com/resource/14013163467","14013163467")</f>
        <v>14013163467</v>
      </c>
    </row>
    <row r="402" spans="1:24" s="18" customFormat="1" x14ac:dyDescent="0.3">
      <c r="A402" s="17" t="str">
        <f>HYPERLINK("https://hsdes.intel.com/resource/14013176499","14013176499")</f>
        <v>14013176499</v>
      </c>
      <c r="B402" s="18" t="s">
        <v>1315</v>
      </c>
      <c r="C402" s="7" t="s">
        <v>2017</v>
      </c>
      <c r="D402" s="7" t="s">
        <v>162</v>
      </c>
      <c r="E402" s="7" t="s">
        <v>19</v>
      </c>
      <c r="F402" s="7" t="s">
        <v>20</v>
      </c>
      <c r="G402" s="28" t="s">
        <v>2027</v>
      </c>
      <c r="J402" s="7" t="s">
        <v>1974</v>
      </c>
      <c r="M402" s="6">
        <v>44785</v>
      </c>
      <c r="O402" s="18" t="s">
        <v>32</v>
      </c>
      <c r="P402" s="18" t="s">
        <v>163</v>
      </c>
      <c r="Q402" s="18" t="s">
        <v>34</v>
      </c>
      <c r="R402" s="18" t="s">
        <v>24</v>
      </c>
      <c r="S402" s="18" t="s">
        <v>1316</v>
      </c>
      <c r="T402" s="18" t="s">
        <v>326</v>
      </c>
      <c r="U402" s="18" t="s">
        <v>1317</v>
      </c>
      <c r="V402" s="18" t="s">
        <v>166</v>
      </c>
      <c r="X402" s="17" t="str">
        <f>HYPERLINK("https://hsdes.intel.com/resource/14013176499","14013176499")</f>
        <v>14013176499</v>
      </c>
    </row>
    <row r="403" spans="1:24" x14ac:dyDescent="0.3">
      <c r="A403" s="2" t="str">
        <f>HYPERLINK("https://hsdes.intel.com/resource/14013177371","14013177371")</f>
        <v>14013177371</v>
      </c>
      <c r="B403" s="7" t="s">
        <v>1318</v>
      </c>
      <c r="C403" s="7" t="s">
        <v>2017</v>
      </c>
      <c r="D403" s="7" t="s">
        <v>162</v>
      </c>
      <c r="E403" s="7" t="s">
        <v>19</v>
      </c>
      <c r="F403" s="7" t="s">
        <v>20</v>
      </c>
      <c r="G403" s="28" t="s">
        <v>2027</v>
      </c>
      <c r="J403" s="7" t="s">
        <v>1974</v>
      </c>
      <c r="M403" s="6">
        <v>44781</v>
      </c>
      <c r="O403" s="7" t="s">
        <v>32</v>
      </c>
      <c r="P403" s="7" t="s">
        <v>163</v>
      </c>
      <c r="Q403" s="7" t="s">
        <v>34</v>
      </c>
      <c r="R403" s="7" t="s">
        <v>24</v>
      </c>
      <c r="S403" s="7" t="s">
        <v>1319</v>
      </c>
      <c r="T403" s="7" t="s">
        <v>205</v>
      </c>
      <c r="U403" s="7" t="s">
        <v>1320</v>
      </c>
      <c r="V403" s="7" t="s">
        <v>166</v>
      </c>
      <c r="X403" s="2" t="str">
        <f>HYPERLINK("https://hsdes.intel.com/resource/14013177371","14013177371")</f>
        <v>14013177371</v>
      </c>
    </row>
    <row r="404" spans="1:24" x14ac:dyDescent="0.3">
      <c r="A404" s="2" t="str">
        <f>HYPERLINK("https://hsdes.intel.com/resource/14013185831","14013185831")</f>
        <v>14013185831</v>
      </c>
      <c r="B404" s="7" t="s">
        <v>1321</v>
      </c>
      <c r="C404" s="7" t="s">
        <v>2017</v>
      </c>
      <c r="D404" s="7" t="s">
        <v>162</v>
      </c>
      <c r="E404" s="7" t="s">
        <v>19</v>
      </c>
      <c r="F404" s="7" t="s">
        <v>20</v>
      </c>
      <c r="G404" s="28" t="s">
        <v>2027</v>
      </c>
      <c r="J404" s="7" t="s">
        <v>1974</v>
      </c>
      <c r="M404" s="6">
        <v>44781</v>
      </c>
      <c r="O404" s="7" t="s">
        <v>104</v>
      </c>
      <c r="P404" s="7" t="s">
        <v>163</v>
      </c>
      <c r="Q404" s="7" t="s">
        <v>34</v>
      </c>
      <c r="R404" s="7" t="s">
        <v>24</v>
      </c>
      <c r="S404" s="7" t="s">
        <v>1322</v>
      </c>
      <c r="T404" s="7" t="s">
        <v>506</v>
      </c>
      <c r="U404" s="7" t="s">
        <v>1323</v>
      </c>
      <c r="V404" s="7" t="s">
        <v>166</v>
      </c>
      <c r="X404" s="2" t="str">
        <f>HYPERLINK("https://hsdes.intel.com/resource/14013185831","14013185831")</f>
        <v>14013185831</v>
      </c>
    </row>
    <row r="405" spans="1:24" s="18" customFormat="1" x14ac:dyDescent="0.3">
      <c r="A405" s="17" t="str">
        <f>HYPERLINK("https://hsdes.intel.com/resource/14013162416","14013162416")</f>
        <v>14013162416</v>
      </c>
      <c r="B405" s="18" t="s">
        <v>1324</v>
      </c>
      <c r="C405" s="7" t="s">
        <v>2017</v>
      </c>
      <c r="D405" s="7" t="s">
        <v>267</v>
      </c>
      <c r="E405" s="7" t="s">
        <v>19</v>
      </c>
      <c r="F405" s="7" t="s">
        <v>20</v>
      </c>
      <c r="G405" s="28" t="s">
        <v>2027</v>
      </c>
      <c r="J405" s="7" t="s">
        <v>1974</v>
      </c>
      <c r="L405" s="22"/>
      <c r="M405" s="22">
        <v>44785</v>
      </c>
      <c r="O405" s="18" t="s">
        <v>32</v>
      </c>
      <c r="P405" s="18" t="s">
        <v>33</v>
      </c>
      <c r="Q405" s="18" t="s">
        <v>34</v>
      </c>
      <c r="R405" s="18" t="s">
        <v>147</v>
      </c>
      <c r="S405" s="18" t="s">
        <v>1325</v>
      </c>
      <c r="T405" s="18" t="s">
        <v>244</v>
      </c>
      <c r="U405" s="18" t="s">
        <v>1326</v>
      </c>
      <c r="V405" s="18" t="s">
        <v>270</v>
      </c>
      <c r="X405" s="17" t="str">
        <f>HYPERLINK("https://hsdes.intel.com/resource/14013162416","14013162416")</f>
        <v>14013162416</v>
      </c>
    </row>
    <row r="406" spans="1:24" x14ac:dyDescent="0.3">
      <c r="A406" s="2" t="str">
        <f>HYPERLINK("https://hsdes.intel.com/resource/14013175110","14013175110")</f>
        <v>14013175110</v>
      </c>
      <c r="B406" s="7" t="s">
        <v>1327</v>
      </c>
      <c r="C406" s="7" t="s">
        <v>2017</v>
      </c>
      <c r="D406" s="7" t="s">
        <v>401</v>
      </c>
      <c r="E406" s="7" t="s">
        <v>19</v>
      </c>
      <c r="F406" s="7" t="s">
        <v>20</v>
      </c>
      <c r="G406" s="28" t="s">
        <v>2027</v>
      </c>
      <c r="J406" s="7" t="s">
        <v>1974</v>
      </c>
      <c r="L406" s="7" t="s">
        <v>2016</v>
      </c>
      <c r="M406" s="6">
        <v>44785</v>
      </c>
      <c r="O406" s="7" t="s">
        <v>104</v>
      </c>
      <c r="P406" s="7" t="s">
        <v>186</v>
      </c>
      <c r="Q406" s="7" t="s">
        <v>23</v>
      </c>
      <c r="R406" s="7" t="s">
        <v>147</v>
      </c>
      <c r="S406" s="7" t="s">
        <v>1328</v>
      </c>
      <c r="T406" s="7" t="s">
        <v>244</v>
      </c>
      <c r="U406" s="7" t="s">
        <v>1329</v>
      </c>
      <c r="V406" s="7" t="s">
        <v>189</v>
      </c>
      <c r="X406" s="2" t="str">
        <f>HYPERLINK("https://hsdes.intel.com/resource/14013175110","14013175110")</f>
        <v>14013175110</v>
      </c>
    </row>
    <row r="407" spans="1:24" x14ac:dyDescent="0.3">
      <c r="A407" s="2" t="str">
        <f>HYPERLINK("https://hsdes.intel.com/resource/14013156950","14013156950")</f>
        <v>14013156950</v>
      </c>
      <c r="B407" s="7" t="s">
        <v>1330</v>
      </c>
      <c r="C407" s="7" t="s">
        <v>1975</v>
      </c>
      <c r="D407" s="7" t="s">
        <v>283</v>
      </c>
      <c r="E407" s="7" t="s">
        <v>19</v>
      </c>
      <c r="F407" s="7" t="s">
        <v>20</v>
      </c>
      <c r="G407" s="28" t="s">
        <v>2027</v>
      </c>
      <c r="J407" s="7" t="s">
        <v>2006</v>
      </c>
      <c r="L407" s="7" t="s">
        <v>1985</v>
      </c>
      <c r="M407" s="6"/>
      <c r="O407" s="7" t="s">
        <v>32</v>
      </c>
      <c r="P407" s="7" t="s">
        <v>175</v>
      </c>
      <c r="Q407" s="7" t="s">
        <v>34</v>
      </c>
      <c r="R407" s="7" t="s">
        <v>24</v>
      </c>
      <c r="S407" s="7" t="s">
        <v>1331</v>
      </c>
      <c r="T407" s="7" t="s">
        <v>45</v>
      </c>
      <c r="U407" s="7" t="s">
        <v>1332</v>
      </c>
      <c r="V407" s="7" t="s">
        <v>286</v>
      </c>
      <c r="X407" s="2" t="str">
        <f>HYPERLINK("https://hsdes.intel.com/resource/14013156950","14013156950")</f>
        <v>14013156950</v>
      </c>
    </row>
    <row r="408" spans="1:24" x14ac:dyDescent="0.3">
      <c r="A408" s="2" t="str">
        <f>HYPERLINK("https://hsdes.intel.com/resource/14013164345","14013164345")</f>
        <v>14013164345</v>
      </c>
      <c r="B408" s="7" t="s">
        <v>1333</v>
      </c>
      <c r="C408" s="7" t="s">
        <v>2017</v>
      </c>
      <c r="D408" s="7" t="s">
        <v>275</v>
      </c>
      <c r="E408" s="7" t="s">
        <v>19</v>
      </c>
      <c r="F408" s="7" t="s">
        <v>20</v>
      </c>
      <c r="G408" s="28" t="s">
        <v>2027</v>
      </c>
      <c r="J408" s="7" t="s">
        <v>31</v>
      </c>
      <c r="M408" s="6"/>
      <c r="O408" s="7" t="s">
        <v>32</v>
      </c>
      <c r="P408" s="7" t="s">
        <v>78</v>
      </c>
      <c r="Q408" s="7" t="s">
        <v>34</v>
      </c>
      <c r="R408" s="7" t="s">
        <v>24</v>
      </c>
      <c r="S408" s="7" t="s">
        <v>1334</v>
      </c>
      <c r="T408" s="7" t="s">
        <v>244</v>
      </c>
      <c r="U408" s="7" t="s">
        <v>1335</v>
      </c>
      <c r="V408" s="7" t="s">
        <v>278</v>
      </c>
      <c r="X408" s="2" t="str">
        <f>HYPERLINK("https://hsdes.intel.com/resource/14013164345","14013164345")</f>
        <v>14013164345</v>
      </c>
    </row>
    <row r="409" spans="1:24" s="18" customFormat="1" x14ac:dyDescent="0.3">
      <c r="A409" s="17" t="str">
        <f>HYPERLINK("https://hsdes.intel.com/resource/14013157367","14013157367")</f>
        <v>14013157367</v>
      </c>
      <c r="B409" s="18" t="s">
        <v>1336</v>
      </c>
      <c r="C409" s="7" t="s">
        <v>2017</v>
      </c>
      <c r="D409" s="7" t="s">
        <v>283</v>
      </c>
      <c r="E409" s="7" t="s">
        <v>19</v>
      </c>
      <c r="F409" s="7" t="s">
        <v>20</v>
      </c>
      <c r="G409" s="28" t="s">
        <v>2027</v>
      </c>
      <c r="J409" s="7" t="s">
        <v>2006</v>
      </c>
      <c r="M409" s="6">
        <v>44783</v>
      </c>
      <c r="O409" s="18" t="s">
        <v>32</v>
      </c>
      <c r="P409" s="18" t="s">
        <v>175</v>
      </c>
      <c r="Q409" s="18" t="s">
        <v>34</v>
      </c>
      <c r="R409" s="18" t="s">
        <v>147</v>
      </c>
      <c r="S409" s="18" t="s">
        <v>1337</v>
      </c>
      <c r="T409" s="18" t="s">
        <v>45</v>
      </c>
      <c r="U409" s="18" t="s">
        <v>1338</v>
      </c>
      <c r="V409" s="18" t="s">
        <v>286</v>
      </c>
      <c r="X409" s="19" t="str">
        <f>HYPERLINK("https://hsdes.intel.com/resource/14013157367","14013157367")</f>
        <v>14013157367</v>
      </c>
    </row>
    <row r="410" spans="1:24" x14ac:dyDescent="0.3">
      <c r="A410" s="2" t="str">
        <f>HYPERLINK("https://hsdes.intel.com/resource/14013175415","14013175415")</f>
        <v>14013175415</v>
      </c>
      <c r="B410" s="7" t="s">
        <v>1339</v>
      </c>
      <c r="C410" s="7" t="s">
        <v>2017</v>
      </c>
      <c r="D410" s="7" t="s">
        <v>1075</v>
      </c>
      <c r="E410" s="7" t="s">
        <v>19</v>
      </c>
      <c r="F410" s="7" t="s">
        <v>20</v>
      </c>
      <c r="G410" s="28" t="s">
        <v>2027</v>
      </c>
      <c r="J410" s="7" t="s">
        <v>1974</v>
      </c>
      <c r="M410" s="6">
        <v>44785</v>
      </c>
      <c r="N410" s="6"/>
      <c r="O410" s="7" t="s">
        <v>104</v>
      </c>
      <c r="P410" s="7" t="s">
        <v>186</v>
      </c>
      <c r="Q410" s="7" t="s">
        <v>23</v>
      </c>
      <c r="R410" s="7" t="s">
        <v>147</v>
      </c>
      <c r="S410" s="7" t="s">
        <v>1340</v>
      </c>
      <c r="T410" s="7" t="s">
        <v>244</v>
      </c>
      <c r="U410" s="7" t="s">
        <v>1341</v>
      </c>
      <c r="V410" s="7" t="s">
        <v>189</v>
      </c>
      <c r="X410" s="2" t="str">
        <f>HYPERLINK("https://hsdes.intel.com/resource/14013175415","14013175415")</f>
        <v>14013175415</v>
      </c>
    </row>
    <row r="411" spans="1:24" x14ac:dyDescent="0.3">
      <c r="A411" s="2" t="str">
        <f>HYPERLINK("https://hsdes.intel.com/resource/14013175903","14013175903")</f>
        <v>14013175903</v>
      </c>
      <c r="B411" s="7" t="s">
        <v>1342</v>
      </c>
      <c r="C411" s="7" t="s">
        <v>2017</v>
      </c>
      <c r="D411" s="7" t="s">
        <v>257</v>
      </c>
      <c r="E411" s="7" t="s">
        <v>19</v>
      </c>
      <c r="F411" s="7" t="s">
        <v>20</v>
      </c>
      <c r="G411" s="28" t="s">
        <v>2027</v>
      </c>
      <c r="J411" s="7" t="s">
        <v>31</v>
      </c>
      <c r="M411" s="6"/>
      <c r="O411" s="7" t="s">
        <v>32</v>
      </c>
      <c r="P411" s="7" t="s">
        <v>163</v>
      </c>
      <c r="Q411" s="7" t="s">
        <v>34</v>
      </c>
      <c r="R411" s="7" t="s">
        <v>24</v>
      </c>
      <c r="S411" s="7" t="s">
        <v>1343</v>
      </c>
      <c r="T411" s="7" t="s">
        <v>205</v>
      </c>
      <c r="U411" s="7" t="s">
        <v>1344</v>
      </c>
      <c r="V411" s="7" t="s">
        <v>166</v>
      </c>
      <c r="X411" s="2" t="str">
        <f>HYPERLINK("https://hsdes.intel.com/resource/14013175903","14013175903")</f>
        <v>14013175903</v>
      </c>
    </row>
    <row r="412" spans="1:24" x14ac:dyDescent="0.3">
      <c r="A412" s="2" t="str">
        <f>HYPERLINK("https://hsdes.intel.com/resource/14013173229","14013173229")</f>
        <v>14013173229</v>
      </c>
      <c r="B412" s="7" t="s">
        <v>1345</v>
      </c>
      <c r="C412" s="7" t="s">
        <v>2017</v>
      </c>
      <c r="D412" s="7" t="s">
        <v>138</v>
      </c>
      <c r="E412" s="7" t="s">
        <v>19</v>
      </c>
      <c r="F412" s="7" t="s">
        <v>20</v>
      </c>
      <c r="G412" s="28" t="s">
        <v>2027</v>
      </c>
      <c r="J412" s="7" t="s">
        <v>1974</v>
      </c>
      <c r="M412" s="6">
        <v>44781</v>
      </c>
      <c r="O412" s="7" t="s">
        <v>104</v>
      </c>
      <c r="P412" s="7" t="s">
        <v>78</v>
      </c>
      <c r="Q412" s="7" t="s">
        <v>34</v>
      </c>
      <c r="R412" s="7" t="s">
        <v>24</v>
      </c>
      <c r="S412" s="7" t="s">
        <v>1346</v>
      </c>
      <c r="T412" s="7" t="s">
        <v>244</v>
      </c>
      <c r="U412" s="7" t="s">
        <v>1347</v>
      </c>
      <c r="V412" s="7" t="s">
        <v>81</v>
      </c>
      <c r="X412" s="2" t="str">
        <f>HYPERLINK("https://hsdes.intel.com/resource/14013173229","14013173229")</f>
        <v>14013173229</v>
      </c>
    </row>
    <row r="413" spans="1:24" x14ac:dyDescent="0.3">
      <c r="A413" s="2" t="str">
        <f>HYPERLINK("https://hsdes.intel.com/resource/14013158482","14013158482")</f>
        <v>14013158482</v>
      </c>
      <c r="B413" s="7" t="s">
        <v>1348</v>
      </c>
      <c r="C413" s="7" t="s">
        <v>2017</v>
      </c>
      <c r="D413" s="7" t="s">
        <v>283</v>
      </c>
      <c r="E413" s="7" t="s">
        <v>19</v>
      </c>
      <c r="F413" s="7" t="s">
        <v>20</v>
      </c>
      <c r="G413" s="28" t="s">
        <v>2027</v>
      </c>
      <c r="J413" s="7" t="s">
        <v>2006</v>
      </c>
      <c r="L413" s="7" t="s">
        <v>288</v>
      </c>
      <c r="M413" s="6">
        <v>44783</v>
      </c>
      <c r="O413" s="7" t="s">
        <v>32</v>
      </c>
      <c r="P413" s="7" t="s">
        <v>175</v>
      </c>
      <c r="Q413" s="7" t="s">
        <v>34</v>
      </c>
      <c r="R413" s="7" t="s">
        <v>24</v>
      </c>
      <c r="S413" s="7" t="s">
        <v>1349</v>
      </c>
      <c r="T413" s="7" t="s">
        <v>45</v>
      </c>
      <c r="U413" s="7" t="s">
        <v>1350</v>
      </c>
      <c r="V413" s="7" t="s">
        <v>286</v>
      </c>
      <c r="X413" s="2" t="str">
        <f>HYPERLINK("https://hsdes.intel.com/resource/14013158482","14013158482")</f>
        <v>14013158482</v>
      </c>
    </row>
    <row r="414" spans="1:24" x14ac:dyDescent="0.3">
      <c r="A414" s="5" t="str">
        <f>HYPERLINK("https://hsdes.intel.com/resource/14013158056","14013158056")</f>
        <v>14013158056</v>
      </c>
      <c r="B414" s="7" t="s">
        <v>1351</v>
      </c>
      <c r="C414" s="7" t="s">
        <v>2017</v>
      </c>
      <c r="D414" s="7" t="s">
        <v>138</v>
      </c>
      <c r="E414" s="7" t="s">
        <v>19</v>
      </c>
      <c r="F414" s="7" t="s">
        <v>20</v>
      </c>
      <c r="G414" s="28" t="s">
        <v>2027</v>
      </c>
      <c r="J414" s="7" t="s">
        <v>1974</v>
      </c>
      <c r="M414" s="6">
        <v>44785</v>
      </c>
      <c r="O414" s="7" t="s">
        <v>32</v>
      </c>
      <c r="P414" s="7" t="s">
        <v>22</v>
      </c>
      <c r="Q414" s="7" t="s">
        <v>34</v>
      </c>
      <c r="R414" s="7" t="s">
        <v>24</v>
      </c>
      <c r="S414" s="7" t="s">
        <v>1352</v>
      </c>
      <c r="T414" s="7" t="s">
        <v>205</v>
      </c>
      <c r="U414" s="7" t="s">
        <v>1353</v>
      </c>
      <c r="V414" s="7" t="s">
        <v>172</v>
      </c>
      <c r="X414" s="2" t="str">
        <f>HYPERLINK("https://hsdes.intel.com/resource/14013158056","14013158056")</f>
        <v>14013158056</v>
      </c>
    </row>
    <row r="415" spans="1:24" x14ac:dyDescent="0.3">
      <c r="A415" s="2" t="str">
        <f>HYPERLINK("https://hsdes.intel.com/resource/14013172878","14013172878")</f>
        <v>14013172878</v>
      </c>
      <c r="B415" s="7" t="s">
        <v>1354</v>
      </c>
      <c r="C415" s="7" t="s">
        <v>2017</v>
      </c>
      <c r="D415" s="7" t="s">
        <v>138</v>
      </c>
      <c r="E415" s="7" t="s">
        <v>19</v>
      </c>
      <c r="F415" s="7" t="s">
        <v>20</v>
      </c>
      <c r="G415" s="28" t="s">
        <v>2027</v>
      </c>
      <c r="J415" s="7" t="s">
        <v>31</v>
      </c>
      <c r="M415" s="6"/>
      <c r="O415" s="7" t="s">
        <v>32</v>
      </c>
      <c r="P415" s="7" t="s">
        <v>22</v>
      </c>
      <c r="Q415" s="7" t="s">
        <v>34</v>
      </c>
      <c r="R415" s="7" t="s">
        <v>24</v>
      </c>
      <c r="S415" s="7" t="s">
        <v>1355</v>
      </c>
      <c r="T415" s="7" t="s">
        <v>170</v>
      </c>
      <c r="U415" s="7" t="s">
        <v>1356</v>
      </c>
      <c r="V415" s="7" t="s">
        <v>172</v>
      </c>
      <c r="X415" s="2" t="str">
        <f>HYPERLINK("https://hsdes.intel.com/resource/14013172878","14013172878")</f>
        <v>14013172878</v>
      </c>
    </row>
    <row r="416" spans="1:24" s="18" customFormat="1" x14ac:dyDescent="0.3">
      <c r="A416" s="2" t="str">
        <f>HYPERLINK("https://hsdes.intel.com/resource/14013174080","14013174080")</f>
        <v>14013174080</v>
      </c>
      <c r="B416" s="7" t="s">
        <v>1357</v>
      </c>
      <c r="C416" s="7" t="s">
        <v>2017</v>
      </c>
      <c r="D416" s="7" t="s">
        <v>247</v>
      </c>
      <c r="E416" s="7" t="s">
        <v>19</v>
      </c>
      <c r="F416" s="7" t="s">
        <v>20</v>
      </c>
      <c r="G416" s="28" t="s">
        <v>2027</v>
      </c>
      <c r="J416" s="7" t="s">
        <v>1974</v>
      </c>
      <c r="M416" s="22">
        <v>44785</v>
      </c>
      <c r="O416" s="18" t="s">
        <v>32</v>
      </c>
      <c r="P416" s="18" t="s">
        <v>186</v>
      </c>
      <c r="Q416" s="18" t="s">
        <v>23</v>
      </c>
      <c r="R416" s="18" t="s">
        <v>147</v>
      </c>
      <c r="S416" s="18" t="s">
        <v>1358</v>
      </c>
      <c r="T416" s="18" t="s">
        <v>45</v>
      </c>
      <c r="U416" s="18" t="s">
        <v>1359</v>
      </c>
      <c r="V416" s="18" t="s">
        <v>189</v>
      </c>
      <c r="X416" s="2" t="str">
        <f>HYPERLINK("https://hsdes.intel.com/resource/14013174080","14013174080")</f>
        <v>14013174080</v>
      </c>
    </row>
    <row r="417" spans="1:24" x14ac:dyDescent="0.3">
      <c r="A417" s="2" t="str">
        <f>HYPERLINK("https://hsdes.intel.com/resource/14013161300","14013161300")</f>
        <v>14013161300</v>
      </c>
      <c r="B417" s="7" t="s">
        <v>1360</v>
      </c>
      <c r="C417" s="7" t="s">
        <v>2017</v>
      </c>
      <c r="D417" s="7" t="s">
        <v>77</v>
      </c>
      <c r="E417" s="7" t="s">
        <v>19</v>
      </c>
      <c r="F417" s="7" t="s">
        <v>20</v>
      </c>
      <c r="G417" s="28" t="s">
        <v>2027</v>
      </c>
      <c r="J417" s="7" t="s">
        <v>2004</v>
      </c>
      <c r="M417" s="6">
        <v>44785</v>
      </c>
      <c r="O417" s="7" t="s">
        <v>32</v>
      </c>
      <c r="P417" s="7" t="s">
        <v>78</v>
      </c>
      <c r="Q417" s="7" t="s">
        <v>34</v>
      </c>
      <c r="R417" s="7" t="s">
        <v>24</v>
      </c>
      <c r="S417" s="7" t="s">
        <v>1361</v>
      </c>
      <c r="T417" s="7" t="s">
        <v>45</v>
      </c>
      <c r="U417" s="7" t="s">
        <v>1362</v>
      </c>
      <c r="V417" s="7" t="s">
        <v>81</v>
      </c>
      <c r="X417" s="2" t="str">
        <f>HYPERLINK("https://hsdes.intel.com/resource/14013161300","14013161300")</f>
        <v>14013161300</v>
      </c>
    </row>
    <row r="418" spans="1:24" x14ac:dyDescent="0.3">
      <c r="A418" s="5" t="str">
        <f>HYPERLINK("https://hsdes.intel.com/resource/14013161304","14013161304")</f>
        <v>14013161304</v>
      </c>
      <c r="B418" s="7" t="s">
        <v>1363</v>
      </c>
      <c r="C418" s="7" t="s">
        <v>2017</v>
      </c>
      <c r="D418" s="7" t="s">
        <v>77</v>
      </c>
      <c r="E418" s="7" t="s">
        <v>19</v>
      </c>
      <c r="F418" s="7" t="s">
        <v>20</v>
      </c>
      <c r="G418" s="28" t="s">
        <v>2027</v>
      </c>
      <c r="J418" s="7" t="s">
        <v>2004</v>
      </c>
      <c r="M418" s="6">
        <v>44785</v>
      </c>
      <c r="O418" s="7" t="s">
        <v>32</v>
      </c>
      <c r="P418" s="7" t="s">
        <v>78</v>
      </c>
      <c r="Q418" s="7" t="s">
        <v>34</v>
      </c>
      <c r="R418" s="7" t="s">
        <v>24</v>
      </c>
      <c r="S418" s="7" t="s">
        <v>1364</v>
      </c>
      <c r="T418" s="7" t="s">
        <v>45</v>
      </c>
      <c r="U418" s="7" t="s">
        <v>1365</v>
      </c>
      <c r="V418" s="7" t="s">
        <v>81</v>
      </c>
      <c r="X418" s="2" t="str">
        <f>HYPERLINK("https://hsdes.intel.com/resource/14013161304","14013161304")</f>
        <v>14013161304</v>
      </c>
    </row>
    <row r="419" spans="1:24" s="18" customFormat="1" x14ac:dyDescent="0.3">
      <c r="A419" s="17" t="str">
        <f>HYPERLINK("https://hsdes.intel.com/resource/14013156871","14013156871")</f>
        <v>14013156871</v>
      </c>
      <c r="B419" s="18" t="s">
        <v>1366</v>
      </c>
      <c r="C419" s="7" t="s">
        <v>2017</v>
      </c>
      <c r="D419" s="7" t="s">
        <v>283</v>
      </c>
      <c r="E419" s="7" t="s">
        <v>19</v>
      </c>
      <c r="F419" s="7" t="s">
        <v>20</v>
      </c>
      <c r="G419" s="28" t="s">
        <v>2027</v>
      </c>
      <c r="J419" s="7" t="s">
        <v>2006</v>
      </c>
      <c r="M419" s="6">
        <v>44783</v>
      </c>
      <c r="O419" s="18" t="s">
        <v>32</v>
      </c>
      <c r="P419" s="18" t="s">
        <v>175</v>
      </c>
      <c r="Q419" s="18" t="s">
        <v>34</v>
      </c>
      <c r="R419" s="18" t="s">
        <v>24</v>
      </c>
      <c r="S419" s="18" t="s">
        <v>1367</v>
      </c>
      <c r="T419" s="18" t="s">
        <v>45</v>
      </c>
      <c r="U419" s="18" t="s">
        <v>1368</v>
      </c>
      <c r="V419" s="18" t="s">
        <v>286</v>
      </c>
      <c r="X419" s="17" t="str">
        <f>HYPERLINK("https://hsdes.intel.com/resource/14013156871","14013156871")</f>
        <v>14013156871</v>
      </c>
    </row>
    <row r="420" spans="1:24" x14ac:dyDescent="0.3">
      <c r="A420" s="2" t="str">
        <f>HYPERLINK("https://hsdes.intel.com/resource/14013157576","14013157576")</f>
        <v>14013157576</v>
      </c>
      <c r="B420" s="7" t="s">
        <v>1369</v>
      </c>
      <c r="C420" s="7" t="s">
        <v>2017</v>
      </c>
      <c r="D420" s="7" t="s">
        <v>417</v>
      </c>
      <c r="E420" s="7" t="s">
        <v>19</v>
      </c>
      <c r="F420" s="7" t="s">
        <v>20</v>
      </c>
      <c r="G420" s="28" t="s">
        <v>2027</v>
      </c>
      <c r="J420" s="7" t="s">
        <v>2006</v>
      </c>
      <c r="M420" s="6">
        <v>44784</v>
      </c>
      <c r="O420" s="7" t="s">
        <v>32</v>
      </c>
      <c r="P420" s="7" t="s">
        <v>163</v>
      </c>
      <c r="Q420" s="7" t="s">
        <v>34</v>
      </c>
      <c r="R420" s="7" t="s">
        <v>24</v>
      </c>
      <c r="S420" s="7" t="s">
        <v>1370</v>
      </c>
      <c r="T420" s="7" t="s">
        <v>1239</v>
      </c>
      <c r="U420" s="7" t="s">
        <v>1371</v>
      </c>
      <c r="V420" s="7" t="s">
        <v>81</v>
      </c>
      <c r="X420" s="2" t="str">
        <f>HYPERLINK("https://hsdes.intel.com/resource/14013157576","14013157576")</f>
        <v>14013157576</v>
      </c>
    </row>
    <row r="421" spans="1:24" x14ac:dyDescent="0.3">
      <c r="A421" s="2" t="str">
        <f>HYPERLINK("https://hsdes.intel.com/resource/14013185245","14013185245")</f>
        <v>14013185245</v>
      </c>
      <c r="B421" s="7" t="s">
        <v>1372</v>
      </c>
      <c r="C421" s="7" t="s">
        <v>2017</v>
      </c>
      <c r="D421" s="7" t="s">
        <v>546</v>
      </c>
      <c r="E421" s="7" t="s">
        <v>19</v>
      </c>
      <c r="F421" s="7" t="s">
        <v>20</v>
      </c>
      <c r="G421" s="28" t="s">
        <v>2027</v>
      </c>
      <c r="J421" s="7" t="s">
        <v>2020</v>
      </c>
      <c r="L421" s="7" t="s">
        <v>1373</v>
      </c>
      <c r="M421" s="6">
        <v>44783</v>
      </c>
      <c r="O421" s="7" t="s">
        <v>32</v>
      </c>
      <c r="P421" s="7" t="s">
        <v>186</v>
      </c>
      <c r="Q421" s="7" t="s">
        <v>34</v>
      </c>
      <c r="R421" s="7" t="s">
        <v>147</v>
      </c>
      <c r="S421" s="7" t="s">
        <v>1374</v>
      </c>
      <c r="T421" s="7" t="s">
        <v>293</v>
      </c>
      <c r="U421" s="7" t="s">
        <v>1375</v>
      </c>
      <c r="V421" s="7" t="s">
        <v>189</v>
      </c>
      <c r="X421" s="5" t="str">
        <f>HYPERLINK("https://hsdes.intel.com/resource/14013185245","14013185245")</f>
        <v>14013185245</v>
      </c>
    </row>
    <row r="422" spans="1:24" x14ac:dyDescent="0.3">
      <c r="A422" s="2" t="str">
        <f>HYPERLINK("https://hsdes.intel.com/resource/14013185257","14013185257")</f>
        <v>14013185257</v>
      </c>
      <c r="B422" s="7" t="s">
        <v>1376</v>
      </c>
      <c r="C422" s="7" t="s">
        <v>2017</v>
      </c>
      <c r="D422" s="7" t="s">
        <v>546</v>
      </c>
      <c r="E422" s="7" t="s">
        <v>19</v>
      </c>
      <c r="F422" s="7" t="s">
        <v>20</v>
      </c>
      <c r="G422" s="28" t="s">
        <v>2027</v>
      </c>
      <c r="J422" s="7" t="s">
        <v>2020</v>
      </c>
      <c r="L422" s="7" t="s">
        <v>1373</v>
      </c>
      <c r="M422" s="6">
        <v>44783</v>
      </c>
      <c r="O422" s="7" t="s">
        <v>104</v>
      </c>
      <c r="P422" s="7" t="s">
        <v>186</v>
      </c>
      <c r="Q422" s="7" t="s">
        <v>34</v>
      </c>
      <c r="R422" s="7" t="s">
        <v>147</v>
      </c>
      <c r="S422" s="7" t="s">
        <v>1377</v>
      </c>
      <c r="T422" s="7" t="s">
        <v>293</v>
      </c>
      <c r="U422" s="7" t="s">
        <v>1378</v>
      </c>
      <c r="V422" s="7" t="s">
        <v>189</v>
      </c>
      <c r="X422" s="5" t="str">
        <f>HYPERLINK("https://hsdes.intel.com/resource/14013185257","14013185257")</f>
        <v>14013185257</v>
      </c>
    </row>
    <row r="423" spans="1:24" x14ac:dyDescent="0.3">
      <c r="A423" s="2" t="str">
        <f>HYPERLINK("https://hsdes.intel.com/resource/14013175492","14013175492")</f>
        <v>14013175492</v>
      </c>
      <c r="B423" s="7" t="s">
        <v>1379</v>
      </c>
      <c r="C423" s="7" t="s">
        <v>2017</v>
      </c>
      <c r="D423" s="7" t="s">
        <v>546</v>
      </c>
      <c r="E423" s="7" t="s">
        <v>19</v>
      </c>
      <c r="F423" s="7" t="s">
        <v>20</v>
      </c>
      <c r="G423" s="28" t="s">
        <v>2027</v>
      </c>
      <c r="J423" s="7" t="s">
        <v>2020</v>
      </c>
      <c r="M423" s="6">
        <v>44783</v>
      </c>
      <c r="O423" s="7" t="s">
        <v>21</v>
      </c>
      <c r="P423" s="7" t="s">
        <v>186</v>
      </c>
      <c r="Q423" s="7" t="s">
        <v>34</v>
      </c>
      <c r="R423" s="7" t="s">
        <v>147</v>
      </c>
      <c r="S423" s="7" t="s">
        <v>1380</v>
      </c>
      <c r="T423" s="7" t="s">
        <v>293</v>
      </c>
      <c r="U423" s="7" t="s">
        <v>1381</v>
      </c>
      <c r="V423" s="7" t="s">
        <v>189</v>
      </c>
      <c r="X423" s="5" t="str">
        <f>HYPERLINK("https://hsdes.intel.com/resource/14013175492","14013175492")</f>
        <v>14013175492</v>
      </c>
    </row>
    <row r="424" spans="1:24" x14ac:dyDescent="0.3">
      <c r="A424" s="2" t="str">
        <f>HYPERLINK("https://hsdes.intel.com/resource/22011834556","22011834556")</f>
        <v>22011834556</v>
      </c>
      <c r="B424" s="7" t="s">
        <v>1382</v>
      </c>
      <c r="C424" s="7" t="s">
        <v>2017</v>
      </c>
      <c r="D424" s="7" t="s">
        <v>546</v>
      </c>
      <c r="E424" s="7" t="s">
        <v>19</v>
      </c>
      <c r="F424" s="7" t="s">
        <v>20</v>
      </c>
      <c r="G424" s="28" t="s">
        <v>2027</v>
      </c>
      <c r="J424" s="7" t="s">
        <v>1974</v>
      </c>
      <c r="M424" s="6">
        <v>44785</v>
      </c>
      <c r="N424" s="6"/>
      <c r="O424" s="7" t="s">
        <v>32</v>
      </c>
      <c r="P424" s="7" t="s">
        <v>186</v>
      </c>
      <c r="Q424" s="7" t="s">
        <v>34</v>
      </c>
      <c r="R424" s="7" t="s">
        <v>147</v>
      </c>
      <c r="S424" s="7" t="s">
        <v>1383</v>
      </c>
      <c r="T424" s="7" t="s">
        <v>177</v>
      </c>
      <c r="U424" s="7" t="s">
        <v>1384</v>
      </c>
      <c r="V424" s="7" t="s">
        <v>189</v>
      </c>
      <c r="X424" s="2" t="str">
        <f>HYPERLINK("https://hsdes.intel.com/resource/22011834556","22011834556")</f>
        <v>22011834556</v>
      </c>
    </row>
    <row r="425" spans="1:24" x14ac:dyDescent="0.3">
      <c r="A425" s="2" t="str">
        <f>HYPERLINK("https://hsdes.intel.com/resource/16013815316","16013815316")</f>
        <v>16013815316</v>
      </c>
      <c r="B425" s="7" t="s">
        <v>1385</v>
      </c>
      <c r="C425" s="7" t="s">
        <v>2017</v>
      </c>
      <c r="D425" s="7" t="s">
        <v>417</v>
      </c>
      <c r="E425" s="7" t="s">
        <v>122</v>
      </c>
      <c r="F425" s="7" t="s">
        <v>20</v>
      </c>
      <c r="G425" s="28" t="s">
        <v>2027</v>
      </c>
      <c r="J425" s="7" t="s">
        <v>1974</v>
      </c>
      <c r="L425" s="7" t="s">
        <v>2014</v>
      </c>
      <c r="M425" s="6">
        <v>44785</v>
      </c>
      <c r="N425" s="6"/>
      <c r="O425" s="7" t="s">
        <v>32</v>
      </c>
      <c r="P425" s="7" t="s">
        <v>163</v>
      </c>
      <c r="Q425" s="7" t="s">
        <v>34</v>
      </c>
      <c r="R425" s="7" t="s">
        <v>147</v>
      </c>
      <c r="T425" s="7" t="s">
        <v>419</v>
      </c>
      <c r="U425" s="7" t="s">
        <v>1386</v>
      </c>
      <c r="X425" s="5" t="str">
        <f>HYPERLINK("https://hsdes.intel.com/resource/16013815316","16013815316")</f>
        <v>16013815316</v>
      </c>
    </row>
    <row r="426" spans="1:24" x14ac:dyDescent="0.3">
      <c r="A426" s="2" t="str">
        <f>HYPERLINK("https://hsdes.intel.com/resource/14013184525","14013184525")</f>
        <v>14013184525</v>
      </c>
      <c r="B426" s="7" t="s">
        <v>1387</v>
      </c>
      <c r="C426" s="7" t="s">
        <v>2017</v>
      </c>
      <c r="D426" s="7" t="s">
        <v>138</v>
      </c>
      <c r="E426" s="7" t="s">
        <v>122</v>
      </c>
      <c r="F426" s="7" t="s">
        <v>20</v>
      </c>
      <c r="G426" s="28" t="s">
        <v>2027</v>
      </c>
      <c r="J426" s="7" t="s">
        <v>1974</v>
      </c>
      <c r="M426" s="6">
        <v>44783</v>
      </c>
      <c r="O426" s="7" t="s">
        <v>32</v>
      </c>
      <c r="P426" s="7" t="s">
        <v>78</v>
      </c>
      <c r="Q426" s="7" t="s">
        <v>23</v>
      </c>
      <c r="R426" s="7" t="s">
        <v>24</v>
      </c>
      <c r="S426" s="7" t="s">
        <v>1388</v>
      </c>
      <c r="T426" s="7" t="s">
        <v>140</v>
      </c>
      <c r="U426" s="7" t="s">
        <v>1389</v>
      </c>
      <c r="V426" s="7" t="s">
        <v>81</v>
      </c>
      <c r="X426" s="2" t="str">
        <f>HYPERLINK("https://hsdes.intel.com/resource/14013184525","14013184525")</f>
        <v>14013184525</v>
      </c>
    </row>
    <row r="427" spans="1:24" s="18" customFormat="1" x14ac:dyDescent="0.3">
      <c r="A427" s="19" t="str">
        <f>HYPERLINK("https://hsdes.intel.com/resource/14013161879","14013161879")</f>
        <v>14013161879</v>
      </c>
      <c r="B427" s="18" t="s">
        <v>1390</v>
      </c>
      <c r="C427" s="7" t="s">
        <v>2017</v>
      </c>
      <c r="D427" s="7" t="s">
        <v>18</v>
      </c>
      <c r="E427" s="7" t="s">
        <v>19</v>
      </c>
      <c r="F427" s="7" t="s">
        <v>20</v>
      </c>
      <c r="G427" s="28" t="s">
        <v>2027</v>
      </c>
      <c r="J427" s="7" t="s">
        <v>2006</v>
      </c>
      <c r="M427" s="6">
        <v>44785</v>
      </c>
      <c r="O427" s="18" t="s">
        <v>104</v>
      </c>
      <c r="P427" s="18" t="s">
        <v>22</v>
      </c>
      <c r="Q427" s="18" t="s">
        <v>34</v>
      </c>
      <c r="R427" s="18" t="s">
        <v>147</v>
      </c>
      <c r="S427" s="18" t="s">
        <v>1391</v>
      </c>
      <c r="T427" s="18" t="s">
        <v>106</v>
      </c>
      <c r="U427" s="18" t="s">
        <v>1392</v>
      </c>
      <c r="V427" s="18" t="s">
        <v>28</v>
      </c>
      <c r="X427" s="17" t="str">
        <f>HYPERLINK("https://hsdes.intel.com/resource/14013161879","14013161879")</f>
        <v>14013161879</v>
      </c>
    </row>
    <row r="428" spans="1:24" s="18" customFormat="1" x14ac:dyDescent="0.3">
      <c r="A428" s="19" t="str">
        <f>HYPERLINK("https://hsdes.intel.com/resource/14013158813","14013158813")</f>
        <v>14013158813</v>
      </c>
      <c r="B428" s="18" t="s">
        <v>1393</v>
      </c>
      <c r="C428" s="7" t="s">
        <v>2017</v>
      </c>
      <c r="D428" s="7" t="s">
        <v>18</v>
      </c>
      <c r="E428" s="7" t="s">
        <v>19</v>
      </c>
      <c r="F428" s="7" t="s">
        <v>20</v>
      </c>
      <c r="G428" s="28" t="s">
        <v>2027</v>
      </c>
      <c r="J428" s="7" t="s">
        <v>2006</v>
      </c>
      <c r="L428" s="18" t="s">
        <v>1987</v>
      </c>
      <c r="M428" s="6">
        <v>44785</v>
      </c>
      <c r="O428" s="18" t="s">
        <v>104</v>
      </c>
      <c r="P428" s="18" t="s">
        <v>22</v>
      </c>
      <c r="Q428" s="18" t="s">
        <v>34</v>
      </c>
      <c r="R428" s="18" t="s">
        <v>24</v>
      </c>
      <c r="S428" s="18" t="s">
        <v>1394</v>
      </c>
      <c r="T428" s="18" t="s">
        <v>106</v>
      </c>
      <c r="U428" s="18" t="s">
        <v>1395</v>
      </c>
      <c r="V428" s="18" t="s">
        <v>28</v>
      </c>
      <c r="X428" s="17" t="str">
        <f>HYPERLINK("https://hsdes.intel.com/resource/14013158813","14013158813")</f>
        <v>14013158813</v>
      </c>
    </row>
    <row r="429" spans="1:24" x14ac:dyDescent="0.3">
      <c r="A429" s="5" t="str">
        <f>HYPERLINK("https://hsdes.intel.com/resource/14013175215","14013175215")</f>
        <v>14013175215</v>
      </c>
      <c r="B429" s="7" t="s">
        <v>1396</v>
      </c>
      <c r="C429" s="7" t="s">
        <v>2017</v>
      </c>
      <c r="D429" s="7" t="s">
        <v>546</v>
      </c>
      <c r="E429" s="7" t="s">
        <v>19</v>
      </c>
      <c r="F429" s="7" t="s">
        <v>20</v>
      </c>
      <c r="G429" s="28" t="s">
        <v>2027</v>
      </c>
      <c r="J429" s="7" t="s">
        <v>1974</v>
      </c>
      <c r="L429" s="7" t="s">
        <v>1983</v>
      </c>
      <c r="M429" s="6">
        <v>44785</v>
      </c>
      <c r="O429" s="7" t="s">
        <v>32</v>
      </c>
      <c r="P429" s="7" t="s">
        <v>186</v>
      </c>
      <c r="Q429" s="7" t="s">
        <v>34</v>
      </c>
      <c r="R429" s="7" t="s">
        <v>147</v>
      </c>
      <c r="S429" s="7" t="s">
        <v>1397</v>
      </c>
      <c r="T429" s="7" t="s">
        <v>177</v>
      </c>
      <c r="U429" s="7" t="s">
        <v>1398</v>
      </c>
      <c r="V429" s="7" t="s">
        <v>189</v>
      </c>
      <c r="X429" s="2" t="str">
        <f>HYPERLINK("https://hsdes.intel.com/resource/14013175215","14013175215")</f>
        <v>14013175215</v>
      </c>
    </row>
    <row r="430" spans="1:24" x14ac:dyDescent="0.3">
      <c r="A430" s="2" t="str">
        <f>HYPERLINK("https://hsdes.intel.com/resource/14013179157","14013179157")</f>
        <v>14013179157</v>
      </c>
      <c r="B430" s="7" t="s">
        <v>1399</v>
      </c>
      <c r="C430" s="7" t="s">
        <v>2017</v>
      </c>
      <c r="D430" s="7" t="s">
        <v>238</v>
      </c>
      <c r="E430" s="7" t="s">
        <v>19</v>
      </c>
      <c r="F430" s="7" t="s">
        <v>20</v>
      </c>
      <c r="G430" s="28" t="s">
        <v>2027</v>
      </c>
      <c r="J430" s="7" t="s">
        <v>1974</v>
      </c>
      <c r="M430" s="6">
        <v>44785</v>
      </c>
      <c r="O430" s="7" t="s">
        <v>21</v>
      </c>
      <c r="P430" s="7" t="s">
        <v>186</v>
      </c>
      <c r="Q430" s="7" t="s">
        <v>34</v>
      </c>
      <c r="R430" s="7" t="s">
        <v>147</v>
      </c>
      <c r="S430" s="7" t="s">
        <v>1400</v>
      </c>
      <c r="T430" s="7" t="s">
        <v>244</v>
      </c>
      <c r="U430" s="7" t="s">
        <v>1401</v>
      </c>
      <c r="V430" s="7" t="s">
        <v>189</v>
      </c>
      <c r="X430" s="2" t="str">
        <f>HYPERLINK("https://hsdes.intel.com/resource/14013179157","14013179157")</f>
        <v>14013179157</v>
      </c>
    </row>
    <row r="431" spans="1:24" x14ac:dyDescent="0.3">
      <c r="A431" s="2" t="str">
        <f>HYPERLINK("https://hsdes.intel.com/resource/14013159842","14013159842")</f>
        <v>14013159842</v>
      </c>
      <c r="B431" s="7" t="s">
        <v>1402</v>
      </c>
      <c r="C431" s="7" t="s">
        <v>2017</v>
      </c>
      <c r="D431" s="7" t="s">
        <v>283</v>
      </c>
      <c r="E431" s="7" t="s">
        <v>19</v>
      </c>
      <c r="F431" s="7" t="s">
        <v>20</v>
      </c>
      <c r="G431" s="28" t="s">
        <v>2027</v>
      </c>
      <c r="J431" s="7" t="s">
        <v>2006</v>
      </c>
      <c r="L431" s="7" t="s">
        <v>288</v>
      </c>
      <c r="M431" s="6">
        <v>44783</v>
      </c>
      <c r="O431" s="7" t="s">
        <v>32</v>
      </c>
      <c r="P431" s="7" t="s">
        <v>175</v>
      </c>
      <c r="Q431" s="7" t="s">
        <v>34</v>
      </c>
      <c r="R431" s="7" t="s">
        <v>24</v>
      </c>
      <c r="S431" s="7" t="s">
        <v>1403</v>
      </c>
      <c r="T431" s="7" t="s">
        <v>45</v>
      </c>
      <c r="U431" s="7" t="s">
        <v>1404</v>
      </c>
      <c r="V431" s="7" t="s">
        <v>286</v>
      </c>
      <c r="X431" s="2" t="str">
        <f>HYPERLINK("https://hsdes.intel.com/resource/14013159842","14013159842")</f>
        <v>14013159842</v>
      </c>
    </row>
    <row r="432" spans="1:24" x14ac:dyDescent="0.3">
      <c r="A432" s="2" t="str">
        <f>HYPERLINK("https://hsdes.intel.com/resource/14013172855","14013172855")</f>
        <v>14013172855</v>
      </c>
      <c r="B432" s="7" t="s">
        <v>1405</v>
      </c>
      <c r="C432" s="7" t="s">
        <v>2017</v>
      </c>
      <c r="D432" s="7" t="s">
        <v>138</v>
      </c>
      <c r="E432" s="7" t="s">
        <v>19</v>
      </c>
      <c r="F432" s="7" t="s">
        <v>20</v>
      </c>
      <c r="G432" s="28" t="s">
        <v>2027</v>
      </c>
      <c r="J432" s="7" t="s">
        <v>2020</v>
      </c>
      <c r="M432" s="6">
        <v>44783</v>
      </c>
      <c r="O432" s="7" t="s">
        <v>32</v>
      </c>
      <c r="P432" s="7" t="s">
        <v>22</v>
      </c>
      <c r="Q432" s="7" t="s">
        <v>34</v>
      </c>
      <c r="R432" s="7" t="s">
        <v>24</v>
      </c>
      <c r="S432" s="7" t="s">
        <v>1406</v>
      </c>
      <c r="T432" s="7" t="s">
        <v>471</v>
      </c>
      <c r="U432" s="7" t="s">
        <v>1407</v>
      </c>
      <c r="V432" s="7" t="s">
        <v>172</v>
      </c>
      <c r="X432" s="2" t="str">
        <f>HYPERLINK("https://hsdes.intel.com/resource/14013172855","14013172855")</f>
        <v>14013172855</v>
      </c>
    </row>
    <row r="433" spans="1:24" x14ac:dyDescent="0.3">
      <c r="A433" s="2" t="str">
        <f>HYPERLINK("https://hsdes.intel.com/resource/14013173137","14013173137")</f>
        <v>14013173137</v>
      </c>
      <c r="B433" s="7" t="s">
        <v>1408</v>
      </c>
      <c r="C433" s="7" t="s">
        <v>2017</v>
      </c>
      <c r="D433" s="7" t="s">
        <v>242</v>
      </c>
      <c r="E433" s="7" t="s">
        <v>122</v>
      </c>
      <c r="F433" s="7" t="s">
        <v>20</v>
      </c>
      <c r="G433" s="28" t="s">
        <v>2027</v>
      </c>
      <c r="J433" s="7" t="s">
        <v>2004</v>
      </c>
      <c r="L433" s="7" t="s">
        <v>2010</v>
      </c>
      <c r="M433" s="6">
        <v>44785</v>
      </c>
      <c r="N433" s="6"/>
      <c r="O433" s="7" t="s">
        <v>32</v>
      </c>
      <c r="P433" s="7" t="s">
        <v>22</v>
      </c>
      <c r="Q433" s="7" t="s">
        <v>34</v>
      </c>
      <c r="R433" s="7" t="s">
        <v>24</v>
      </c>
      <c r="S433" s="7" t="s">
        <v>1409</v>
      </c>
      <c r="T433" s="7" t="s">
        <v>244</v>
      </c>
      <c r="U433" s="7" t="s">
        <v>1410</v>
      </c>
      <c r="V433" s="7" t="s">
        <v>179</v>
      </c>
      <c r="X433" s="2" t="str">
        <f>HYPERLINK("https://hsdes.intel.com/resource/14013173137","14013173137")</f>
        <v>14013173137</v>
      </c>
    </row>
    <row r="434" spans="1:24" x14ac:dyDescent="0.3">
      <c r="A434" s="2" t="str">
        <f>HYPERLINK("https://hsdes.intel.com/resource/14013173122","14013173122")</f>
        <v>14013173122</v>
      </c>
      <c r="B434" s="7" t="s">
        <v>1411</v>
      </c>
      <c r="C434" s="7" t="s">
        <v>2017</v>
      </c>
      <c r="D434" s="7" t="s">
        <v>138</v>
      </c>
      <c r="E434" s="7" t="s">
        <v>122</v>
      </c>
      <c r="F434" s="7" t="s">
        <v>20</v>
      </c>
      <c r="G434" s="28" t="s">
        <v>2027</v>
      </c>
      <c r="J434" s="7" t="s">
        <v>1974</v>
      </c>
      <c r="M434" s="6">
        <v>44781</v>
      </c>
      <c r="O434" s="7" t="s">
        <v>32</v>
      </c>
      <c r="P434" s="7" t="s">
        <v>78</v>
      </c>
      <c r="Q434" s="7" t="s">
        <v>34</v>
      </c>
      <c r="R434" s="7" t="s">
        <v>147</v>
      </c>
      <c r="S434" s="7" t="s">
        <v>1412</v>
      </c>
      <c r="T434" s="7" t="s">
        <v>205</v>
      </c>
      <c r="U434" s="7" t="s">
        <v>1413</v>
      </c>
      <c r="V434" s="7" t="s">
        <v>179</v>
      </c>
      <c r="X434" s="2" t="str">
        <f>HYPERLINK("https://hsdes.intel.com/resource/14013173122","14013173122")</f>
        <v>14013173122</v>
      </c>
    </row>
    <row r="435" spans="1:24" x14ac:dyDescent="0.3">
      <c r="A435" s="2" t="str">
        <f>HYPERLINK("https://hsdes.intel.com/resource/14013185822","14013185822")</f>
        <v>14013185822</v>
      </c>
      <c r="B435" s="7" t="s">
        <v>1414</v>
      </c>
      <c r="C435" s="7" t="s">
        <v>2017</v>
      </c>
      <c r="D435" s="7" t="s">
        <v>162</v>
      </c>
      <c r="E435" s="7" t="s">
        <v>19</v>
      </c>
      <c r="F435" s="7" t="s">
        <v>20</v>
      </c>
      <c r="G435" s="28" t="s">
        <v>2027</v>
      </c>
      <c r="J435" s="7" t="s">
        <v>1974</v>
      </c>
      <c r="M435" s="6">
        <v>44783</v>
      </c>
      <c r="O435" s="7" t="s">
        <v>104</v>
      </c>
      <c r="P435" s="7" t="s">
        <v>163</v>
      </c>
      <c r="Q435" s="7" t="s">
        <v>23</v>
      </c>
      <c r="R435" s="7" t="s">
        <v>24</v>
      </c>
      <c r="S435" s="7" t="s">
        <v>1415</v>
      </c>
      <c r="T435" s="7" t="s">
        <v>205</v>
      </c>
      <c r="U435" s="7" t="s">
        <v>1416</v>
      </c>
      <c r="V435" s="7" t="s">
        <v>166</v>
      </c>
      <c r="X435" s="2" t="str">
        <f>HYPERLINK("https://hsdes.intel.com/resource/14013185822","14013185822")</f>
        <v>14013185822</v>
      </c>
    </row>
    <row r="436" spans="1:24" s="18" customFormat="1" x14ac:dyDescent="0.3">
      <c r="A436" s="17" t="str">
        <f>HYPERLINK("https://hsdes.intel.com/resource/14013177761","14013177761")</f>
        <v>14013177761</v>
      </c>
      <c r="B436" s="18" t="s">
        <v>1417</v>
      </c>
      <c r="C436" s="7" t="s">
        <v>2017</v>
      </c>
      <c r="D436" s="7" t="s">
        <v>174</v>
      </c>
      <c r="E436" s="7" t="s">
        <v>19</v>
      </c>
      <c r="F436" s="7" t="s">
        <v>20</v>
      </c>
      <c r="G436" s="28" t="s">
        <v>2027</v>
      </c>
      <c r="J436" s="7" t="s">
        <v>2006</v>
      </c>
      <c r="M436" s="6">
        <v>44784</v>
      </c>
      <c r="O436" s="18" t="s">
        <v>32</v>
      </c>
      <c r="P436" s="18" t="s">
        <v>175</v>
      </c>
      <c r="Q436" s="18" t="s">
        <v>34</v>
      </c>
      <c r="R436" s="18" t="s">
        <v>147</v>
      </c>
      <c r="S436" s="18" t="s">
        <v>1418</v>
      </c>
      <c r="T436" s="18" t="s">
        <v>1419</v>
      </c>
      <c r="U436" s="18" t="s">
        <v>1420</v>
      </c>
      <c r="V436" s="18" t="s">
        <v>179</v>
      </c>
      <c r="X436" s="17" t="str">
        <f>HYPERLINK("https://hsdes.intel.com/resource/14013177761","14013177761")</f>
        <v>14013177761</v>
      </c>
    </row>
    <row r="437" spans="1:24" x14ac:dyDescent="0.3">
      <c r="A437" s="2" t="str">
        <f>HYPERLINK("https://hsdes.intel.com/resource/14013176969","14013176969")</f>
        <v>14013176969</v>
      </c>
      <c r="B437" s="7" t="s">
        <v>1421</v>
      </c>
      <c r="C437" s="7" t="s">
        <v>2017</v>
      </c>
      <c r="D437" s="7" t="s">
        <v>174</v>
      </c>
      <c r="E437" s="7" t="s">
        <v>122</v>
      </c>
      <c r="F437" s="7" t="s">
        <v>20</v>
      </c>
      <c r="G437" s="28" t="s">
        <v>2027</v>
      </c>
      <c r="J437" s="7" t="s">
        <v>1974</v>
      </c>
      <c r="M437" s="6">
        <v>44785</v>
      </c>
      <c r="O437" s="7" t="s">
        <v>21</v>
      </c>
      <c r="P437" s="7" t="s">
        <v>175</v>
      </c>
      <c r="Q437" s="7" t="s">
        <v>34</v>
      </c>
      <c r="R437" s="7" t="s">
        <v>24</v>
      </c>
      <c r="S437" s="7" t="s">
        <v>1422</v>
      </c>
      <c r="T437" s="7" t="s">
        <v>205</v>
      </c>
      <c r="U437" s="7" t="s">
        <v>1423</v>
      </c>
      <c r="V437" s="7" t="s">
        <v>179</v>
      </c>
      <c r="X437" s="2" t="str">
        <f>HYPERLINK("https://hsdes.intel.com/resource/14013176969","14013176969")</f>
        <v>14013176969</v>
      </c>
    </row>
    <row r="438" spans="1:24" x14ac:dyDescent="0.3">
      <c r="A438" s="2" t="str">
        <f>HYPERLINK("https://hsdes.intel.com/resource/14013176972","14013176972")</f>
        <v>14013176972</v>
      </c>
      <c r="B438" s="7" t="s">
        <v>1424</v>
      </c>
      <c r="C438" s="7" t="s">
        <v>2017</v>
      </c>
      <c r="D438" s="7" t="s">
        <v>174</v>
      </c>
      <c r="E438" s="7" t="s">
        <v>122</v>
      </c>
      <c r="F438" s="7" t="s">
        <v>20</v>
      </c>
      <c r="G438" s="28" t="s">
        <v>2027</v>
      </c>
      <c r="J438" s="7" t="s">
        <v>31</v>
      </c>
      <c r="M438" s="6"/>
      <c r="O438" s="7" t="s">
        <v>104</v>
      </c>
      <c r="P438" s="7" t="s">
        <v>175</v>
      </c>
      <c r="Q438" s="7" t="s">
        <v>34</v>
      </c>
      <c r="R438" s="7" t="s">
        <v>24</v>
      </c>
      <c r="S438" s="7" t="s">
        <v>1425</v>
      </c>
      <c r="T438" s="7" t="s">
        <v>205</v>
      </c>
      <c r="U438" s="7" t="s">
        <v>1426</v>
      </c>
      <c r="V438" s="7" t="s">
        <v>179</v>
      </c>
      <c r="X438" s="2" t="str">
        <f>HYPERLINK("https://hsdes.intel.com/resource/14013176972","14013176972")</f>
        <v>14013176972</v>
      </c>
    </row>
    <row r="439" spans="1:24" x14ac:dyDescent="0.3">
      <c r="A439" s="2" t="str">
        <f>HYPERLINK("https://hsdes.intel.com/resource/14013165299","14013165299")</f>
        <v>14013165299</v>
      </c>
      <c r="B439" s="7" t="s">
        <v>1427</v>
      </c>
      <c r="C439" s="7" t="s">
        <v>2017</v>
      </c>
      <c r="D439" s="7" t="s">
        <v>283</v>
      </c>
      <c r="E439" s="7" t="s">
        <v>19</v>
      </c>
      <c r="F439" s="7" t="s">
        <v>20</v>
      </c>
      <c r="G439" s="28" t="s">
        <v>2027</v>
      </c>
      <c r="J439" s="7" t="s">
        <v>2006</v>
      </c>
      <c r="M439" s="6">
        <v>44783</v>
      </c>
      <c r="O439" s="7" t="s">
        <v>32</v>
      </c>
      <c r="P439" s="7" t="s">
        <v>175</v>
      </c>
      <c r="Q439" s="7" t="s">
        <v>34</v>
      </c>
      <c r="R439" s="7" t="s">
        <v>24</v>
      </c>
      <c r="S439" s="7" t="s">
        <v>1428</v>
      </c>
      <c r="T439" s="7" t="s">
        <v>446</v>
      </c>
      <c r="U439" s="7" t="s">
        <v>1429</v>
      </c>
      <c r="V439" s="7" t="s">
        <v>286</v>
      </c>
      <c r="X439" s="2" t="str">
        <f>HYPERLINK("https://hsdes.intel.com/resource/14013165299","14013165299")</f>
        <v>14013165299</v>
      </c>
    </row>
    <row r="440" spans="1:24" x14ac:dyDescent="0.3">
      <c r="A440" s="2" t="str">
        <f>HYPERLINK("https://hsdes.intel.com/resource/14013160122","14013160122")</f>
        <v>14013160122</v>
      </c>
      <c r="B440" s="7" t="s">
        <v>1430</v>
      </c>
      <c r="C440" s="7" t="s">
        <v>2017</v>
      </c>
      <c r="D440" s="7" t="s">
        <v>30</v>
      </c>
      <c r="E440" s="7" t="s">
        <v>19</v>
      </c>
      <c r="F440" s="7" t="s">
        <v>20</v>
      </c>
      <c r="G440" s="28" t="s">
        <v>2027</v>
      </c>
      <c r="J440" s="7" t="s">
        <v>2006</v>
      </c>
      <c r="M440" s="6">
        <v>44784</v>
      </c>
      <c r="O440" s="7" t="s">
        <v>104</v>
      </c>
      <c r="P440" s="7" t="s">
        <v>33</v>
      </c>
      <c r="Q440" s="7" t="s">
        <v>34</v>
      </c>
      <c r="R440" s="7" t="s">
        <v>24</v>
      </c>
      <c r="S440" s="7" t="s">
        <v>1431</v>
      </c>
      <c r="T440" s="7" t="s">
        <v>205</v>
      </c>
      <c r="U440" s="7" t="s">
        <v>1432</v>
      </c>
      <c r="V440" s="7" t="s">
        <v>38</v>
      </c>
      <c r="X440" s="2" t="str">
        <f>HYPERLINK("https://hsdes.intel.com/resource/14013160122","14013160122")</f>
        <v>14013160122</v>
      </c>
    </row>
    <row r="441" spans="1:24" x14ac:dyDescent="0.3">
      <c r="A441" s="2" t="str">
        <f>HYPERLINK("https://hsdes.intel.com/resource/14013160745","14013160745")</f>
        <v>14013160745</v>
      </c>
      <c r="B441" s="7" t="s">
        <v>1433</v>
      </c>
      <c r="C441" s="7" t="s">
        <v>2017</v>
      </c>
      <c r="D441" s="7" t="s">
        <v>30</v>
      </c>
      <c r="E441" s="7" t="s">
        <v>19</v>
      </c>
      <c r="F441" s="7" t="s">
        <v>20</v>
      </c>
      <c r="G441" s="28" t="s">
        <v>2027</v>
      </c>
      <c r="J441" s="7" t="s">
        <v>31</v>
      </c>
      <c r="M441" s="6"/>
      <c r="O441" s="7" t="s">
        <v>32</v>
      </c>
      <c r="P441" s="7" t="s">
        <v>33</v>
      </c>
      <c r="Q441" s="7" t="s">
        <v>34</v>
      </c>
      <c r="R441" s="7" t="s">
        <v>24</v>
      </c>
      <c r="S441" s="7" t="s">
        <v>1434</v>
      </c>
      <c r="T441" s="7" t="s">
        <v>205</v>
      </c>
      <c r="U441" s="7" t="s">
        <v>1435</v>
      </c>
      <c r="V441" s="7" t="s">
        <v>38</v>
      </c>
      <c r="X441" s="2" t="str">
        <f>HYPERLINK("https://hsdes.intel.com/resource/14013160745","14013160745")</f>
        <v>14013160745</v>
      </c>
    </row>
    <row r="442" spans="1:24" x14ac:dyDescent="0.3">
      <c r="A442" s="2" t="str">
        <f>HYPERLINK("https://hsdes.intel.com/resource/14013160932","14013160932")</f>
        <v>14013160932</v>
      </c>
      <c r="B442" s="7" t="s">
        <v>1436</v>
      </c>
      <c r="C442" s="7" t="s">
        <v>2017</v>
      </c>
      <c r="D442" s="7" t="s">
        <v>275</v>
      </c>
      <c r="E442" s="7" t="s">
        <v>19</v>
      </c>
      <c r="F442" s="7" t="s">
        <v>20</v>
      </c>
      <c r="G442" s="28" t="s">
        <v>2027</v>
      </c>
      <c r="J442" s="7" t="s">
        <v>1974</v>
      </c>
      <c r="M442" s="6">
        <v>44785</v>
      </c>
      <c r="N442" s="6"/>
      <c r="O442" s="7" t="s">
        <v>104</v>
      </c>
      <c r="P442" s="7" t="s">
        <v>78</v>
      </c>
      <c r="Q442" s="7" t="s">
        <v>34</v>
      </c>
      <c r="R442" s="7" t="s">
        <v>24</v>
      </c>
      <c r="S442" s="7" t="s">
        <v>1437</v>
      </c>
      <c r="T442" s="7" t="s">
        <v>1292</v>
      </c>
      <c r="U442" s="7" t="s">
        <v>1438</v>
      </c>
      <c r="V442" s="7" t="s">
        <v>278</v>
      </c>
      <c r="X442" s="2" t="str">
        <f>HYPERLINK("https://hsdes.intel.com/resource/14013160932","14013160932")</f>
        <v>14013160932</v>
      </c>
    </row>
    <row r="443" spans="1:24" x14ac:dyDescent="0.3">
      <c r="A443" s="2" t="str">
        <f>HYPERLINK("https://hsdes.intel.com/resource/16014845759","16014845759")</f>
        <v>16014845759</v>
      </c>
      <c r="B443" s="7" t="s">
        <v>1439</v>
      </c>
      <c r="C443" s="7" t="s">
        <v>2017</v>
      </c>
      <c r="D443" s="7" t="s">
        <v>417</v>
      </c>
      <c r="E443" s="7" t="s">
        <v>19</v>
      </c>
      <c r="F443" s="7" t="s">
        <v>20</v>
      </c>
      <c r="G443" s="28" t="s">
        <v>2027</v>
      </c>
      <c r="J443" s="7" t="s">
        <v>2004</v>
      </c>
      <c r="M443" s="6">
        <v>44785</v>
      </c>
      <c r="O443" s="7" t="s">
        <v>21</v>
      </c>
      <c r="P443" s="7" t="s">
        <v>163</v>
      </c>
      <c r="Q443" s="7" t="s">
        <v>34</v>
      </c>
      <c r="R443" s="7" t="s">
        <v>147</v>
      </c>
      <c r="T443" s="7" t="s">
        <v>419</v>
      </c>
      <c r="U443" s="7" t="s">
        <v>1440</v>
      </c>
      <c r="X443" s="2" t="str">
        <f>HYPERLINK("https://hsdes.intel.com/resource/16014845759","16014845759")</f>
        <v>16014845759</v>
      </c>
    </row>
    <row r="444" spans="1:24" s="18" customFormat="1" x14ac:dyDescent="0.3">
      <c r="A444" s="19" t="str">
        <f>HYPERLINK("https://hsdes.intel.com/resource/14013162433","14013162433")</f>
        <v>14013162433</v>
      </c>
      <c r="B444" s="18" t="s">
        <v>1441</v>
      </c>
      <c r="C444" s="7" t="s">
        <v>2017</v>
      </c>
      <c r="D444" s="7" t="s">
        <v>267</v>
      </c>
      <c r="E444" s="7" t="s">
        <v>19</v>
      </c>
      <c r="F444" s="7" t="s">
        <v>20</v>
      </c>
      <c r="G444" s="28" t="s">
        <v>2027</v>
      </c>
      <c r="J444" s="7" t="s">
        <v>2020</v>
      </c>
      <c r="M444" s="22">
        <v>44785</v>
      </c>
      <c r="O444" s="18" t="s">
        <v>32</v>
      </c>
      <c r="P444" s="18" t="s">
        <v>33</v>
      </c>
      <c r="Q444" s="18" t="s">
        <v>34</v>
      </c>
      <c r="R444" s="18" t="s">
        <v>147</v>
      </c>
      <c r="S444" s="18" t="s">
        <v>1442</v>
      </c>
      <c r="T444" s="18" t="s">
        <v>244</v>
      </c>
      <c r="U444" s="18" t="s">
        <v>1443</v>
      </c>
      <c r="V444" s="18" t="s">
        <v>270</v>
      </c>
      <c r="X444" s="17" t="str">
        <f>HYPERLINK("https://hsdes.intel.com/resource/14013162433","14013162433")</f>
        <v>14013162433</v>
      </c>
    </row>
    <row r="445" spans="1:24" s="18" customFormat="1" x14ac:dyDescent="0.3">
      <c r="A445" s="19" t="str">
        <f>HYPERLINK("https://hsdes.intel.com/resource/14013162422","14013162422")</f>
        <v>14013162422</v>
      </c>
      <c r="B445" s="18" t="s">
        <v>1444</v>
      </c>
      <c r="C445" s="7" t="s">
        <v>2017</v>
      </c>
      <c r="D445" s="7" t="s">
        <v>267</v>
      </c>
      <c r="E445" s="7" t="s">
        <v>19</v>
      </c>
      <c r="F445" s="7" t="s">
        <v>20</v>
      </c>
      <c r="G445" s="28" t="s">
        <v>2027</v>
      </c>
      <c r="J445" s="7" t="s">
        <v>2020</v>
      </c>
      <c r="M445" s="6">
        <v>44785</v>
      </c>
      <c r="O445" s="18" t="s">
        <v>32</v>
      </c>
      <c r="P445" s="18" t="s">
        <v>33</v>
      </c>
      <c r="Q445" s="18" t="s">
        <v>34</v>
      </c>
      <c r="R445" s="18" t="s">
        <v>147</v>
      </c>
      <c r="S445" s="18" t="s">
        <v>1445</v>
      </c>
      <c r="T445" s="18" t="s">
        <v>244</v>
      </c>
      <c r="U445" s="18" t="s">
        <v>1446</v>
      </c>
      <c r="V445" s="18" t="s">
        <v>270</v>
      </c>
      <c r="X445" s="17" t="str">
        <f>HYPERLINK("https://hsdes.intel.com/resource/14013162422","14013162422")</f>
        <v>14013162422</v>
      </c>
    </row>
    <row r="446" spans="1:24" x14ac:dyDescent="0.3">
      <c r="A446" s="2" t="str">
        <f>HYPERLINK("https://hsdes.intel.com/resource/14013159180","14013159180")</f>
        <v>14013159180</v>
      </c>
      <c r="B446" s="7" t="s">
        <v>1447</v>
      </c>
      <c r="C446" s="7" t="s">
        <v>2017</v>
      </c>
      <c r="D446" s="7" t="s">
        <v>18</v>
      </c>
      <c r="E446" s="7" t="s">
        <v>19</v>
      </c>
      <c r="F446" s="7" t="s">
        <v>20</v>
      </c>
      <c r="G446" s="28" t="s">
        <v>2027</v>
      </c>
      <c r="J446" s="7" t="s">
        <v>2006</v>
      </c>
      <c r="M446" s="6">
        <v>44785</v>
      </c>
      <c r="O446" s="7" t="s">
        <v>104</v>
      </c>
      <c r="P446" s="7" t="s">
        <v>22</v>
      </c>
      <c r="Q446" s="7" t="s">
        <v>34</v>
      </c>
      <c r="R446" s="7" t="s">
        <v>147</v>
      </c>
      <c r="S446" s="7" t="s">
        <v>1448</v>
      </c>
      <c r="T446" s="7" t="s">
        <v>26</v>
      </c>
      <c r="U446" s="7" t="s">
        <v>1449</v>
      </c>
      <c r="V446" s="7" t="s">
        <v>28</v>
      </c>
      <c r="X446" s="2" t="str">
        <f>HYPERLINK("https://hsdes.intel.com/resource/14013159180","14013159180")</f>
        <v>14013159180</v>
      </c>
    </row>
    <row r="447" spans="1:24" x14ac:dyDescent="0.3">
      <c r="A447" s="2" t="str">
        <f>HYPERLINK("https://hsdes.intel.com/resource/14013182314","14013182314")</f>
        <v>14013182314</v>
      </c>
      <c r="B447" s="7" t="s">
        <v>1450</v>
      </c>
      <c r="C447" s="7" t="s">
        <v>2017</v>
      </c>
      <c r="D447" s="7" t="s">
        <v>257</v>
      </c>
      <c r="E447" s="7" t="s">
        <v>19</v>
      </c>
      <c r="F447" s="7" t="s">
        <v>20</v>
      </c>
      <c r="G447" s="28" t="s">
        <v>2027</v>
      </c>
      <c r="J447" s="7" t="s">
        <v>1974</v>
      </c>
      <c r="M447" s="6">
        <v>44781</v>
      </c>
      <c r="O447" s="7" t="s">
        <v>32</v>
      </c>
      <c r="P447" s="7" t="s">
        <v>163</v>
      </c>
      <c r="Q447" s="7" t="s">
        <v>34</v>
      </c>
      <c r="R447" s="7" t="s">
        <v>24</v>
      </c>
      <c r="S447" s="7" t="s">
        <v>1451</v>
      </c>
      <c r="T447" s="7" t="s">
        <v>326</v>
      </c>
      <c r="U447" s="7" t="s">
        <v>1452</v>
      </c>
      <c r="V447" s="7" t="s">
        <v>166</v>
      </c>
      <c r="X447" s="2" t="str">
        <f>HYPERLINK("https://hsdes.intel.com/resource/14013182314","14013182314")</f>
        <v>14013182314</v>
      </c>
    </row>
    <row r="448" spans="1:24" x14ac:dyDescent="0.3">
      <c r="A448" s="2" t="str">
        <f>HYPERLINK("https://hsdes.intel.com/resource/14013169121","14013169121")</f>
        <v>14013169121</v>
      </c>
      <c r="B448" s="7" t="s">
        <v>1453</v>
      </c>
      <c r="C448" s="7" t="s">
        <v>2017</v>
      </c>
      <c r="D448" s="7" t="s">
        <v>417</v>
      </c>
      <c r="E448" s="7" t="s">
        <v>19</v>
      </c>
      <c r="F448" s="7" t="s">
        <v>20</v>
      </c>
      <c r="G448" s="28" t="s">
        <v>2027</v>
      </c>
      <c r="J448" s="7" t="s">
        <v>31</v>
      </c>
      <c r="M448" s="6"/>
      <c r="O448" s="7" t="s">
        <v>104</v>
      </c>
      <c r="P448" s="7" t="s">
        <v>163</v>
      </c>
      <c r="Q448" s="7" t="s">
        <v>34</v>
      </c>
      <c r="R448" s="7" t="s">
        <v>24</v>
      </c>
      <c r="S448" s="7" t="s">
        <v>1454</v>
      </c>
      <c r="T448" s="7" t="s">
        <v>419</v>
      </c>
      <c r="U448" s="7" t="s">
        <v>1455</v>
      </c>
      <c r="V448" s="7" t="s">
        <v>421</v>
      </c>
      <c r="X448" s="2" t="str">
        <f>HYPERLINK("https://hsdes.intel.com/resource/14013169121","14013169121")</f>
        <v>14013169121</v>
      </c>
    </row>
    <row r="449" spans="1:24" x14ac:dyDescent="0.3">
      <c r="A449" s="2" t="str">
        <f>HYPERLINK("https://hsdes.intel.com/resource/14013160780","14013160780")</f>
        <v>14013160780</v>
      </c>
      <c r="B449" s="7" t="s">
        <v>1456</v>
      </c>
      <c r="C449" s="7" t="s">
        <v>2017</v>
      </c>
      <c r="D449" s="7" t="s">
        <v>550</v>
      </c>
      <c r="E449" s="7" t="s">
        <v>19</v>
      </c>
      <c r="F449" s="7" t="s">
        <v>20</v>
      </c>
      <c r="G449" s="28" t="s">
        <v>2027</v>
      </c>
      <c r="J449" s="7" t="s">
        <v>1974</v>
      </c>
      <c r="M449" s="6">
        <v>44785</v>
      </c>
      <c r="O449" s="7" t="s">
        <v>32</v>
      </c>
      <c r="P449" s="7" t="s">
        <v>22</v>
      </c>
      <c r="Q449" s="7" t="s">
        <v>34</v>
      </c>
      <c r="R449" s="7" t="s">
        <v>147</v>
      </c>
      <c r="S449" s="7" t="s">
        <v>1457</v>
      </c>
      <c r="T449" s="7" t="s">
        <v>941</v>
      </c>
      <c r="U449" s="7" t="s">
        <v>1458</v>
      </c>
      <c r="V449" s="7" t="s">
        <v>172</v>
      </c>
      <c r="X449" s="2" t="str">
        <f>HYPERLINK("https://hsdes.intel.com/resource/14013160780","14013160780")</f>
        <v>14013160780</v>
      </c>
    </row>
    <row r="450" spans="1:24" s="18" customFormat="1" x14ac:dyDescent="0.3">
      <c r="A450" s="17" t="str">
        <f>HYPERLINK("https://hsdes.intel.com/resource/14013173084","14013173084")</f>
        <v>14013173084</v>
      </c>
      <c r="B450" s="18" t="s">
        <v>1459</v>
      </c>
      <c r="C450" s="7" t="s">
        <v>2017</v>
      </c>
      <c r="D450" s="7" t="s">
        <v>283</v>
      </c>
      <c r="E450" s="7" t="s">
        <v>19</v>
      </c>
      <c r="F450" s="7" t="s">
        <v>20</v>
      </c>
      <c r="G450" s="28" t="s">
        <v>2027</v>
      </c>
      <c r="J450" s="7" t="s">
        <v>1974</v>
      </c>
      <c r="M450" s="22">
        <v>44785</v>
      </c>
      <c r="O450" s="18" t="s">
        <v>32</v>
      </c>
      <c r="P450" s="18" t="s">
        <v>22</v>
      </c>
      <c r="Q450" s="18" t="s">
        <v>34</v>
      </c>
      <c r="R450" s="18" t="s">
        <v>24</v>
      </c>
      <c r="S450" s="18" t="s">
        <v>1460</v>
      </c>
      <c r="T450" s="18" t="s">
        <v>205</v>
      </c>
      <c r="U450" s="18" t="s">
        <v>1461</v>
      </c>
      <c r="V450" s="18" t="s">
        <v>172</v>
      </c>
      <c r="X450" s="17" t="str">
        <f>HYPERLINK("https://hsdes.intel.com/resource/14013173084","14013173084")</f>
        <v>14013173084</v>
      </c>
    </row>
    <row r="451" spans="1:24" x14ac:dyDescent="0.3">
      <c r="A451" s="2" t="str">
        <f>HYPERLINK("https://hsdes.intel.com/resource/14013121481","14013121481")</f>
        <v>14013121481</v>
      </c>
      <c r="B451" s="7" t="s">
        <v>1462</v>
      </c>
      <c r="C451" s="7" t="s">
        <v>2017</v>
      </c>
      <c r="D451" s="7" t="s">
        <v>578</v>
      </c>
      <c r="E451" s="7" t="s">
        <v>19</v>
      </c>
      <c r="F451" s="7" t="s">
        <v>20</v>
      </c>
      <c r="G451" s="28" t="s">
        <v>2027</v>
      </c>
      <c r="J451" s="7" t="s">
        <v>1974</v>
      </c>
      <c r="M451" s="6">
        <v>44783</v>
      </c>
      <c r="O451" s="7" t="s">
        <v>21</v>
      </c>
      <c r="P451" s="7" t="s">
        <v>22</v>
      </c>
      <c r="Q451" s="7" t="s">
        <v>34</v>
      </c>
      <c r="R451" s="7" t="s">
        <v>24</v>
      </c>
      <c r="S451" s="7" t="s">
        <v>1463</v>
      </c>
      <c r="T451" s="7" t="s">
        <v>45</v>
      </c>
      <c r="U451" s="7" t="s">
        <v>1464</v>
      </c>
      <c r="V451" s="7" t="s">
        <v>38</v>
      </c>
      <c r="X451" s="2" t="str">
        <f>HYPERLINK("https://hsdes.intel.com/resource/14013121481","14013121481")</f>
        <v>14013121481</v>
      </c>
    </row>
    <row r="452" spans="1:24" x14ac:dyDescent="0.3">
      <c r="A452" s="2" t="str">
        <f>HYPERLINK("https://hsdes.intel.com/resource/14013163074","14013163074")</f>
        <v>14013163074</v>
      </c>
      <c r="B452" s="7" t="s">
        <v>1465</v>
      </c>
      <c r="C452" s="7" t="s">
        <v>1975</v>
      </c>
      <c r="D452" s="7" t="s">
        <v>417</v>
      </c>
      <c r="E452" s="7" t="s">
        <v>19</v>
      </c>
      <c r="F452" s="7" t="s">
        <v>20</v>
      </c>
      <c r="G452" s="28" t="s">
        <v>2027</v>
      </c>
      <c r="J452" s="7" t="s">
        <v>2006</v>
      </c>
      <c r="L452" s="7" t="s">
        <v>1466</v>
      </c>
      <c r="M452" s="6"/>
      <c r="O452" s="7" t="s">
        <v>32</v>
      </c>
      <c r="P452" s="7" t="s">
        <v>163</v>
      </c>
      <c r="Q452" s="7" t="s">
        <v>34</v>
      </c>
      <c r="R452" s="7" t="s">
        <v>24</v>
      </c>
      <c r="S452" s="7" t="s">
        <v>1467</v>
      </c>
      <c r="T452" s="7" t="s">
        <v>1239</v>
      </c>
      <c r="U452" s="7" t="s">
        <v>1468</v>
      </c>
      <c r="V452" s="7" t="s">
        <v>421</v>
      </c>
      <c r="X452" s="2" t="str">
        <f>HYPERLINK("https://hsdes.intel.com/resource/14013163074","14013163074")</f>
        <v>14013163074</v>
      </c>
    </row>
    <row r="453" spans="1:24" x14ac:dyDescent="0.3">
      <c r="A453" s="2" t="str">
        <f>HYPERLINK("https://hsdes.intel.com/resource/14013182355","14013182355")</f>
        <v>14013182355</v>
      </c>
      <c r="B453" s="7" t="s">
        <v>1469</v>
      </c>
      <c r="C453" s="7" t="s">
        <v>2017</v>
      </c>
      <c r="D453" s="7" t="s">
        <v>18</v>
      </c>
      <c r="E453" s="7" t="s">
        <v>19</v>
      </c>
      <c r="F453" s="7" t="s">
        <v>20</v>
      </c>
      <c r="G453" s="28" t="s">
        <v>2027</v>
      </c>
      <c r="J453" s="7" t="s">
        <v>2006</v>
      </c>
      <c r="M453" s="6">
        <v>44785</v>
      </c>
      <c r="O453" s="7" t="s">
        <v>21</v>
      </c>
      <c r="P453" s="7" t="s">
        <v>22</v>
      </c>
      <c r="Q453" s="7" t="s">
        <v>34</v>
      </c>
      <c r="R453" s="7" t="s">
        <v>24</v>
      </c>
      <c r="S453" s="7" t="s">
        <v>1470</v>
      </c>
      <c r="T453" s="7" t="s">
        <v>116</v>
      </c>
      <c r="U453" s="7" t="s">
        <v>1471</v>
      </c>
      <c r="V453" s="7" t="s">
        <v>28</v>
      </c>
      <c r="X453" s="2" t="str">
        <f>HYPERLINK("https://hsdes.intel.com/resource/14013182355","14013182355")</f>
        <v>14013182355</v>
      </c>
    </row>
    <row r="454" spans="1:24" x14ac:dyDescent="0.3">
      <c r="A454" s="2" t="str">
        <f>HYPERLINK("https://hsdes.intel.com/resource/14013182348","14013182348")</f>
        <v>14013182348</v>
      </c>
      <c r="B454" s="7" t="s">
        <v>1472</v>
      </c>
      <c r="C454" s="7" t="s">
        <v>2017</v>
      </c>
      <c r="D454" s="7" t="s">
        <v>18</v>
      </c>
      <c r="E454" s="7" t="s">
        <v>19</v>
      </c>
      <c r="F454" s="7" t="s">
        <v>20</v>
      </c>
      <c r="G454" s="28" t="s">
        <v>2027</v>
      </c>
      <c r="J454" s="7" t="s">
        <v>2006</v>
      </c>
      <c r="M454" s="6">
        <v>44785</v>
      </c>
      <c r="O454" s="7" t="s">
        <v>21</v>
      </c>
      <c r="P454" s="7" t="s">
        <v>22</v>
      </c>
      <c r="Q454" s="7" t="s">
        <v>34</v>
      </c>
      <c r="R454" s="7" t="s">
        <v>24</v>
      </c>
      <c r="S454" s="7" t="s">
        <v>1473</v>
      </c>
      <c r="T454" s="7" t="s">
        <v>116</v>
      </c>
      <c r="U454" s="7" t="s">
        <v>1474</v>
      </c>
      <c r="V454" s="7" t="s">
        <v>28</v>
      </c>
      <c r="X454" s="2" t="str">
        <f>HYPERLINK("https://hsdes.intel.com/resource/14013182348","14013182348")</f>
        <v>14013182348</v>
      </c>
    </row>
    <row r="455" spans="1:24" x14ac:dyDescent="0.3">
      <c r="A455" s="2" t="str">
        <f>HYPERLINK("https://hsdes.intel.com/resource/14013160593","14013160593")</f>
        <v>14013160593</v>
      </c>
      <c r="B455" s="7" t="s">
        <v>1475</v>
      </c>
      <c r="C455" s="7" t="s">
        <v>2017</v>
      </c>
      <c r="D455" s="7" t="s">
        <v>550</v>
      </c>
      <c r="E455" s="7" t="s">
        <v>19</v>
      </c>
      <c r="F455" s="7" t="s">
        <v>20</v>
      </c>
      <c r="G455" s="28" t="s">
        <v>2027</v>
      </c>
      <c r="J455" s="7" t="s">
        <v>1974</v>
      </c>
      <c r="L455" s="11"/>
      <c r="M455" s="6">
        <v>44785</v>
      </c>
      <c r="O455" s="7" t="s">
        <v>32</v>
      </c>
      <c r="P455" s="7" t="s">
        <v>22</v>
      </c>
      <c r="Q455" s="7" t="s">
        <v>34</v>
      </c>
      <c r="R455" s="7" t="s">
        <v>24</v>
      </c>
      <c r="S455" s="7" t="s">
        <v>1476</v>
      </c>
      <c r="T455" s="7" t="s">
        <v>205</v>
      </c>
      <c r="U455" s="7" t="s">
        <v>1477</v>
      </c>
      <c r="V455" s="7" t="s">
        <v>172</v>
      </c>
      <c r="X455" s="2" t="str">
        <f>HYPERLINK("https://hsdes.intel.com/resource/14013160593","14013160593")</f>
        <v>14013160593</v>
      </c>
    </row>
    <row r="456" spans="1:24" x14ac:dyDescent="0.3">
      <c r="A456" s="2" t="str">
        <f>HYPERLINK("https://hsdes.intel.com/resource/14013176673","14013176673")</f>
        <v>14013176673</v>
      </c>
      <c r="B456" s="7" t="s">
        <v>1478</v>
      </c>
      <c r="C456" s="7" t="s">
        <v>2017</v>
      </c>
      <c r="D456" s="7" t="s">
        <v>275</v>
      </c>
      <c r="E456" s="7" t="s">
        <v>19</v>
      </c>
      <c r="F456" s="7" t="s">
        <v>20</v>
      </c>
      <c r="G456" s="28" t="s">
        <v>2027</v>
      </c>
      <c r="J456" s="7" t="s">
        <v>2004</v>
      </c>
      <c r="M456" s="6">
        <v>44784</v>
      </c>
      <c r="O456" s="7" t="s">
        <v>21</v>
      </c>
      <c r="P456" s="7" t="s">
        <v>78</v>
      </c>
      <c r="Q456" s="7" t="s">
        <v>34</v>
      </c>
      <c r="R456" s="7" t="s">
        <v>24</v>
      </c>
      <c r="S456" s="7" t="s">
        <v>1479</v>
      </c>
      <c r="T456" s="7" t="s">
        <v>1480</v>
      </c>
      <c r="U456" s="7" t="s">
        <v>1481</v>
      </c>
      <c r="V456" s="7" t="s">
        <v>278</v>
      </c>
      <c r="X456" s="2" t="str">
        <f>HYPERLINK("https://hsdes.intel.com/resource/14013176673","14013176673")</f>
        <v>14013176673</v>
      </c>
    </row>
    <row r="457" spans="1:24" x14ac:dyDescent="0.3">
      <c r="A457" s="5" t="str">
        <f>HYPERLINK("https://hsdes.intel.com/resource/14013176664","14013176664")</f>
        <v>14013176664</v>
      </c>
      <c r="B457" s="7" t="s">
        <v>1482</v>
      </c>
      <c r="C457" s="7" t="s">
        <v>2017</v>
      </c>
      <c r="D457" s="7" t="s">
        <v>275</v>
      </c>
      <c r="E457" s="7" t="s">
        <v>19</v>
      </c>
      <c r="F457" s="7" t="s">
        <v>20</v>
      </c>
      <c r="G457" s="28" t="s">
        <v>2027</v>
      </c>
      <c r="J457" s="7" t="s">
        <v>1974</v>
      </c>
      <c r="M457" s="6">
        <v>44785</v>
      </c>
      <c r="O457" s="7" t="s">
        <v>21</v>
      </c>
      <c r="P457" s="7" t="s">
        <v>78</v>
      </c>
      <c r="Q457" s="7" t="s">
        <v>34</v>
      </c>
      <c r="R457" s="7" t="s">
        <v>24</v>
      </c>
      <c r="S457" s="7" t="s">
        <v>1483</v>
      </c>
      <c r="T457" s="7" t="s">
        <v>1480</v>
      </c>
      <c r="U457" s="7" t="s">
        <v>1484</v>
      </c>
      <c r="V457" s="7" t="s">
        <v>278</v>
      </c>
      <c r="X457" s="2" t="str">
        <f>HYPERLINK("https://hsdes.intel.com/resource/14013176664","14013176664")</f>
        <v>14013176664</v>
      </c>
    </row>
    <row r="458" spans="1:24" s="18" customFormat="1" x14ac:dyDescent="0.3">
      <c r="A458" s="19" t="str">
        <f>HYPERLINK("https://hsdes.intel.com/resource/14013173239","14013173239")</f>
        <v>14013173239</v>
      </c>
      <c r="B458" s="18" t="s">
        <v>1485</v>
      </c>
      <c r="C458" s="7" t="s">
        <v>2017</v>
      </c>
      <c r="D458" s="7" t="s">
        <v>283</v>
      </c>
      <c r="E458" s="7" t="s">
        <v>19</v>
      </c>
      <c r="F458" s="7" t="s">
        <v>20</v>
      </c>
      <c r="G458" s="28" t="s">
        <v>2027</v>
      </c>
      <c r="J458" s="7" t="s">
        <v>1974</v>
      </c>
      <c r="M458" s="22">
        <v>44785</v>
      </c>
      <c r="N458" s="22"/>
      <c r="O458" s="18" t="s">
        <v>32</v>
      </c>
      <c r="P458" s="18" t="s">
        <v>22</v>
      </c>
      <c r="Q458" s="18" t="s">
        <v>34</v>
      </c>
      <c r="R458" s="18" t="s">
        <v>24</v>
      </c>
      <c r="S458" s="18" t="s">
        <v>1486</v>
      </c>
      <c r="T458" s="18" t="s">
        <v>446</v>
      </c>
      <c r="U458" s="18" t="s">
        <v>1487</v>
      </c>
      <c r="V458" s="18" t="s">
        <v>172</v>
      </c>
      <c r="X458" s="19" t="str">
        <f>HYPERLINK("https://hsdes.intel.com/resource/14013173239","14013173239")</f>
        <v>14013173239</v>
      </c>
    </row>
    <row r="459" spans="1:24" x14ac:dyDescent="0.3">
      <c r="A459" s="5" t="str">
        <f>HYPERLINK("https://hsdes.intel.com/resource/14013173237","14013173237")</f>
        <v>14013173237</v>
      </c>
      <c r="B459" s="7" t="s">
        <v>1488</v>
      </c>
      <c r="C459" s="7" t="s">
        <v>2017</v>
      </c>
      <c r="D459" s="7" t="s">
        <v>283</v>
      </c>
      <c r="E459" s="7" t="s">
        <v>19</v>
      </c>
      <c r="F459" s="7" t="s">
        <v>20</v>
      </c>
      <c r="G459" s="28" t="s">
        <v>2027</v>
      </c>
      <c r="J459" s="7" t="s">
        <v>2020</v>
      </c>
      <c r="M459" s="6">
        <v>44783</v>
      </c>
      <c r="N459" s="6"/>
      <c r="O459" s="7" t="s">
        <v>32</v>
      </c>
      <c r="P459" s="7" t="s">
        <v>22</v>
      </c>
      <c r="Q459" s="7" t="s">
        <v>34</v>
      </c>
      <c r="R459" s="7" t="s">
        <v>1122</v>
      </c>
      <c r="S459" s="7" t="s">
        <v>1489</v>
      </c>
      <c r="T459" s="7" t="s">
        <v>244</v>
      </c>
      <c r="U459" s="7" t="s">
        <v>1490</v>
      </c>
      <c r="V459" s="7" t="s">
        <v>172</v>
      </c>
      <c r="X459" s="2" t="str">
        <f>HYPERLINK("https://hsdes.intel.com/resource/14013173237","14013173237")</f>
        <v>14013173237</v>
      </c>
    </row>
    <row r="460" spans="1:24" x14ac:dyDescent="0.3">
      <c r="A460" s="5" t="str">
        <f>HYPERLINK("https://hsdes.intel.com/resource/14013173234","14013173234")</f>
        <v>14013173234</v>
      </c>
      <c r="B460" s="7" t="s">
        <v>1491</v>
      </c>
      <c r="C460" s="7" t="s">
        <v>2017</v>
      </c>
      <c r="D460" s="7" t="s">
        <v>283</v>
      </c>
      <c r="E460" s="7" t="s">
        <v>19</v>
      </c>
      <c r="F460" s="7" t="s">
        <v>20</v>
      </c>
      <c r="G460" s="28" t="s">
        <v>2027</v>
      </c>
      <c r="J460" s="7" t="s">
        <v>2020</v>
      </c>
      <c r="M460" s="6">
        <v>44783</v>
      </c>
      <c r="N460" s="6"/>
      <c r="O460" s="7" t="s">
        <v>32</v>
      </c>
      <c r="P460" s="7" t="s">
        <v>22</v>
      </c>
      <c r="Q460" s="7" t="s">
        <v>34</v>
      </c>
      <c r="R460" s="7" t="s">
        <v>24</v>
      </c>
      <c r="S460" s="7" t="s">
        <v>1492</v>
      </c>
      <c r="T460" s="7" t="s">
        <v>1493</v>
      </c>
      <c r="U460" s="7" t="s">
        <v>1494</v>
      </c>
      <c r="V460" s="7" t="s">
        <v>172</v>
      </c>
      <c r="X460" s="2" t="str">
        <f>HYPERLINK("https://hsdes.intel.com/resource/14013173234","14013173234")</f>
        <v>14013173234</v>
      </c>
    </row>
    <row r="461" spans="1:24" x14ac:dyDescent="0.3">
      <c r="A461" s="5" t="str">
        <f>HYPERLINK("https://hsdes.intel.com/resource/14013173236","14013173236")</f>
        <v>14013173236</v>
      </c>
      <c r="B461" s="7" t="s">
        <v>1495</v>
      </c>
      <c r="C461" s="7" t="s">
        <v>2017</v>
      </c>
      <c r="D461" s="7" t="s">
        <v>283</v>
      </c>
      <c r="E461" s="7" t="s">
        <v>19</v>
      </c>
      <c r="F461" s="7" t="s">
        <v>20</v>
      </c>
      <c r="G461" s="28" t="s">
        <v>2027</v>
      </c>
      <c r="J461" s="7" t="s">
        <v>1974</v>
      </c>
      <c r="M461" s="22">
        <v>44785</v>
      </c>
      <c r="O461" s="7" t="s">
        <v>104</v>
      </c>
      <c r="P461" s="7" t="s">
        <v>22</v>
      </c>
      <c r="Q461" s="7" t="s">
        <v>34</v>
      </c>
      <c r="R461" s="7" t="s">
        <v>24</v>
      </c>
      <c r="S461" s="7" t="s">
        <v>1496</v>
      </c>
      <c r="T461" s="7" t="s">
        <v>446</v>
      </c>
      <c r="U461" s="7" t="s">
        <v>1497</v>
      </c>
      <c r="V461" s="7" t="s">
        <v>172</v>
      </c>
      <c r="X461" s="2" t="str">
        <f>HYPERLINK("https://hsdes.intel.com/resource/14013173236","14013173236")</f>
        <v>14013173236</v>
      </c>
    </row>
    <row r="462" spans="1:24" s="18" customFormat="1" x14ac:dyDescent="0.3">
      <c r="A462" s="17" t="str">
        <f>HYPERLINK("https://hsdes.intel.com/resource/14013160880","14013160880")</f>
        <v>14013160880</v>
      </c>
      <c r="B462" s="18" t="s">
        <v>1498</v>
      </c>
      <c r="C462" s="7" t="s">
        <v>2017</v>
      </c>
      <c r="D462" s="7" t="s">
        <v>267</v>
      </c>
      <c r="E462" s="7" t="s">
        <v>19</v>
      </c>
      <c r="F462" s="7" t="s">
        <v>20</v>
      </c>
      <c r="G462" s="28" t="s">
        <v>2027</v>
      </c>
      <c r="J462" s="7" t="s">
        <v>1974</v>
      </c>
      <c r="M462" s="22">
        <v>44785</v>
      </c>
      <c r="O462" s="18" t="s">
        <v>32</v>
      </c>
      <c r="P462" s="18" t="s">
        <v>33</v>
      </c>
      <c r="Q462" s="18" t="s">
        <v>34</v>
      </c>
      <c r="R462" s="18" t="s">
        <v>24</v>
      </c>
      <c r="S462" s="18" t="s">
        <v>1499</v>
      </c>
      <c r="T462" s="18" t="s">
        <v>326</v>
      </c>
      <c r="U462" s="18" t="s">
        <v>1500</v>
      </c>
      <c r="V462" s="18" t="s">
        <v>270</v>
      </c>
      <c r="X462" s="17" t="str">
        <f>HYPERLINK("https://hsdes.intel.com/resource/14013160880","14013160880")</f>
        <v>14013160880</v>
      </c>
    </row>
    <row r="463" spans="1:24" x14ac:dyDescent="0.3">
      <c r="A463" s="5" t="str">
        <f>HYPERLINK("https://hsdes.intel.com/resource/14013163434","14013163434")</f>
        <v>14013163434</v>
      </c>
      <c r="B463" s="7" t="s">
        <v>1501</v>
      </c>
      <c r="C463" s="7" t="s">
        <v>2017</v>
      </c>
      <c r="D463" s="7" t="s">
        <v>18</v>
      </c>
      <c r="E463" s="7" t="s">
        <v>19</v>
      </c>
      <c r="F463" s="7" t="s">
        <v>20</v>
      </c>
      <c r="G463" s="28" t="s">
        <v>2027</v>
      </c>
      <c r="J463" s="7" t="s">
        <v>2020</v>
      </c>
      <c r="L463" s="7" t="s">
        <v>1986</v>
      </c>
      <c r="M463" s="6">
        <v>44785</v>
      </c>
      <c r="O463" s="7" t="s">
        <v>21</v>
      </c>
      <c r="P463" s="7" t="s">
        <v>22</v>
      </c>
      <c r="Q463" s="7" t="s">
        <v>34</v>
      </c>
      <c r="R463" s="7" t="s">
        <v>24</v>
      </c>
      <c r="S463" s="7" t="s">
        <v>1502</v>
      </c>
      <c r="T463" s="7" t="s">
        <v>360</v>
      </c>
      <c r="U463" s="7" t="s">
        <v>1503</v>
      </c>
      <c r="V463" s="7" t="s">
        <v>28</v>
      </c>
      <c r="X463" s="2" t="str">
        <f>HYPERLINK("https://hsdes.intel.com/resource/14013163434","14013163434")</f>
        <v>14013163434</v>
      </c>
    </row>
    <row r="464" spans="1:24" x14ac:dyDescent="0.3">
      <c r="A464" s="5" t="str">
        <f>HYPERLINK("https://hsdes.intel.com/resource/14013183869","14013183869")</f>
        <v>14013183869</v>
      </c>
      <c r="B464" s="7" t="s">
        <v>1504</v>
      </c>
      <c r="C464" s="7" t="s">
        <v>2017</v>
      </c>
      <c r="D464" s="7" t="s">
        <v>546</v>
      </c>
      <c r="E464" s="7" t="s">
        <v>19</v>
      </c>
      <c r="F464" s="7" t="s">
        <v>20</v>
      </c>
      <c r="G464" s="28" t="s">
        <v>2027</v>
      </c>
      <c r="J464" s="7" t="s">
        <v>2020</v>
      </c>
      <c r="M464" s="6">
        <v>44783</v>
      </c>
      <c r="O464" s="7" t="s">
        <v>32</v>
      </c>
      <c r="P464" s="7" t="s">
        <v>186</v>
      </c>
      <c r="Q464" s="7" t="s">
        <v>34</v>
      </c>
      <c r="R464" s="7" t="s">
        <v>147</v>
      </c>
      <c r="S464" s="7" t="s">
        <v>1505</v>
      </c>
      <c r="T464" s="7" t="s">
        <v>293</v>
      </c>
      <c r="U464" s="7" t="s">
        <v>1506</v>
      </c>
      <c r="V464" s="7" t="s">
        <v>189</v>
      </c>
      <c r="X464" s="2" t="str">
        <f>HYPERLINK("https://hsdes.intel.com/resource/14013183869","14013183869")</f>
        <v>14013183869</v>
      </c>
    </row>
    <row r="465" spans="1:24" x14ac:dyDescent="0.3">
      <c r="A465" s="5" t="str">
        <f>HYPERLINK("https://hsdes.intel.com/resource/14013185374","14013185374")</f>
        <v>14013185374</v>
      </c>
      <c r="B465" s="7" t="s">
        <v>1507</v>
      </c>
      <c r="C465" s="7" t="s">
        <v>2017</v>
      </c>
      <c r="D465" s="7" t="s">
        <v>546</v>
      </c>
      <c r="E465" s="7" t="s">
        <v>19</v>
      </c>
      <c r="F465" s="7" t="s">
        <v>20</v>
      </c>
      <c r="G465" s="28" t="s">
        <v>2027</v>
      </c>
      <c r="J465" s="7" t="s">
        <v>2020</v>
      </c>
      <c r="L465" s="13" t="s">
        <v>1373</v>
      </c>
      <c r="M465" s="22">
        <v>44783</v>
      </c>
      <c r="O465" s="7" t="s">
        <v>32</v>
      </c>
      <c r="P465" s="7" t="s">
        <v>186</v>
      </c>
      <c r="Q465" s="7" t="s">
        <v>34</v>
      </c>
      <c r="R465" s="7" t="s">
        <v>147</v>
      </c>
      <c r="S465" s="7" t="s">
        <v>1508</v>
      </c>
      <c r="T465" s="7" t="s">
        <v>293</v>
      </c>
      <c r="U465" s="7" t="s">
        <v>1509</v>
      </c>
      <c r="V465" s="7" t="s">
        <v>189</v>
      </c>
      <c r="X465" s="2" t="str">
        <f>HYPERLINK("https://hsdes.intel.com/resource/14013185374","14013185374")</f>
        <v>14013185374</v>
      </c>
    </row>
    <row r="466" spans="1:24" s="18" customFormat="1" x14ac:dyDescent="0.3">
      <c r="A466" s="2" t="str">
        <f>HYPERLINK("https://hsdes.intel.com/resource/16013298943","16013298943")</f>
        <v>16013298943</v>
      </c>
      <c r="B466" s="7" t="s">
        <v>1510</v>
      </c>
      <c r="C466" s="7" t="s">
        <v>2017</v>
      </c>
      <c r="D466" s="7" t="s">
        <v>417</v>
      </c>
      <c r="E466" s="7" t="s">
        <v>122</v>
      </c>
      <c r="F466" s="7" t="s">
        <v>20</v>
      </c>
      <c r="G466" s="28" t="s">
        <v>2027</v>
      </c>
      <c r="J466" s="7" t="s">
        <v>2020</v>
      </c>
      <c r="M466" s="22">
        <v>44783</v>
      </c>
      <c r="O466" s="18" t="s">
        <v>104</v>
      </c>
      <c r="P466" s="18" t="s">
        <v>163</v>
      </c>
      <c r="Q466" s="18" t="s">
        <v>34</v>
      </c>
      <c r="R466" s="18" t="s">
        <v>147</v>
      </c>
      <c r="T466" s="18" t="s">
        <v>419</v>
      </c>
      <c r="U466" s="18" t="s">
        <v>1260</v>
      </c>
      <c r="X466" s="2" t="str">
        <f>HYPERLINK("https://hsdes.intel.com/resource/16013298943","16013298943")</f>
        <v>16013298943</v>
      </c>
    </row>
    <row r="467" spans="1:24" s="18" customFormat="1" x14ac:dyDescent="0.3">
      <c r="A467" s="5" t="str">
        <f>HYPERLINK("https://hsdes.intel.com/resource/16013298949","16013298949")</f>
        <v>16013298949</v>
      </c>
      <c r="B467" s="7" t="s">
        <v>1511</v>
      </c>
      <c r="C467" s="7" t="s">
        <v>2017</v>
      </c>
      <c r="D467" s="7" t="s">
        <v>417</v>
      </c>
      <c r="E467" s="7" t="s">
        <v>122</v>
      </c>
      <c r="F467" s="7" t="s">
        <v>20</v>
      </c>
      <c r="G467" s="28" t="s">
        <v>2027</v>
      </c>
      <c r="J467" s="7" t="s">
        <v>2020</v>
      </c>
      <c r="M467" s="22">
        <v>44783</v>
      </c>
      <c r="O467" s="18" t="s">
        <v>104</v>
      </c>
      <c r="P467" s="18" t="s">
        <v>163</v>
      </c>
      <c r="Q467" s="18" t="s">
        <v>34</v>
      </c>
      <c r="R467" s="18" t="s">
        <v>147</v>
      </c>
      <c r="T467" s="18" t="s">
        <v>419</v>
      </c>
      <c r="U467" s="18" t="s">
        <v>1262</v>
      </c>
      <c r="X467" s="2" t="str">
        <f>HYPERLINK("https://hsdes.intel.com/resource/16013298949","16013298949")</f>
        <v>16013298949</v>
      </c>
    </row>
    <row r="468" spans="1:24" x14ac:dyDescent="0.3">
      <c r="A468" s="2" t="str">
        <f>HYPERLINK("https://hsdes.intel.com/resource/14013161557","14013161557")</f>
        <v>14013161557</v>
      </c>
      <c r="B468" s="7" t="s">
        <v>1512</v>
      </c>
      <c r="C468" s="7" t="s">
        <v>2017</v>
      </c>
      <c r="D468" s="7" t="s">
        <v>283</v>
      </c>
      <c r="E468" s="7" t="s">
        <v>19</v>
      </c>
      <c r="F468" s="7" t="s">
        <v>20</v>
      </c>
      <c r="G468" s="28" t="s">
        <v>2027</v>
      </c>
      <c r="J468" s="7" t="s">
        <v>2006</v>
      </c>
      <c r="M468" s="22">
        <v>44783</v>
      </c>
      <c r="O468" s="7" t="s">
        <v>32</v>
      </c>
      <c r="P468" s="7" t="s">
        <v>175</v>
      </c>
      <c r="Q468" s="7" t="s">
        <v>34</v>
      </c>
      <c r="R468" s="7" t="s">
        <v>24</v>
      </c>
      <c r="S468" s="7" t="s">
        <v>1513</v>
      </c>
      <c r="T468" s="7" t="s">
        <v>446</v>
      </c>
      <c r="U468" s="7" t="s">
        <v>1514</v>
      </c>
      <c r="V468" s="7" t="s">
        <v>286</v>
      </c>
      <c r="X468" s="2" t="str">
        <f>HYPERLINK("https://hsdes.intel.com/resource/14013161557","14013161557")</f>
        <v>14013161557</v>
      </c>
    </row>
    <row r="469" spans="1:24" x14ac:dyDescent="0.3">
      <c r="A469" s="2" t="str">
        <f>HYPERLINK("https://hsdes.intel.com/resource/14013161555","14013161555")</f>
        <v>14013161555</v>
      </c>
      <c r="B469" s="7" t="s">
        <v>1515</v>
      </c>
      <c r="C469" s="7" t="s">
        <v>2017</v>
      </c>
      <c r="D469" s="7" t="s">
        <v>283</v>
      </c>
      <c r="E469" s="7" t="s">
        <v>19</v>
      </c>
      <c r="F469" s="7" t="s">
        <v>20</v>
      </c>
      <c r="G469" s="28" t="s">
        <v>2027</v>
      </c>
      <c r="J469" s="7" t="s">
        <v>2006</v>
      </c>
      <c r="M469" s="22">
        <v>44785</v>
      </c>
      <c r="O469" s="7" t="s">
        <v>32</v>
      </c>
      <c r="P469" s="7" t="s">
        <v>175</v>
      </c>
      <c r="Q469" s="7" t="s">
        <v>34</v>
      </c>
      <c r="R469" s="7" t="s">
        <v>24</v>
      </c>
      <c r="S469" s="7" t="s">
        <v>1516</v>
      </c>
      <c r="T469" s="7" t="s">
        <v>446</v>
      </c>
      <c r="U469" s="7" t="s">
        <v>1517</v>
      </c>
      <c r="V469" s="7" t="s">
        <v>286</v>
      </c>
      <c r="X469" s="2" t="str">
        <f>HYPERLINK("https://hsdes.intel.com/resource/14013161555","14013161555")</f>
        <v>14013161555</v>
      </c>
    </row>
    <row r="470" spans="1:24" s="18" customFormat="1" x14ac:dyDescent="0.3">
      <c r="A470" s="5" t="str">
        <f>HYPERLINK("https://hsdes.intel.com/resource/16013298850","16013298850")</f>
        <v>16013298850</v>
      </c>
      <c r="B470" s="7" t="s">
        <v>1518</v>
      </c>
      <c r="C470" s="7" t="s">
        <v>2017</v>
      </c>
      <c r="D470" s="7" t="s">
        <v>417</v>
      </c>
      <c r="E470" s="7" t="s">
        <v>122</v>
      </c>
      <c r="F470" s="7" t="s">
        <v>20</v>
      </c>
      <c r="G470" s="28" t="s">
        <v>2027</v>
      </c>
      <c r="J470" s="7" t="s">
        <v>1974</v>
      </c>
      <c r="L470" s="22"/>
      <c r="M470" s="22">
        <v>44785</v>
      </c>
      <c r="O470" s="18" t="s">
        <v>104</v>
      </c>
      <c r="P470" s="18" t="s">
        <v>163</v>
      </c>
      <c r="Q470" s="18" t="s">
        <v>34</v>
      </c>
      <c r="R470" s="18" t="s">
        <v>147</v>
      </c>
      <c r="T470" s="18" t="s">
        <v>419</v>
      </c>
      <c r="U470" s="18" t="s">
        <v>1519</v>
      </c>
      <c r="X470" s="2" t="str">
        <f>HYPERLINK("https://hsdes.intel.com/resource/16013298850","16013298850")</f>
        <v>16013298850</v>
      </c>
    </row>
    <row r="471" spans="1:24" s="18" customFormat="1" x14ac:dyDescent="0.3">
      <c r="A471" s="2" t="str">
        <f>HYPERLINK("https://hsdes.intel.com/resource/16013298865","16013298865")</f>
        <v>16013298865</v>
      </c>
      <c r="B471" s="7" t="s">
        <v>1520</v>
      </c>
      <c r="C471" s="7" t="s">
        <v>2017</v>
      </c>
      <c r="D471" s="7" t="s">
        <v>417</v>
      </c>
      <c r="E471" s="7" t="s">
        <v>122</v>
      </c>
      <c r="F471" s="7" t="s">
        <v>20</v>
      </c>
      <c r="G471" s="28" t="s">
        <v>2027</v>
      </c>
      <c r="J471" s="7" t="s">
        <v>1974</v>
      </c>
      <c r="M471" s="22">
        <v>44785</v>
      </c>
      <c r="O471" s="18" t="s">
        <v>104</v>
      </c>
      <c r="P471" s="18" t="s">
        <v>163</v>
      </c>
      <c r="Q471" s="18" t="s">
        <v>34</v>
      </c>
      <c r="R471" s="18" t="s">
        <v>147</v>
      </c>
      <c r="T471" s="18" t="s">
        <v>419</v>
      </c>
      <c r="U471" s="18" t="s">
        <v>1521</v>
      </c>
      <c r="X471" s="2" t="str">
        <f>HYPERLINK("https://hsdes.intel.com/resource/16013298865","16013298865")</f>
        <v>16013298865</v>
      </c>
    </row>
    <row r="472" spans="1:24" x14ac:dyDescent="0.3">
      <c r="A472" s="2" t="str">
        <f>HYPERLINK("https://hsdes.intel.com/resource/16013625877","16013625877")</f>
        <v>16013625877</v>
      </c>
      <c r="B472" s="7" t="s">
        <v>1522</v>
      </c>
      <c r="C472" s="7" t="s">
        <v>2017</v>
      </c>
      <c r="D472" s="7" t="s">
        <v>1523</v>
      </c>
      <c r="E472" s="7" t="s">
        <v>122</v>
      </c>
      <c r="F472" s="7" t="s">
        <v>20</v>
      </c>
      <c r="G472" s="28" t="s">
        <v>2027</v>
      </c>
      <c r="J472" s="7" t="s">
        <v>1974</v>
      </c>
      <c r="M472" s="6">
        <v>44781</v>
      </c>
      <c r="O472" s="7" t="s">
        <v>32</v>
      </c>
      <c r="P472" s="7" t="s">
        <v>78</v>
      </c>
      <c r="Q472" s="7" t="s">
        <v>34</v>
      </c>
      <c r="R472" s="7" t="s">
        <v>24</v>
      </c>
      <c r="T472" s="7" t="s">
        <v>45</v>
      </c>
      <c r="U472" s="7" t="s">
        <v>1524</v>
      </c>
      <c r="X472" s="23">
        <v>16013625877</v>
      </c>
    </row>
    <row r="473" spans="1:24" x14ac:dyDescent="0.3">
      <c r="A473" s="2" t="str">
        <f>HYPERLINK("https://hsdes.intel.com/resource/16012719552","16012719552")</f>
        <v>16012719552</v>
      </c>
      <c r="B473" s="7" t="s">
        <v>1525</v>
      </c>
      <c r="C473" s="7" t="s">
        <v>2017</v>
      </c>
      <c r="D473" s="7" t="s">
        <v>77</v>
      </c>
      <c r="E473" s="7" t="s">
        <v>122</v>
      </c>
      <c r="F473" s="7" t="s">
        <v>20</v>
      </c>
      <c r="G473" s="28" t="s">
        <v>2027</v>
      </c>
      <c r="J473" s="7" t="s">
        <v>1974</v>
      </c>
      <c r="M473" s="6">
        <v>44781</v>
      </c>
      <c r="O473" s="7" t="s">
        <v>32</v>
      </c>
      <c r="P473" s="7" t="s">
        <v>78</v>
      </c>
      <c r="Q473" s="7" t="s">
        <v>34</v>
      </c>
      <c r="R473" s="7" t="s">
        <v>24</v>
      </c>
      <c r="T473" s="7" t="s">
        <v>45</v>
      </c>
      <c r="U473" s="7" t="s">
        <v>1526</v>
      </c>
      <c r="X473" s="2" t="str">
        <f>HYPERLINK("https://hsdes.intel.com/resource/16012719552","16012719552")</f>
        <v>16012719552</v>
      </c>
    </row>
    <row r="474" spans="1:24" x14ac:dyDescent="0.3">
      <c r="A474" s="2" t="str">
        <f>HYPERLINK("https://hsdes.intel.com/resource/16013637145","16013637145")</f>
        <v>16013637145</v>
      </c>
      <c r="B474" s="7" t="s">
        <v>1527</v>
      </c>
      <c r="C474" s="7" t="s">
        <v>2017</v>
      </c>
      <c r="D474" s="7" t="s">
        <v>77</v>
      </c>
      <c r="E474" s="7" t="s">
        <v>122</v>
      </c>
      <c r="F474" s="7" t="s">
        <v>20</v>
      </c>
      <c r="G474" s="28" t="s">
        <v>2027</v>
      </c>
      <c r="J474" s="7" t="s">
        <v>1974</v>
      </c>
      <c r="M474" s="6">
        <v>44781</v>
      </c>
      <c r="O474" s="7" t="s">
        <v>32</v>
      </c>
      <c r="P474" s="7" t="s">
        <v>78</v>
      </c>
      <c r="Q474" s="7" t="s">
        <v>34</v>
      </c>
      <c r="R474" s="7" t="s">
        <v>24</v>
      </c>
      <c r="T474" s="7" t="s">
        <v>45</v>
      </c>
      <c r="U474" s="7" t="s">
        <v>1528</v>
      </c>
      <c r="X474" s="2" t="str">
        <f>HYPERLINK("https://hsdes.intel.com/resource/16013637145","16013637145")</f>
        <v>16013637145</v>
      </c>
    </row>
    <row r="475" spans="1:24" x14ac:dyDescent="0.3">
      <c r="A475" s="2" t="str">
        <f>HYPERLINK("https://hsdes.intel.com/resource/16013713658","16013713658")</f>
        <v>16013713658</v>
      </c>
      <c r="B475" s="7" t="s">
        <v>1529</v>
      </c>
      <c r="C475" s="7" t="s">
        <v>2017</v>
      </c>
      <c r="D475" s="7" t="s">
        <v>77</v>
      </c>
      <c r="E475" s="7" t="s">
        <v>122</v>
      </c>
      <c r="F475" s="7" t="s">
        <v>20</v>
      </c>
      <c r="G475" s="28" t="s">
        <v>2027</v>
      </c>
      <c r="J475" s="7" t="s">
        <v>1974</v>
      </c>
      <c r="M475" s="6">
        <v>44781</v>
      </c>
      <c r="O475" s="7" t="s">
        <v>32</v>
      </c>
      <c r="P475" s="7" t="s">
        <v>78</v>
      </c>
      <c r="Q475" s="7" t="s">
        <v>34</v>
      </c>
      <c r="R475" s="7" t="s">
        <v>24</v>
      </c>
      <c r="T475" s="7" t="s">
        <v>45</v>
      </c>
      <c r="U475" s="7" t="s">
        <v>1530</v>
      </c>
      <c r="X475" s="2" t="str">
        <f>HYPERLINK("https://hsdes.intel.com/resource/16013713658","16013713658")</f>
        <v>16013713658</v>
      </c>
    </row>
    <row r="476" spans="1:24" x14ac:dyDescent="0.3">
      <c r="A476" s="2" t="str">
        <f>HYPERLINK("https://hsdes.intel.com/resource/16013715183","16013715183")</f>
        <v>16013715183</v>
      </c>
      <c r="B476" s="7" t="s">
        <v>1531</v>
      </c>
      <c r="C476" s="7" t="s">
        <v>2017</v>
      </c>
      <c r="D476" s="7" t="s">
        <v>77</v>
      </c>
      <c r="E476" s="7" t="s">
        <v>122</v>
      </c>
      <c r="F476" s="7" t="s">
        <v>20</v>
      </c>
      <c r="G476" s="28" t="s">
        <v>2027</v>
      </c>
      <c r="J476" s="7" t="s">
        <v>1974</v>
      </c>
      <c r="M476" s="6">
        <v>44781</v>
      </c>
      <c r="O476" s="7" t="s">
        <v>32</v>
      </c>
      <c r="P476" s="7" t="s">
        <v>78</v>
      </c>
      <c r="Q476" s="7" t="s">
        <v>34</v>
      </c>
      <c r="R476" s="7" t="s">
        <v>24</v>
      </c>
      <c r="T476" s="7" t="s">
        <v>45</v>
      </c>
      <c r="U476" s="7" t="s">
        <v>1532</v>
      </c>
      <c r="X476" s="2" t="str">
        <f>HYPERLINK("https://hsdes.intel.com/resource/16013715183","16013715183")</f>
        <v>16013715183</v>
      </c>
    </row>
    <row r="477" spans="1:24" x14ac:dyDescent="0.3">
      <c r="A477" s="2" t="str">
        <f>HYPERLINK("https://hsdes.intel.com/resource/16013715407","16013715407")</f>
        <v>16013715407</v>
      </c>
      <c r="B477" s="7" t="s">
        <v>1533</v>
      </c>
      <c r="C477" s="7" t="s">
        <v>2017</v>
      </c>
      <c r="D477" s="7" t="s">
        <v>77</v>
      </c>
      <c r="E477" s="7" t="s">
        <v>122</v>
      </c>
      <c r="F477" s="7" t="s">
        <v>20</v>
      </c>
      <c r="G477" s="28" t="s">
        <v>2027</v>
      </c>
      <c r="J477" s="7" t="s">
        <v>1974</v>
      </c>
      <c r="M477" s="6">
        <v>44781</v>
      </c>
      <c r="O477" s="7" t="s">
        <v>32</v>
      </c>
      <c r="P477" s="7" t="s">
        <v>78</v>
      </c>
      <c r="Q477" s="7" t="s">
        <v>34</v>
      </c>
      <c r="R477" s="7" t="s">
        <v>24</v>
      </c>
      <c r="T477" s="7" t="s">
        <v>45</v>
      </c>
      <c r="U477" s="7" t="s">
        <v>1534</v>
      </c>
      <c r="X477" s="2" t="str">
        <f>HYPERLINK("https://hsdes.intel.com/resource/16013715407","16013715407")</f>
        <v>16013715407</v>
      </c>
    </row>
    <row r="478" spans="1:24" x14ac:dyDescent="0.3">
      <c r="A478" s="2" t="str">
        <f>HYPERLINK("https://hsdes.intel.com/resource/16014251359","16014251359")</f>
        <v>16014251359</v>
      </c>
      <c r="B478" s="7" t="s">
        <v>1535</v>
      </c>
      <c r="C478" s="7" t="s">
        <v>2017</v>
      </c>
      <c r="D478" s="7" t="s">
        <v>77</v>
      </c>
      <c r="E478" s="7" t="s">
        <v>122</v>
      </c>
      <c r="F478" s="7" t="s">
        <v>20</v>
      </c>
      <c r="G478" s="28" t="s">
        <v>2027</v>
      </c>
      <c r="J478" s="7" t="s">
        <v>1974</v>
      </c>
      <c r="M478" s="6">
        <v>44781</v>
      </c>
      <c r="O478" s="7" t="s">
        <v>32</v>
      </c>
      <c r="P478" s="7" t="s">
        <v>78</v>
      </c>
      <c r="Q478" s="7" t="s">
        <v>34</v>
      </c>
      <c r="R478" s="7" t="s">
        <v>24</v>
      </c>
      <c r="T478" s="7" t="s">
        <v>45</v>
      </c>
      <c r="U478" s="7" t="s">
        <v>1534</v>
      </c>
      <c r="X478" s="2" t="str">
        <f>HYPERLINK("https://hsdes.intel.com/resource/16014251359","16014251359")</f>
        <v>16014251359</v>
      </c>
    </row>
    <row r="479" spans="1:24" x14ac:dyDescent="0.3">
      <c r="A479" s="2" t="str">
        <f>HYPERLINK("https://hsdes.intel.com/resource/16014251361","16014251361")</f>
        <v>16014251361</v>
      </c>
      <c r="B479" s="7" t="s">
        <v>1536</v>
      </c>
      <c r="C479" s="7" t="s">
        <v>2017</v>
      </c>
      <c r="D479" s="7" t="s">
        <v>77</v>
      </c>
      <c r="E479" s="7" t="s">
        <v>122</v>
      </c>
      <c r="F479" s="7" t="s">
        <v>20</v>
      </c>
      <c r="G479" s="28" t="s">
        <v>2027</v>
      </c>
      <c r="J479" s="7" t="s">
        <v>1974</v>
      </c>
      <c r="M479" s="6">
        <v>44781</v>
      </c>
      <c r="O479" s="7" t="s">
        <v>32</v>
      </c>
      <c r="P479" s="7" t="s">
        <v>78</v>
      </c>
      <c r="Q479" s="7" t="s">
        <v>34</v>
      </c>
      <c r="R479" s="7" t="s">
        <v>24</v>
      </c>
      <c r="T479" s="7" t="s">
        <v>45</v>
      </c>
      <c r="U479" s="7" t="s">
        <v>1534</v>
      </c>
      <c r="X479" s="2" t="str">
        <f>HYPERLINK("https://hsdes.intel.com/resource/16014251361","16014251361")</f>
        <v>16014251361</v>
      </c>
    </row>
    <row r="480" spans="1:24" x14ac:dyDescent="0.3">
      <c r="A480" s="2" t="str">
        <f>HYPERLINK("https://hsdes.intel.com/resource/16014251368","16014251368")</f>
        <v>16014251368</v>
      </c>
      <c r="B480" s="7" t="s">
        <v>1537</v>
      </c>
      <c r="C480" s="7" t="s">
        <v>2017</v>
      </c>
      <c r="D480" s="7" t="s">
        <v>77</v>
      </c>
      <c r="E480" s="7" t="s">
        <v>122</v>
      </c>
      <c r="F480" s="7" t="s">
        <v>20</v>
      </c>
      <c r="G480" s="28" t="s">
        <v>2027</v>
      </c>
      <c r="J480" s="7" t="s">
        <v>1974</v>
      </c>
      <c r="M480" s="6">
        <v>44781</v>
      </c>
      <c r="O480" s="7" t="s">
        <v>32</v>
      </c>
      <c r="P480" s="7" t="s">
        <v>78</v>
      </c>
      <c r="Q480" s="7" t="s">
        <v>34</v>
      </c>
      <c r="R480" s="7" t="s">
        <v>24</v>
      </c>
      <c r="T480" s="7" t="s">
        <v>45</v>
      </c>
      <c r="U480" s="7" t="s">
        <v>1534</v>
      </c>
      <c r="X480" s="5" t="str">
        <f>HYPERLINK("https://hsdes.intel.com/resource/16014251368","16014251368")</f>
        <v>16014251368</v>
      </c>
    </row>
    <row r="481" spans="1:24" x14ac:dyDescent="0.3">
      <c r="A481" s="2" t="str">
        <f>HYPERLINK("https://hsdes.intel.com/resource/14013179223","14013179223")</f>
        <v>14013179223</v>
      </c>
      <c r="B481" s="7" t="s">
        <v>1538</v>
      </c>
      <c r="C481" s="7" t="s">
        <v>2017</v>
      </c>
      <c r="D481" s="7" t="s">
        <v>138</v>
      </c>
      <c r="E481" s="7" t="s">
        <v>19</v>
      </c>
      <c r="F481" s="7" t="s">
        <v>20</v>
      </c>
      <c r="G481" s="28" t="s">
        <v>2027</v>
      </c>
      <c r="J481" s="7" t="s">
        <v>31</v>
      </c>
      <c r="M481" s="6"/>
      <c r="O481" s="7" t="s">
        <v>32</v>
      </c>
      <c r="P481" s="7" t="s">
        <v>78</v>
      </c>
      <c r="Q481" s="7" t="s">
        <v>34</v>
      </c>
      <c r="R481" s="7" t="s">
        <v>24</v>
      </c>
      <c r="S481" s="7" t="s">
        <v>1539</v>
      </c>
      <c r="T481" s="7" t="s">
        <v>140</v>
      </c>
      <c r="U481" s="7" t="s">
        <v>1540</v>
      </c>
      <c r="V481" s="7" t="s">
        <v>142</v>
      </c>
      <c r="X481" s="2" t="str">
        <f>HYPERLINK("https://hsdes.intel.com/resource/14013179223","14013179223")</f>
        <v>14013179223</v>
      </c>
    </row>
    <row r="482" spans="1:24" x14ac:dyDescent="0.3">
      <c r="A482" s="2" t="str">
        <f>HYPERLINK("https://hsdes.intel.com/resource/14013173187","14013173187")</f>
        <v>14013173187</v>
      </c>
      <c r="B482" s="7" t="s">
        <v>1541</v>
      </c>
      <c r="C482" s="7" t="s">
        <v>2017</v>
      </c>
      <c r="D482" s="7" t="s">
        <v>283</v>
      </c>
      <c r="E482" s="7" t="s">
        <v>19</v>
      </c>
      <c r="F482" s="7" t="s">
        <v>20</v>
      </c>
      <c r="G482" s="28" t="s">
        <v>2027</v>
      </c>
      <c r="J482" s="7" t="s">
        <v>31</v>
      </c>
      <c r="M482" s="6"/>
      <c r="O482" s="7" t="s">
        <v>32</v>
      </c>
      <c r="P482" s="7" t="s">
        <v>175</v>
      </c>
      <c r="Q482" s="7" t="s">
        <v>34</v>
      </c>
      <c r="R482" s="7" t="s">
        <v>24</v>
      </c>
      <c r="S482" s="7" t="s">
        <v>1542</v>
      </c>
      <c r="T482" s="7" t="s">
        <v>244</v>
      </c>
      <c r="U482" s="7" t="s">
        <v>1543</v>
      </c>
      <c r="V482" s="7" t="s">
        <v>286</v>
      </c>
      <c r="X482" s="2" t="str">
        <f>HYPERLINK("https://hsdes.intel.com/resource/14013173187","14013173187")</f>
        <v>14013173187</v>
      </c>
    </row>
    <row r="483" spans="1:24" x14ac:dyDescent="0.3">
      <c r="A483" s="2" t="str">
        <f>HYPERLINK("https://hsdes.intel.com/resource/14013173175","14013173175")</f>
        <v>14013173175</v>
      </c>
      <c r="B483" s="7" t="s">
        <v>1544</v>
      </c>
      <c r="C483" s="7" t="s">
        <v>2017</v>
      </c>
      <c r="D483" s="7" t="s">
        <v>283</v>
      </c>
      <c r="E483" s="7" t="s">
        <v>19</v>
      </c>
      <c r="F483" s="7" t="s">
        <v>20</v>
      </c>
      <c r="G483" s="28" t="s">
        <v>2027</v>
      </c>
      <c r="J483" s="7" t="s">
        <v>2006</v>
      </c>
      <c r="M483" s="6">
        <v>44783</v>
      </c>
      <c r="O483" s="7" t="s">
        <v>32</v>
      </c>
      <c r="P483" s="7" t="s">
        <v>175</v>
      </c>
      <c r="Q483" s="7" t="s">
        <v>34</v>
      </c>
      <c r="R483" s="7" t="s">
        <v>24</v>
      </c>
      <c r="S483" s="7" t="s">
        <v>1545</v>
      </c>
      <c r="T483" s="7" t="s">
        <v>244</v>
      </c>
      <c r="U483" s="7" t="s">
        <v>1546</v>
      </c>
      <c r="V483" s="7" t="s">
        <v>286</v>
      </c>
      <c r="X483" s="2" t="str">
        <f>HYPERLINK("https://hsdes.intel.com/resource/14013173175","14013173175")</f>
        <v>14013173175</v>
      </c>
    </row>
    <row r="484" spans="1:24" x14ac:dyDescent="0.3">
      <c r="A484" s="2" t="str">
        <f>HYPERLINK("https://hsdes.intel.com/resource/14013173176","14013173176")</f>
        <v>14013173176</v>
      </c>
      <c r="B484" s="7" t="s">
        <v>1547</v>
      </c>
      <c r="C484" s="7" t="s">
        <v>2017</v>
      </c>
      <c r="D484" s="7" t="s">
        <v>283</v>
      </c>
      <c r="E484" s="7" t="s">
        <v>19</v>
      </c>
      <c r="F484" s="7" t="s">
        <v>20</v>
      </c>
      <c r="G484" s="28" t="s">
        <v>2027</v>
      </c>
      <c r="J484" s="7" t="s">
        <v>31</v>
      </c>
      <c r="M484" s="6"/>
      <c r="O484" s="7" t="s">
        <v>32</v>
      </c>
      <c r="P484" s="7" t="s">
        <v>175</v>
      </c>
      <c r="Q484" s="7" t="s">
        <v>34</v>
      </c>
      <c r="R484" s="7" t="s">
        <v>24</v>
      </c>
      <c r="S484" s="7" t="s">
        <v>1548</v>
      </c>
      <c r="T484" s="7" t="s">
        <v>1549</v>
      </c>
      <c r="U484" s="7" t="s">
        <v>1550</v>
      </c>
      <c r="V484" s="7" t="s">
        <v>286</v>
      </c>
      <c r="X484" s="2" t="str">
        <f>HYPERLINK("https://hsdes.intel.com/resource/14013173176","14013173176")</f>
        <v>14013173176</v>
      </c>
    </row>
    <row r="485" spans="1:24" x14ac:dyDescent="0.3">
      <c r="A485" s="2" t="str">
        <f>HYPERLINK("https://hsdes.intel.com/resource/14013159289","14013159289")</f>
        <v>14013159289</v>
      </c>
      <c r="B485" s="7" t="s">
        <v>1551</v>
      </c>
      <c r="C485" s="7" t="s">
        <v>2017</v>
      </c>
      <c r="D485" s="7" t="s">
        <v>283</v>
      </c>
      <c r="E485" s="7" t="s">
        <v>19</v>
      </c>
      <c r="F485" s="7" t="s">
        <v>20</v>
      </c>
      <c r="G485" s="28" t="s">
        <v>2027</v>
      </c>
      <c r="J485" s="7" t="s">
        <v>31</v>
      </c>
      <c r="M485" s="6"/>
      <c r="O485" s="7" t="s">
        <v>32</v>
      </c>
      <c r="P485" s="7" t="s">
        <v>175</v>
      </c>
      <c r="Q485" s="7" t="s">
        <v>34</v>
      </c>
      <c r="R485" s="7" t="s">
        <v>24</v>
      </c>
      <c r="S485" s="7" t="s">
        <v>1552</v>
      </c>
      <c r="T485" s="7" t="s">
        <v>244</v>
      </c>
      <c r="U485" s="7" t="s">
        <v>1553</v>
      </c>
      <c r="V485" s="7" t="s">
        <v>286</v>
      </c>
      <c r="X485" s="2" t="str">
        <f>HYPERLINK("https://hsdes.intel.com/resource/14013159289","14013159289")</f>
        <v>14013159289</v>
      </c>
    </row>
    <row r="486" spans="1:24" x14ac:dyDescent="0.3">
      <c r="A486" s="2" t="str">
        <f>HYPERLINK("https://hsdes.intel.com/resource/14013161178","14013161178")</f>
        <v>14013161178</v>
      </c>
      <c r="B486" s="7" t="s">
        <v>1554</v>
      </c>
      <c r="C486" s="7" t="s">
        <v>2017</v>
      </c>
      <c r="D486" s="7" t="s">
        <v>283</v>
      </c>
      <c r="E486" s="7" t="s">
        <v>19</v>
      </c>
      <c r="F486" s="7" t="s">
        <v>20</v>
      </c>
      <c r="G486" s="28" t="s">
        <v>2027</v>
      </c>
      <c r="J486" s="7" t="s">
        <v>2006</v>
      </c>
      <c r="M486" s="6">
        <v>44783</v>
      </c>
      <c r="N486" s="6"/>
      <c r="O486" s="7" t="s">
        <v>32</v>
      </c>
      <c r="P486" s="7" t="s">
        <v>175</v>
      </c>
      <c r="Q486" s="7" t="s">
        <v>34</v>
      </c>
      <c r="R486" s="7" t="s">
        <v>24</v>
      </c>
      <c r="S486" s="7" t="s">
        <v>1555</v>
      </c>
      <c r="T486" s="7" t="s">
        <v>1556</v>
      </c>
      <c r="U486" s="7" t="s">
        <v>1557</v>
      </c>
      <c r="V486" s="7" t="s">
        <v>286</v>
      </c>
      <c r="X486" s="5" t="str">
        <f>HYPERLINK("https://hsdes.intel.com/resource/14013161178","14013161178")</f>
        <v>14013161178</v>
      </c>
    </row>
    <row r="487" spans="1:24" x14ac:dyDescent="0.3">
      <c r="A487" s="2" t="str">
        <f>HYPERLINK("https://hsdes.intel.com/resource/14013159029","14013159029")</f>
        <v>14013159029</v>
      </c>
      <c r="B487" s="7" t="s">
        <v>1558</v>
      </c>
      <c r="C487" s="7" t="s">
        <v>2017</v>
      </c>
      <c r="D487" s="7" t="s">
        <v>283</v>
      </c>
      <c r="E487" s="7" t="s">
        <v>122</v>
      </c>
      <c r="F487" s="7" t="s">
        <v>20</v>
      </c>
      <c r="G487" s="28" t="s">
        <v>2027</v>
      </c>
      <c r="J487" s="7" t="s">
        <v>2006</v>
      </c>
      <c r="M487" s="6">
        <v>44783</v>
      </c>
      <c r="O487" s="7" t="s">
        <v>32</v>
      </c>
      <c r="P487" s="7" t="s">
        <v>175</v>
      </c>
      <c r="Q487" s="7" t="s">
        <v>34</v>
      </c>
      <c r="R487" s="7" t="s">
        <v>24</v>
      </c>
      <c r="S487" s="7" t="s">
        <v>1559</v>
      </c>
      <c r="T487" s="7" t="s">
        <v>244</v>
      </c>
      <c r="U487" s="7" t="s">
        <v>1560</v>
      </c>
      <c r="V487" s="7" t="s">
        <v>286</v>
      </c>
      <c r="X487" s="2" t="str">
        <f>HYPERLINK("https://hsdes.intel.com/resource/14013159029","14013159029")</f>
        <v>14013159029</v>
      </c>
    </row>
    <row r="488" spans="1:24" x14ac:dyDescent="0.3">
      <c r="A488" s="2" t="str">
        <f>HYPERLINK("https://hsdes.intel.com/resource/14013158321","14013158321")</f>
        <v>14013158321</v>
      </c>
      <c r="B488" s="7" t="s">
        <v>1561</v>
      </c>
      <c r="C488" s="7" t="s">
        <v>2017</v>
      </c>
      <c r="D488" s="7" t="s">
        <v>283</v>
      </c>
      <c r="E488" s="7" t="s">
        <v>19</v>
      </c>
      <c r="F488" s="7" t="s">
        <v>20</v>
      </c>
      <c r="G488" s="28" t="s">
        <v>2027</v>
      </c>
      <c r="J488" s="7" t="s">
        <v>31</v>
      </c>
      <c r="M488" s="6"/>
      <c r="O488" s="7" t="s">
        <v>32</v>
      </c>
      <c r="P488" s="7" t="s">
        <v>175</v>
      </c>
      <c r="Q488" s="7" t="s">
        <v>34</v>
      </c>
      <c r="R488" s="7" t="s">
        <v>24</v>
      </c>
      <c r="S488" s="7" t="s">
        <v>1562</v>
      </c>
      <c r="T488" s="7" t="s">
        <v>244</v>
      </c>
      <c r="U488" s="7" t="s">
        <v>1563</v>
      </c>
      <c r="V488" s="7" t="s">
        <v>286</v>
      </c>
      <c r="X488" s="2" t="str">
        <f>HYPERLINK("https://hsdes.intel.com/resource/14013158321","14013158321")</f>
        <v>14013158321</v>
      </c>
    </row>
    <row r="489" spans="1:24" x14ac:dyDescent="0.3">
      <c r="A489" s="2" t="str">
        <f>HYPERLINK("https://hsdes.intel.com/resource/14013121041","14013121041")</f>
        <v>14013121041</v>
      </c>
      <c r="B489" s="7" t="s">
        <v>1564</v>
      </c>
      <c r="C489" s="7" t="s">
        <v>2017</v>
      </c>
      <c r="D489" s="7" t="s">
        <v>283</v>
      </c>
      <c r="E489" s="7" t="s">
        <v>19</v>
      </c>
      <c r="F489" s="7" t="s">
        <v>20</v>
      </c>
      <c r="G489" s="28" t="s">
        <v>2027</v>
      </c>
      <c r="J489" s="7" t="s">
        <v>2006</v>
      </c>
      <c r="M489" s="22">
        <v>44783</v>
      </c>
      <c r="O489" s="7" t="s">
        <v>32</v>
      </c>
      <c r="P489" s="7" t="s">
        <v>175</v>
      </c>
      <c r="Q489" s="7" t="s">
        <v>34</v>
      </c>
      <c r="R489" s="7" t="s">
        <v>24</v>
      </c>
      <c r="S489" s="7" t="s">
        <v>1565</v>
      </c>
      <c r="T489" s="7" t="s">
        <v>45</v>
      </c>
      <c r="U489" s="7" t="s">
        <v>1566</v>
      </c>
      <c r="V489" s="7" t="s">
        <v>286</v>
      </c>
      <c r="X489" s="2" t="str">
        <f>HYPERLINK("https://hsdes.intel.com/resource/14013121041","14013121041")</f>
        <v>14013121041</v>
      </c>
    </row>
    <row r="490" spans="1:24" x14ac:dyDescent="0.3">
      <c r="A490" s="2" t="str">
        <f>HYPERLINK("https://hsdes.intel.com/resource/14013157484","14013157484")</f>
        <v>14013157484</v>
      </c>
      <c r="B490" s="7" t="s">
        <v>1567</v>
      </c>
      <c r="C490" s="7" t="s">
        <v>2017</v>
      </c>
      <c r="D490" s="7" t="s">
        <v>81</v>
      </c>
      <c r="E490" s="7" t="s">
        <v>122</v>
      </c>
      <c r="F490" s="7" t="s">
        <v>20</v>
      </c>
      <c r="G490" s="28" t="s">
        <v>2027</v>
      </c>
      <c r="J490" s="7" t="s">
        <v>1974</v>
      </c>
      <c r="M490" s="6">
        <v>44783</v>
      </c>
      <c r="O490" s="7" t="s">
        <v>32</v>
      </c>
      <c r="P490" s="7" t="s">
        <v>175</v>
      </c>
      <c r="Q490" s="7" t="s">
        <v>34</v>
      </c>
      <c r="R490" s="7" t="s">
        <v>24</v>
      </c>
      <c r="S490" s="7" t="s">
        <v>1568</v>
      </c>
      <c r="T490" s="7" t="s">
        <v>45</v>
      </c>
      <c r="U490" s="7" t="s">
        <v>1569</v>
      </c>
      <c r="V490" s="7" t="s">
        <v>81</v>
      </c>
      <c r="X490" s="2" t="str">
        <f>HYPERLINK("https://hsdes.intel.com/resource/14013157484","14013157484")</f>
        <v>14013157484</v>
      </c>
    </row>
    <row r="491" spans="1:24" x14ac:dyDescent="0.3">
      <c r="A491" s="2" t="str">
        <f>HYPERLINK("https://hsdes.intel.com/resource/14013184731","14013184731")</f>
        <v>14013184731</v>
      </c>
      <c r="B491" s="7" t="s">
        <v>1570</v>
      </c>
      <c r="C491" s="7" t="s">
        <v>2017</v>
      </c>
      <c r="D491" s="7" t="s">
        <v>198</v>
      </c>
      <c r="E491" s="7" t="s">
        <v>19</v>
      </c>
      <c r="F491" s="7" t="s">
        <v>20</v>
      </c>
      <c r="G491" s="28" t="s">
        <v>2027</v>
      </c>
      <c r="J491" s="7" t="s">
        <v>2004</v>
      </c>
      <c r="M491" s="6">
        <v>44785</v>
      </c>
      <c r="N491" s="6"/>
      <c r="O491" s="7" t="s">
        <v>32</v>
      </c>
      <c r="P491" s="7" t="s">
        <v>146</v>
      </c>
      <c r="Q491" s="7" t="s">
        <v>34</v>
      </c>
      <c r="R491" s="7" t="s">
        <v>147</v>
      </c>
      <c r="S491" s="7" t="s">
        <v>1571</v>
      </c>
      <c r="T491" s="7" t="s">
        <v>1572</v>
      </c>
      <c r="U491" s="7" t="s">
        <v>1573</v>
      </c>
      <c r="V491" s="7" t="s">
        <v>202</v>
      </c>
      <c r="X491" s="2" t="str">
        <f>HYPERLINK("https://hsdes.intel.com/resource/14013184731","14013184731")</f>
        <v>14013184731</v>
      </c>
    </row>
    <row r="492" spans="1:24" x14ac:dyDescent="0.3">
      <c r="A492" s="2" t="str">
        <f>HYPERLINK("https://hsdes.intel.com/resource/14013185776","14013185776")</f>
        <v>14013185776</v>
      </c>
      <c r="B492" s="18" t="s">
        <v>1574</v>
      </c>
      <c r="C492" s="7" t="s">
        <v>2017</v>
      </c>
      <c r="D492" s="7" t="s">
        <v>198</v>
      </c>
      <c r="E492" s="7" t="s">
        <v>19</v>
      </c>
      <c r="F492" s="7" t="s">
        <v>20</v>
      </c>
      <c r="G492" s="28" t="s">
        <v>2027</v>
      </c>
      <c r="J492" s="7" t="s">
        <v>2006</v>
      </c>
      <c r="M492" s="6">
        <v>44785</v>
      </c>
      <c r="O492" s="7" t="s">
        <v>104</v>
      </c>
      <c r="P492" s="7" t="s">
        <v>146</v>
      </c>
      <c r="Q492" s="7" t="s">
        <v>34</v>
      </c>
      <c r="R492" s="7" t="s">
        <v>147</v>
      </c>
      <c r="S492" s="7" t="s">
        <v>1575</v>
      </c>
      <c r="T492" s="7" t="s">
        <v>1572</v>
      </c>
      <c r="U492" s="7" t="s">
        <v>1576</v>
      </c>
      <c r="V492" s="7" t="s">
        <v>202</v>
      </c>
      <c r="X492" s="2" t="str">
        <f>HYPERLINK("https://hsdes.intel.com/resource/14013185776","14013185776")</f>
        <v>14013185776</v>
      </c>
    </row>
    <row r="493" spans="1:24" x14ac:dyDescent="0.3">
      <c r="A493" s="2" t="str">
        <f>HYPERLINK("https://hsdes.intel.com/resource/14013168579","14013168579")</f>
        <v>14013168579</v>
      </c>
      <c r="B493" s="7" t="s">
        <v>1577</v>
      </c>
      <c r="C493" s="7" t="s">
        <v>2017</v>
      </c>
      <c r="D493" s="7" t="s">
        <v>417</v>
      </c>
      <c r="E493" s="7" t="s">
        <v>19</v>
      </c>
      <c r="F493" s="7" t="s">
        <v>20</v>
      </c>
      <c r="G493" s="28" t="s">
        <v>2027</v>
      </c>
      <c r="J493" s="7" t="s">
        <v>31</v>
      </c>
      <c r="M493" s="6"/>
      <c r="O493" s="7" t="s">
        <v>32</v>
      </c>
      <c r="P493" s="7" t="s">
        <v>163</v>
      </c>
      <c r="Q493" s="7" t="s">
        <v>34</v>
      </c>
      <c r="R493" s="7" t="s">
        <v>24</v>
      </c>
      <c r="S493" s="7" t="s">
        <v>1578</v>
      </c>
      <c r="T493" s="7" t="s">
        <v>1579</v>
      </c>
      <c r="U493" s="7" t="s">
        <v>1580</v>
      </c>
      <c r="V493" s="7" t="s">
        <v>421</v>
      </c>
      <c r="X493" s="2" t="str">
        <f>HYPERLINK("https://hsdes.intel.com/resource/14013168579","14013168579")</f>
        <v>14013168579</v>
      </c>
    </row>
    <row r="494" spans="1:24" s="18" customFormat="1" x14ac:dyDescent="0.3">
      <c r="A494" s="17" t="str">
        <f>HYPERLINK("https://hsdes.intel.com/resource/14013169052","14013169052")</f>
        <v>14013169052</v>
      </c>
      <c r="B494" s="18" t="s">
        <v>1581</v>
      </c>
      <c r="C494" s="7" t="s">
        <v>2017</v>
      </c>
      <c r="D494" s="7" t="s">
        <v>417</v>
      </c>
      <c r="E494" s="7" t="s">
        <v>19</v>
      </c>
      <c r="F494" s="7" t="s">
        <v>20</v>
      </c>
      <c r="G494" s="28" t="s">
        <v>2027</v>
      </c>
      <c r="J494" s="7" t="s">
        <v>2006</v>
      </c>
      <c r="M494" s="22">
        <v>44785</v>
      </c>
      <c r="O494" s="18" t="s">
        <v>104</v>
      </c>
      <c r="P494" s="18" t="s">
        <v>163</v>
      </c>
      <c r="Q494" s="18" t="s">
        <v>34</v>
      </c>
      <c r="R494" s="18" t="s">
        <v>24</v>
      </c>
      <c r="S494" s="18" t="s">
        <v>1582</v>
      </c>
      <c r="T494" s="18" t="s">
        <v>1579</v>
      </c>
      <c r="U494" s="18" t="s">
        <v>1583</v>
      </c>
      <c r="V494" s="18" t="s">
        <v>421</v>
      </c>
      <c r="X494" s="17" t="str">
        <f>HYPERLINK("https://hsdes.intel.com/resource/14013169052","14013169052")</f>
        <v>14013169052</v>
      </c>
    </row>
    <row r="495" spans="1:24" x14ac:dyDescent="0.3">
      <c r="A495" s="2" t="str">
        <f>HYPERLINK("https://hsdes.intel.com/resource/14013177922","14013177922")</f>
        <v>14013177922</v>
      </c>
      <c r="B495" s="7" t="s">
        <v>1584</v>
      </c>
      <c r="C495" s="7" t="s">
        <v>2017</v>
      </c>
      <c r="D495" s="7" t="s">
        <v>238</v>
      </c>
      <c r="E495" s="7" t="s">
        <v>19</v>
      </c>
      <c r="F495" s="7" t="s">
        <v>20</v>
      </c>
      <c r="G495" s="28" t="s">
        <v>2027</v>
      </c>
      <c r="J495" s="7" t="s">
        <v>2006</v>
      </c>
      <c r="M495" s="6">
        <v>44785</v>
      </c>
      <c r="O495" s="7" t="s">
        <v>32</v>
      </c>
      <c r="P495" s="7" t="s">
        <v>186</v>
      </c>
      <c r="Q495" s="7" t="s">
        <v>23</v>
      </c>
      <c r="R495" s="7" t="s">
        <v>147</v>
      </c>
      <c r="S495" s="7" t="s">
        <v>1585</v>
      </c>
      <c r="T495" s="7" t="s">
        <v>205</v>
      </c>
      <c r="U495" s="7" t="s">
        <v>1586</v>
      </c>
      <c r="V495" s="7" t="s">
        <v>189</v>
      </c>
      <c r="X495" s="2" t="str">
        <f>HYPERLINK("https://hsdes.intel.com/resource/14013177922","14013177922")</f>
        <v>14013177922</v>
      </c>
    </row>
    <row r="496" spans="1:24" x14ac:dyDescent="0.3">
      <c r="A496" s="2" t="str">
        <f>HYPERLINK("https://hsdes.intel.com/resource/14013162003","14013162003")</f>
        <v>14013162003</v>
      </c>
      <c r="B496" s="7" t="s">
        <v>1587</v>
      </c>
      <c r="C496" s="7" t="s">
        <v>2017</v>
      </c>
      <c r="D496" s="7" t="s">
        <v>843</v>
      </c>
      <c r="E496" s="7" t="s">
        <v>19</v>
      </c>
      <c r="F496" s="7" t="s">
        <v>20</v>
      </c>
      <c r="G496" s="28" t="s">
        <v>2027</v>
      </c>
      <c r="J496" s="7" t="s">
        <v>2006</v>
      </c>
      <c r="M496" s="6">
        <v>44785</v>
      </c>
      <c r="O496" s="7" t="s">
        <v>32</v>
      </c>
      <c r="P496" s="7" t="s">
        <v>175</v>
      </c>
      <c r="Q496" s="7" t="s">
        <v>34</v>
      </c>
      <c r="R496" s="7" t="s">
        <v>24</v>
      </c>
      <c r="S496" s="7" t="s">
        <v>1588</v>
      </c>
      <c r="T496" s="7" t="s">
        <v>45</v>
      </c>
      <c r="U496" s="7" t="s">
        <v>1589</v>
      </c>
      <c r="V496" s="7" t="s">
        <v>849</v>
      </c>
      <c r="X496" s="2" t="str">
        <f>HYPERLINK("https://hsdes.intel.com/resource/14013162003","14013162003")</f>
        <v>14013162003</v>
      </c>
    </row>
    <row r="497" spans="1:24" x14ac:dyDescent="0.3">
      <c r="A497" s="2" t="str">
        <f>HYPERLINK("https://hsdes.intel.com/resource/14013173189","14013173189")</f>
        <v>14013173189</v>
      </c>
      <c r="B497" s="7" t="s">
        <v>1590</v>
      </c>
      <c r="C497" s="7" t="s">
        <v>2018</v>
      </c>
      <c r="D497" s="7" t="s">
        <v>283</v>
      </c>
      <c r="E497" s="7" t="s">
        <v>19</v>
      </c>
      <c r="F497" s="7" t="s">
        <v>20</v>
      </c>
      <c r="G497" s="28" t="s">
        <v>2027</v>
      </c>
      <c r="J497" s="7" t="s">
        <v>2006</v>
      </c>
      <c r="M497" s="6">
        <v>44781</v>
      </c>
      <c r="O497" s="7" t="s">
        <v>21</v>
      </c>
      <c r="P497" s="7" t="s">
        <v>175</v>
      </c>
      <c r="Q497" s="7" t="s">
        <v>34</v>
      </c>
      <c r="R497" s="7" t="s">
        <v>24</v>
      </c>
      <c r="S497" s="7" t="s">
        <v>1591</v>
      </c>
      <c r="T497" s="7" t="s">
        <v>446</v>
      </c>
      <c r="U497" s="7" t="s">
        <v>1592</v>
      </c>
      <c r="V497" s="7" t="s">
        <v>286</v>
      </c>
      <c r="X497" s="2" t="str">
        <f>HYPERLINK("https://hsdes.intel.com/resource/14013173189","14013173189")</f>
        <v>14013173189</v>
      </c>
    </row>
    <row r="498" spans="1:24" x14ac:dyDescent="0.3">
      <c r="A498" s="2" t="str">
        <f>HYPERLINK("https://hsdes.intel.com/resource/14013115389","14013115389")</f>
        <v>14013115389</v>
      </c>
      <c r="B498" s="7" t="s">
        <v>1593</v>
      </c>
      <c r="C498" s="7" t="s">
        <v>2017</v>
      </c>
      <c r="D498" s="7" t="s">
        <v>283</v>
      </c>
      <c r="E498" s="7" t="s">
        <v>19</v>
      </c>
      <c r="F498" s="7" t="s">
        <v>20</v>
      </c>
      <c r="G498" s="28" t="s">
        <v>2027</v>
      </c>
      <c r="J498" s="7" t="s">
        <v>31</v>
      </c>
      <c r="M498" s="6"/>
      <c r="O498" s="7" t="s">
        <v>32</v>
      </c>
      <c r="P498" s="7" t="s">
        <v>175</v>
      </c>
      <c r="Q498" s="7" t="s">
        <v>34</v>
      </c>
      <c r="R498" s="7" t="s">
        <v>24</v>
      </c>
      <c r="S498" s="7" t="s">
        <v>1594</v>
      </c>
      <c r="T498" s="7" t="s">
        <v>244</v>
      </c>
      <c r="U498" s="7" t="s">
        <v>1595</v>
      </c>
      <c r="V498" s="7" t="s">
        <v>286</v>
      </c>
      <c r="X498" s="2" t="str">
        <f>HYPERLINK("https://hsdes.intel.com/resource/14013115389","14013115389")</f>
        <v>14013115389</v>
      </c>
    </row>
    <row r="499" spans="1:24" x14ac:dyDescent="0.3">
      <c r="A499" s="2" t="str">
        <f>HYPERLINK("https://hsdes.intel.com/resource/14013157532","14013157532")</f>
        <v>14013157532</v>
      </c>
      <c r="B499" s="7" t="s">
        <v>1596</v>
      </c>
      <c r="C499" s="7" t="s">
        <v>2017</v>
      </c>
      <c r="D499" s="7" t="s">
        <v>283</v>
      </c>
      <c r="E499" s="7" t="s">
        <v>19</v>
      </c>
      <c r="F499" s="7" t="s">
        <v>20</v>
      </c>
      <c r="G499" s="28" t="s">
        <v>2027</v>
      </c>
      <c r="J499" s="7" t="s">
        <v>31</v>
      </c>
      <c r="M499" s="6"/>
      <c r="O499" s="7" t="s">
        <v>32</v>
      </c>
      <c r="P499" s="7" t="s">
        <v>175</v>
      </c>
      <c r="Q499" s="7" t="s">
        <v>34</v>
      </c>
      <c r="R499" s="7" t="s">
        <v>24</v>
      </c>
      <c r="S499" s="7" t="s">
        <v>1597</v>
      </c>
      <c r="T499" s="7" t="s">
        <v>244</v>
      </c>
      <c r="U499" s="7" t="s">
        <v>1598</v>
      </c>
      <c r="V499" s="7" t="s">
        <v>286</v>
      </c>
      <c r="X499" s="2" t="str">
        <f>HYPERLINK("https://hsdes.intel.com/resource/14013157532","14013157532")</f>
        <v>14013157532</v>
      </c>
    </row>
    <row r="500" spans="1:24" x14ac:dyDescent="0.3">
      <c r="A500" s="2" t="str">
        <f>HYPERLINK("https://hsdes.intel.com/resource/14013182423","14013182423")</f>
        <v>14013182423</v>
      </c>
      <c r="B500" s="7" t="s">
        <v>1599</v>
      </c>
      <c r="C500" s="7" t="s">
        <v>2017</v>
      </c>
      <c r="D500" s="7" t="s">
        <v>283</v>
      </c>
      <c r="E500" s="7" t="s">
        <v>19</v>
      </c>
      <c r="F500" s="7" t="s">
        <v>20</v>
      </c>
      <c r="G500" s="28" t="s">
        <v>2027</v>
      </c>
      <c r="J500" s="7" t="s">
        <v>31</v>
      </c>
      <c r="M500" s="6"/>
      <c r="O500" s="7" t="s">
        <v>32</v>
      </c>
      <c r="P500" s="7" t="s">
        <v>175</v>
      </c>
      <c r="Q500" s="7" t="s">
        <v>34</v>
      </c>
      <c r="R500" s="7" t="s">
        <v>24</v>
      </c>
      <c r="S500" s="7" t="s">
        <v>1600</v>
      </c>
      <c r="T500" s="7" t="s">
        <v>446</v>
      </c>
      <c r="U500" s="7" t="s">
        <v>1601</v>
      </c>
      <c r="V500" s="7" t="s">
        <v>286</v>
      </c>
      <c r="X500" s="2" t="str">
        <f>HYPERLINK("https://hsdes.intel.com/resource/14013182423","14013182423")</f>
        <v>14013182423</v>
      </c>
    </row>
    <row r="501" spans="1:24" x14ac:dyDescent="0.3">
      <c r="A501" s="2" t="str">
        <f>HYPERLINK("https://hsdes.intel.com/resource/14013158271","14013158271")</f>
        <v>14013158271</v>
      </c>
      <c r="B501" s="7" t="s">
        <v>1602</v>
      </c>
      <c r="C501" s="7" t="s">
        <v>2018</v>
      </c>
      <c r="D501" s="7" t="s">
        <v>283</v>
      </c>
      <c r="E501" s="7" t="s">
        <v>19</v>
      </c>
      <c r="F501" s="7" t="s">
        <v>20</v>
      </c>
      <c r="G501" s="28" t="s">
        <v>2027</v>
      </c>
      <c r="J501" s="7" t="s">
        <v>2006</v>
      </c>
      <c r="M501" s="6">
        <v>44784</v>
      </c>
      <c r="O501" s="7" t="s">
        <v>32</v>
      </c>
      <c r="P501" s="7" t="s">
        <v>175</v>
      </c>
      <c r="Q501" s="7" t="s">
        <v>34</v>
      </c>
      <c r="R501" s="7" t="s">
        <v>24</v>
      </c>
      <c r="S501" s="7" t="s">
        <v>1603</v>
      </c>
      <c r="T501" s="7" t="s">
        <v>244</v>
      </c>
      <c r="U501" s="7" t="s">
        <v>1604</v>
      </c>
      <c r="V501" s="7" t="s">
        <v>286</v>
      </c>
      <c r="X501" s="5" t="str">
        <f>HYPERLINK("https://hsdes.intel.com/resource/14013158271","14013158271")</f>
        <v>14013158271</v>
      </c>
    </row>
    <row r="502" spans="1:24" x14ac:dyDescent="0.3">
      <c r="A502" s="2" t="str">
        <f>HYPERLINK("https://hsdes.intel.com/resource/22011834694","22011834694")</f>
        <v>22011834694</v>
      </c>
      <c r="B502" s="7" t="s">
        <v>1605</v>
      </c>
      <c r="C502" s="7" t="s">
        <v>2018</v>
      </c>
      <c r="D502" s="7" t="s">
        <v>283</v>
      </c>
      <c r="E502" s="7" t="s">
        <v>19</v>
      </c>
      <c r="F502" s="7" t="s">
        <v>20</v>
      </c>
      <c r="G502" s="28" t="s">
        <v>2027</v>
      </c>
      <c r="J502" s="7" t="s">
        <v>2006</v>
      </c>
      <c r="M502" s="6">
        <v>44784</v>
      </c>
      <c r="N502" s="6"/>
      <c r="O502" s="7" t="s">
        <v>32</v>
      </c>
      <c r="P502" s="7" t="s">
        <v>1606</v>
      </c>
      <c r="Q502" s="7" t="s">
        <v>34</v>
      </c>
      <c r="R502" s="7" t="s">
        <v>24</v>
      </c>
      <c r="S502" s="7" t="s">
        <v>1607</v>
      </c>
      <c r="T502" s="7" t="s">
        <v>244</v>
      </c>
      <c r="U502" s="7" t="s">
        <v>1608</v>
      </c>
      <c r="V502" s="7" t="s">
        <v>286</v>
      </c>
      <c r="X502" s="2" t="str">
        <f>HYPERLINK("https://hsdes.intel.com/resource/22011834694","22011834694")</f>
        <v>22011834694</v>
      </c>
    </row>
    <row r="503" spans="1:24" x14ac:dyDescent="0.3">
      <c r="A503" s="2" t="str">
        <f>HYPERLINK("https://hsdes.intel.com/resource/14013162764","14013162764")</f>
        <v>14013162764</v>
      </c>
      <c r="B503" s="7" t="s">
        <v>1609</v>
      </c>
      <c r="C503" s="7" t="s">
        <v>2018</v>
      </c>
      <c r="D503" s="7" t="s">
        <v>283</v>
      </c>
      <c r="E503" s="7" t="s">
        <v>19</v>
      </c>
      <c r="F503" s="7" t="s">
        <v>20</v>
      </c>
      <c r="G503" s="28" t="s">
        <v>2027</v>
      </c>
      <c r="J503" s="7" t="s">
        <v>2006</v>
      </c>
      <c r="M503" s="6">
        <v>44784</v>
      </c>
      <c r="N503" s="6"/>
      <c r="O503" s="7" t="s">
        <v>32</v>
      </c>
      <c r="P503" s="7" t="s">
        <v>175</v>
      </c>
      <c r="Q503" s="7" t="s">
        <v>34</v>
      </c>
      <c r="R503" s="7" t="s">
        <v>24</v>
      </c>
      <c r="S503" s="7" t="s">
        <v>1610</v>
      </c>
      <c r="T503" s="7" t="s">
        <v>244</v>
      </c>
      <c r="U503" s="7" t="s">
        <v>1611</v>
      </c>
      <c r="V503" s="7" t="s">
        <v>286</v>
      </c>
      <c r="X503" s="2" t="str">
        <f>HYPERLINK("https://hsdes.intel.com/resource/14013162764","14013162764")</f>
        <v>14013162764</v>
      </c>
    </row>
    <row r="504" spans="1:24" x14ac:dyDescent="0.3">
      <c r="A504" s="2" t="str">
        <f>HYPERLINK("https://hsdes.intel.com/resource/22011834699","22011834699")</f>
        <v>22011834699</v>
      </c>
      <c r="B504" s="7" t="s">
        <v>1612</v>
      </c>
      <c r="C504" s="7" t="s">
        <v>2018</v>
      </c>
      <c r="D504" s="7" t="s">
        <v>283</v>
      </c>
      <c r="E504" s="7" t="s">
        <v>19</v>
      </c>
      <c r="F504" s="7" t="s">
        <v>20</v>
      </c>
      <c r="G504" s="28" t="s">
        <v>2027</v>
      </c>
      <c r="J504" s="7" t="s">
        <v>2006</v>
      </c>
      <c r="M504" s="6">
        <v>44784</v>
      </c>
      <c r="N504" s="6"/>
      <c r="O504" s="7" t="s">
        <v>32</v>
      </c>
      <c r="P504" s="7" t="s">
        <v>1606</v>
      </c>
      <c r="Q504" s="7" t="s">
        <v>34</v>
      </c>
      <c r="R504" s="7" t="s">
        <v>24</v>
      </c>
      <c r="S504" s="7" t="s">
        <v>1613</v>
      </c>
      <c r="T504" s="7" t="s">
        <v>244</v>
      </c>
      <c r="U504" s="7" t="s">
        <v>1614</v>
      </c>
      <c r="V504" s="7" t="s">
        <v>286</v>
      </c>
      <c r="X504" s="2" t="str">
        <f>HYPERLINK("https://hsdes.intel.com/resource/22011834699","22011834699")</f>
        <v>22011834699</v>
      </c>
    </row>
    <row r="505" spans="1:24" x14ac:dyDescent="0.3">
      <c r="A505" s="2" t="str">
        <f>HYPERLINK("https://hsdes.intel.com/resource/14013174847","14013174847")</f>
        <v>14013174847</v>
      </c>
      <c r="B505" s="7" t="s">
        <v>1615</v>
      </c>
      <c r="C505" s="7" t="s">
        <v>2017</v>
      </c>
      <c r="D505" s="7" t="s">
        <v>546</v>
      </c>
      <c r="E505" s="7" t="s">
        <v>19</v>
      </c>
      <c r="F505" s="7" t="s">
        <v>20</v>
      </c>
      <c r="G505" s="28" t="s">
        <v>2027</v>
      </c>
      <c r="J505" s="7" t="s">
        <v>2006</v>
      </c>
      <c r="M505" s="6">
        <v>44785</v>
      </c>
      <c r="O505" s="7" t="s">
        <v>32</v>
      </c>
      <c r="P505" s="7" t="s">
        <v>186</v>
      </c>
      <c r="Q505" s="7" t="s">
        <v>34</v>
      </c>
      <c r="R505" s="7" t="s">
        <v>147</v>
      </c>
      <c r="S505" s="7" t="s">
        <v>1616</v>
      </c>
      <c r="T505" s="7" t="s">
        <v>177</v>
      </c>
      <c r="U505" s="7" t="s">
        <v>1617</v>
      </c>
      <c r="V505" s="7" t="s">
        <v>189</v>
      </c>
      <c r="X505" s="2" t="str">
        <f>HYPERLINK("https://hsdes.intel.com/resource/14013174847","14013174847")</f>
        <v>14013174847</v>
      </c>
    </row>
    <row r="506" spans="1:24" x14ac:dyDescent="0.3">
      <c r="A506" s="2" t="str">
        <f>HYPERLINK("https://hsdes.intel.com/resource/14013173090","14013173090")</f>
        <v>14013173090</v>
      </c>
      <c r="B506" s="7" t="s">
        <v>1618</v>
      </c>
      <c r="C506" s="7" t="s">
        <v>2017</v>
      </c>
      <c r="D506" s="7" t="s">
        <v>283</v>
      </c>
      <c r="E506" s="7" t="s">
        <v>19</v>
      </c>
      <c r="F506" s="7" t="s">
        <v>20</v>
      </c>
      <c r="G506" s="28" t="s">
        <v>2027</v>
      </c>
      <c r="J506" s="7" t="s">
        <v>2006</v>
      </c>
      <c r="M506" s="6">
        <v>44785</v>
      </c>
      <c r="O506" s="7" t="s">
        <v>32</v>
      </c>
      <c r="P506" s="7" t="s">
        <v>22</v>
      </c>
      <c r="Q506" s="7" t="s">
        <v>34</v>
      </c>
      <c r="R506" s="7" t="s">
        <v>24</v>
      </c>
      <c r="S506" s="7" t="s">
        <v>1619</v>
      </c>
      <c r="T506" s="7" t="s">
        <v>170</v>
      </c>
      <c r="U506" s="7" t="s">
        <v>1620</v>
      </c>
      <c r="V506" s="7" t="s">
        <v>172</v>
      </c>
      <c r="X506" s="2" t="str">
        <f>HYPERLINK("https://hsdes.intel.com/resource/14013173090","14013173090")</f>
        <v>14013173090</v>
      </c>
    </row>
    <row r="507" spans="1:24" x14ac:dyDescent="0.3">
      <c r="A507" s="2" t="str">
        <f>HYPERLINK("https://hsdes.intel.com/resource/14013185278","14013185278")</f>
        <v>14013185278</v>
      </c>
      <c r="B507" s="7" t="s">
        <v>1621</v>
      </c>
      <c r="C507" s="7" t="s">
        <v>2017</v>
      </c>
      <c r="D507" s="7" t="s">
        <v>283</v>
      </c>
      <c r="E507" s="7" t="s">
        <v>19</v>
      </c>
      <c r="F507" s="7" t="s">
        <v>20</v>
      </c>
      <c r="G507" s="28" t="s">
        <v>2027</v>
      </c>
      <c r="J507" s="7" t="s">
        <v>2006</v>
      </c>
      <c r="M507" s="6">
        <v>44784</v>
      </c>
      <c r="O507" s="7" t="s">
        <v>32</v>
      </c>
      <c r="P507" s="7" t="s">
        <v>175</v>
      </c>
      <c r="Q507" s="7" t="s">
        <v>34</v>
      </c>
      <c r="R507" s="7" t="s">
        <v>24</v>
      </c>
      <c r="S507" s="7" t="s">
        <v>1622</v>
      </c>
      <c r="T507" s="7" t="s">
        <v>706</v>
      </c>
      <c r="U507" s="7" t="s">
        <v>1623</v>
      </c>
      <c r="V507" s="7" t="s">
        <v>286</v>
      </c>
      <c r="X507" s="2" t="str">
        <f>HYPERLINK("https://hsdes.intel.com/resource/14013185278","14013185278")</f>
        <v>14013185278</v>
      </c>
    </row>
    <row r="508" spans="1:24" x14ac:dyDescent="0.3">
      <c r="A508" s="2" t="str">
        <f>HYPERLINK("https://hsdes.intel.com/resource/14013173203","14013173203")</f>
        <v>14013173203</v>
      </c>
      <c r="B508" s="7" t="s">
        <v>1624</v>
      </c>
      <c r="C508" s="7" t="s">
        <v>2017</v>
      </c>
      <c r="D508" s="7" t="s">
        <v>283</v>
      </c>
      <c r="E508" s="7" t="s">
        <v>19</v>
      </c>
      <c r="F508" s="7" t="s">
        <v>20</v>
      </c>
      <c r="G508" s="28" t="s">
        <v>2027</v>
      </c>
      <c r="J508" s="7" t="s">
        <v>31</v>
      </c>
      <c r="M508" s="6"/>
      <c r="O508" s="7" t="s">
        <v>32</v>
      </c>
      <c r="P508" s="7" t="s">
        <v>175</v>
      </c>
      <c r="Q508" s="7" t="s">
        <v>34</v>
      </c>
      <c r="R508" s="7" t="s">
        <v>24</v>
      </c>
      <c r="S508" s="7" t="s">
        <v>1625</v>
      </c>
      <c r="T508" s="7" t="s">
        <v>244</v>
      </c>
      <c r="U508" s="7" t="s">
        <v>1626</v>
      </c>
      <c r="V508" s="7" t="s">
        <v>286</v>
      </c>
      <c r="X508" s="2" t="str">
        <f>HYPERLINK("https://hsdes.intel.com/resource/14013173203","14013173203")</f>
        <v>14013173203</v>
      </c>
    </row>
    <row r="509" spans="1:24" x14ac:dyDescent="0.3">
      <c r="A509" s="2" t="str">
        <f>HYPERLINK("https://hsdes.intel.com/resource/14013158146","14013158146")</f>
        <v>14013158146</v>
      </c>
      <c r="B509" s="7" t="s">
        <v>1627</v>
      </c>
      <c r="C509" s="7" t="s">
        <v>2017</v>
      </c>
      <c r="D509" s="7" t="s">
        <v>283</v>
      </c>
      <c r="E509" s="7" t="s">
        <v>19</v>
      </c>
      <c r="F509" s="7" t="s">
        <v>20</v>
      </c>
      <c r="G509" s="28" t="s">
        <v>2027</v>
      </c>
      <c r="J509" s="7" t="s">
        <v>31</v>
      </c>
      <c r="M509" s="6"/>
      <c r="O509" s="7" t="s">
        <v>32</v>
      </c>
      <c r="P509" s="7" t="s">
        <v>175</v>
      </c>
      <c r="Q509" s="7" t="s">
        <v>34</v>
      </c>
      <c r="R509" s="7" t="s">
        <v>24</v>
      </c>
      <c r="S509" s="7" t="s">
        <v>1628</v>
      </c>
      <c r="T509" s="7" t="s">
        <v>244</v>
      </c>
      <c r="U509" s="7" t="s">
        <v>1629</v>
      </c>
      <c r="V509" s="7" t="s">
        <v>286</v>
      </c>
      <c r="X509" s="2" t="str">
        <f>HYPERLINK("https://hsdes.intel.com/resource/14013158146","14013158146")</f>
        <v>14013158146</v>
      </c>
    </row>
    <row r="510" spans="1:24" x14ac:dyDescent="0.3">
      <c r="A510" s="2" t="str">
        <f>HYPERLINK("https://hsdes.intel.com/resource/14013120952","14013120952")</f>
        <v>14013120952</v>
      </c>
      <c r="B510" s="7" t="s">
        <v>1630</v>
      </c>
      <c r="C510" s="7" t="s">
        <v>2017</v>
      </c>
      <c r="D510" s="7" t="s">
        <v>283</v>
      </c>
      <c r="E510" s="7" t="s">
        <v>19</v>
      </c>
      <c r="F510" s="7" t="s">
        <v>20</v>
      </c>
      <c r="G510" s="28" t="s">
        <v>2027</v>
      </c>
      <c r="J510" s="7" t="s">
        <v>31</v>
      </c>
      <c r="M510" s="6"/>
      <c r="O510" s="7" t="s">
        <v>32</v>
      </c>
      <c r="P510" s="7" t="s">
        <v>175</v>
      </c>
      <c r="Q510" s="7" t="s">
        <v>34</v>
      </c>
      <c r="R510" s="7" t="s">
        <v>24</v>
      </c>
      <c r="S510" s="7" t="s">
        <v>1631</v>
      </c>
      <c r="T510" s="7" t="s">
        <v>1556</v>
      </c>
      <c r="U510" s="7" t="s">
        <v>1632</v>
      </c>
      <c r="V510" s="7" t="s">
        <v>286</v>
      </c>
      <c r="X510" s="2" t="str">
        <f>HYPERLINK("https://hsdes.intel.com/resource/14013120952","14013120952")</f>
        <v>14013120952</v>
      </c>
    </row>
    <row r="511" spans="1:24" x14ac:dyDescent="0.3">
      <c r="A511" s="2" t="str">
        <f>HYPERLINK("https://hsdes.intel.com/resource/14013121149","14013121149")</f>
        <v>14013121149</v>
      </c>
      <c r="B511" s="7" t="s">
        <v>1633</v>
      </c>
      <c r="C511" s="7" t="s">
        <v>2017</v>
      </c>
      <c r="D511" s="7" t="s">
        <v>283</v>
      </c>
      <c r="E511" s="7" t="s">
        <v>19</v>
      </c>
      <c r="F511" s="7" t="s">
        <v>20</v>
      </c>
      <c r="G511" s="28" t="s">
        <v>2027</v>
      </c>
      <c r="J511" s="7" t="s">
        <v>31</v>
      </c>
      <c r="M511" s="6"/>
      <c r="O511" s="7" t="s">
        <v>32</v>
      </c>
      <c r="P511" s="7" t="s">
        <v>175</v>
      </c>
      <c r="Q511" s="7" t="s">
        <v>34</v>
      </c>
      <c r="R511" s="7" t="s">
        <v>24</v>
      </c>
      <c r="S511" s="7" t="s">
        <v>1634</v>
      </c>
      <c r="T511" s="7" t="s">
        <v>1556</v>
      </c>
      <c r="U511" s="7" t="s">
        <v>1635</v>
      </c>
      <c r="V511" s="7" t="s">
        <v>286</v>
      </c>
      <c r="X511" s="2" t="str">
        <f>HYPERLINK("https://hsdes.intel.com/resource/14013121149","14013121149")</f>
        <v>14013121149</v>
      </c>
    </row>
    <row r="512" spans="1:24" x14ac:dyDescent="0.3">
      <c r="A512" s="2" t="str">
        <f>HYPERLINK("https://hsdes.intel.com/resource/14013120979","14013120979")</f>
        <v>14013120979</v>
      </c>
      <c r="B512" s="7" t="s">
        <v>1636</v>
      </c>
      <c r="C512" s="7" t="s">
        <v>2017</v>
      </c>
      <c r="D512" s="7" t="s">
        <v>283</v>
      </c>
      <c r="E512" s="7" t="s">
        <v>19</v>
      </c>
      <c r="F512" s="7" t="s">
        <v>20</v>
      </c>
      <c r="G512" s="28" t="s">
        <v>2027</v>
      </c>
      <c r="J512" s="7" t="s">
        <v>31</v>
      </c>
      <c r="M512" s="6"/>
      <c r="O512" s="7" t="s">
        <v>32</v>
      </c>
      <c r="P512" s="7" t="s">
        <v>175</v>
      </c>
      <c r="Q512" s="7" t="s">
        <v>34</v>
      </c>
      <c r="R512" s="7" t="s">
        <v>24</v>
      </c>
      <c r="S512" s="7" t="s">
        <v>1637</v>
      </c>
      <c r="T512" s="7" t="s">
        <v>1556</v>
      </c>
      <c r="U512" s="7" t="s">
        <v>1638</v>
      </c>
      <c r="V512" s="7" t="s">
        <v>286</v>
      </c>
      <c r="X512" s="2" t="str">
        <f>HYPERLINK("https://hsdes.intel.com/resource/14013120979","14013120979")</f>
        <v>14013120979</v>
      </c>
    </row>
    <row r="513" spans="1:24" x14ac:dyDescent="0.3">
      <c r="A513" s="2" t="str">
        <f>HYPERLINK("https://hsdes.intel.com/resource/14013172952","14013172952")</f>
        <v>14013172952</v>
      </c>
      <c r="B513" s="7" t="s">
        <v>1639</v>
      </c>
      <c r="C513" s="7" t="s">
        <v>2017</v>
      </c>
      <c r="D513" s="7" t="s">
        <v>18</v>
      </c>
      <c r="E513" s="7" t="s">
        <v>19</v>
      </c>
      <c r="F513" s="7" t="s">
        <v>20</v>
      </c>
      <c r="G513" s="28" t="s">
        <v>2027</v>
      </c>
      <c r="J513" s="7" t="s">
        <v>2006</v>
      </c>
      <c r="M513" s="6">
        <v>44785</v>
      </c>
      <c r="O513" s="7" t="s">
        <v>21</v>
      </c>
      <c r="P513" s="7" t="s">
        <v>22</v>
      </c>
      <c r="Q513" s="7" t="s">
        <v>34</v>
      </c>
      <c r="R513" s="7" t="s">
        <v>147</v>
      </c>
      <c r="S513" s="7" t="s">
        <v>1640</v>
      </c>
      <c r="T513" s="7" t="s">
        <v>427</v>
      </c>
      <c r="U513" s="7" t="s">
        <v>1641</v>
      </c>
      <c r="V513" s="7" t="s">
        <v>28</v>
      </c>
      <c r="X513" s="2" t="str">
        <f>HYPERLINK("https://hsdes.intel.com/resource/14013172952","14013172952")</f>
        <v>14013172952</v>
      </c>
    </row>
    <row r="514" spans="1:24" x14ac:dyDescent="0.3">
      <c r="A514" s="2" t="str">
        <f>HYPERLINK("https://hsdes.intel.com/resource/14013158479","14013158479")</f>
        <v>14013158479</v>
      </c>
      <c r="B514" s="7" t="s">
        <v>1642</v>
      </c>
      <c r="C514" s="7" t="s">
        <v>2017</v>
      </c>
      <c r="D514" s="7" t="s">
        <v>138</v>
      </c>
      <c r="E514" s="7" t="s">
        <v>19</v>
      </c>
      <c r="F514" s="7" t="s">
        <v>20</v>
      </c>
      <c r="G514" s="28" t="s">
        <v>2027</v>
      </c>
      <c r="J514" s="7" t="s">
        <v>31</v>
      </c>
      <c r="M514" s="6"/>
      <c r="O514" s="7" t="s">
        <v>32</v>
      </c>
      <c r="P514" s="7" t="s">
        <v>78</v>
      </c>
      <c r="Q514" s="7" t="s">
        <v>34</v>
      </c>
      <c r="R514" s="7" t="s">
        <v>24</v>
      </c>
      <c r="S514" s="7" t="s">
        <v>1643</v>
      </c>
      <c r="T514" s="7" t="s">
        <v>244</v>
      </c>
      <c r="U514" s="7" t="s">
        <v>1644</v>
      </c>
      <c r="V514" s="7" t="s">
        <v>142</v>
      </c>
      <c r="X514" s="2" t="str">
        <f>HYPERLINK("https://hsdes.intel.com/resource/14013158479","14013158479")</f>
        <v>14013158479</v>
      </c>
    </row>
    <row r="515" spans="1:24" x14ac:dyDescent="0.3">
      <c r="A515" s="2" t="str">
        <f>HYPERLINK("https://hsdes.intel.com/resource/14013114941","14013114941")</f>
        <v>14013114941</v>
      </c>
      <c r="B515" s="7" t="s">
        <v>1645</v>
      </c>
      <c r="C515" s="7" t="s">
        <v>2017</v>
      </c>
      <c r="D515" s="7" t="s">
        <v>18</v>
      </c>
      <c r="E515" s="7" t="s">
        <v>19</v>
      </c>
      <c r="F515" s="7" t="s">
        <v>20</v>
      </c>
      <c r="G515" s="28" t="s">
        <v>2027</v>
      </c>
      <c r="J515" s="7" t="s">
        <v>2006</v>
      </c>
      <c r="L515" s="7" t="s">
        <v>288</v>
      </c>
      <c r="M515" s="6">
        <v>44785</v>
      </c>
      <c r="O515" s="7" t="s">
        <v>32</v>
      </c>
      <c r="P515" s="7" t="s">
        <v>22</v>
      </c>
      <c r="Q515" s="7" t="s">
        <v>34</v>
      </c>
      <c r="R515" s="7" t="s">
        <v>24</v>
      </c>
      <c r="S515" s="7" t="s">
        <v>1646</v>
      </c>
      <c r="T515" s="7" t="s">
        <v>106</v>
      </c>
      <c r="U515" s="7" t="s">
        <v>1647</v>
      </c>
      <c r="V515" s="7" t="s">
        <v>28</v>
      </c>
      <c r="X515" s="2" t="str">
        <f>HYPERLINK("https://hsdes.intel.com/resource/14013114941","14013114941")</f>
        <v>14013114941</v>
      </c>
    </row>
    <row r="516" spans="1:24" x14ac:dyDescent="0.3">
      <c r="A516" s="2" t="str">
        <f>HYPERLINK("https://hsdes.intel.com/resource/14013158389","14013158389")</f>
        <v>14013158389</v>
      </c>
      <c r="B516" s="7" t="s">
        <v>1648</v>
      </c>
      <c r="C516" s="7" t="s">
        <v>2017</v>
      </c>
      <c r="D516" s="7" t="s">
        <v>283</v>
      </c>
      <c r="E516" s="7" t="s">
        <v>19</v>
      </c>
      <c r="F516" s="7" t="s">
        <v>20</v>
      </c>
      <c r="G516" s="28" t="s">
        <v>2027</v>
      </c>
      <c r="J516" s="7" t="s">
        <v>2006</v>
      </c>
      <c r="L516" s="7" t="s">
        <v>288</v>
      </c>
      <c r="M516" s="6">
        <v>44784</v>
      </c>
      <c r="O516" s="7" t="s">
        <v>32</v>
      </c>
      <c r="P516" s="7" t="s">
        <v>175</v>
      </c>
      <c r="Q516" s="7" t="s">
        <v>34</v>
      </c>
      <c r="R516" s="7" t="s">
        <v>24</v>
      </c>
      <c r="S516" s="7" t="s">
        <v>1649</v>
      </c>
      <c r="T516" s="7" t="s">
        <v>45</v>
      </c>
      <c r="U516" s="7" t="s">
        <v>1650</v>
      </c>
      <c r="V516" s="7" t="s">
        <v>286</v>
      </c>
      <c r="X516" s="2" t="str">
        <f>HYPERLINK("https://hsdes.intel.com/resource/14013158389","14013158389")</f>
        <v>14013158389</v>
      </c>
    </row>
    <row r="517" spans="1:24" x14ac:dyDescent="0.3">
      <c r="A517" s="2" t="str">
        <f>HYPERLINK("https://hsdes.intel.com/resource/14013160422","14013160422")</f>
        <v>14013160422</v>
      </c>
      <c r="B517" s="7" t="s">
        <v>1651</v>
      </c>
      <c r="C517" s="7" t="s">
        <v>2017</v>
      </c>
      <c r="D517" s="7" t="s">
        <v>18</v>
      </c>
      <c r="E517" s="7" t="s">
        <v>19</v>
      </c>
      <c r="F517" s="7" t="s">
        <v>20</v>
      </c>
      <c r="G517" s="28" t="s">
        <v>2027</v>
      </c>
      <c r="J517" s="7" t="s">
        <v>2006</v>
      </c>
      <c r="M517" s="6">
        <v>44785</v>
      </c>
      <c r="O517" s="7" t="s">
        <v>21</v>
      </c>
      <c r="P517" s="7" t="s">
        <v>22</v>
      </c>
      <c r="Q517" s="7" t="s">
        <v>34</v>
      </c>
      <c r="R517" s="7" t="s">
        <v>24</v>
      </c>
      <c r="S517" s="7" t="s">
        <v>1652</v>
      </c>
      <c r="T517" s="7" t="s">
        <v>427</v>
      </c>
      <c r="U517" s="7" t="s">
        <v>1653</v>
      </c>
      <c r="V517" s="7" t="s">
        <v>28</v>
      </c>
      <c r="X517" s="2" t="str">
        <f>HYPERLINK("https://hsdes.intel.com/resource/14013160422","14013160422")</f>
        <v>14013160422</v>
      </c>
    </row>
    <row r="518" spans="1:24" x14ac:dyDescent="0.3">
      <c r="A518" s="2" t="str">
        <f>HYPERLINK("https://hsdes.intel.com/resource/14013159094","14013159094")</f>
        <v>14013159094</v>
      </c>
      <c r="B518" s="7" t="s">
        <v>1654</v>
      </c>
      <c r="C518" s="7" t="s">
        <v>2017</v>
      </c>
      <c r="D518" s="7" t="s">
        <v>18</v>
      </c>
      <c r="E518" s="7" t="s">
        <v>19</v>
      </c>
      <c r="F518" s="7" t="s">
        <v>20</v>
      </c>
      <c r="G518" s="28" t="s">
        <v>2027</v>
      </c>
      <c r="J518" s="7" t="s">
        <v>2006</v>
      </c>
      <c r="M518" s="6">
        <v>44785</v>
      </c>
      <c r="O518" s="7" t="s">
        <v>21</v>
      </c>
      <c r="P518" s="7" t="s">
        <v>22</v>
      </c>
      <c r="Q518" s="7" t="s">
        <v>34</v>
      </c>
      <c r="R518" s="7" t="s">
        <v>24</v>
      </c>
      <c r="S518" s="7" t="s">
        <v>1655</v>
      </c>
      <c r="T518" s="7" t="s">
        <v>906</v>
      </c>
      <c r="U518" s="7" t="s">
        <v>1656</v>
      </c>
      <c r="V518" s="7" t="s">
        <v>28</v>
      </c>
      <c r="X518" s="2" t="str">
        <f>HYPERLINK("https://hsdes.intel.com/resource/14013159094","14013159094")</f>
        <v>14013159094</v>
      </c>
    </row>
    <row r="519" spans="1:24" x14ac:dyDescent="0.3">
      <c r="A519" s="2" t="str">
        <f>HYPERLINK("https://hsdes.intel.com/resource/14013163281","14013163281")</f>
        <v>14013163281</v>
      </c>
      <c r="B519" s="7" t="s">
        <v>1657</v>
      </c>
      <c r="C519" s="7" t="s">
        <v>2017</v>
      </c>
      <c r="D519" s="7" t="s">
        <v>18</v>
      </c>
      <c r="E519" s="7" t="s">
        <v>19</v>
      </c>
      <c r="F519" s="7" t="s">
        <v>20</v>
      </c>
      <c r="G519" s="28" t="s">
        <v>2027</v>
      </c>
      <c r="J519" s="7" t="s">
        <v>2006</v>
      </c>
      <c r="M519" s="6">
        <v>44785</v>
      </c>
      <c r="O519" s="7" t="s">
        <v>32</v>
      </c>
      <c r="P519" s="7" t="s">
        <v>22</v>
      </c>
      <c r="Q519" s="7" t="s">
        <v>34</v>
      </c>
      <c r="R519" s="7" t="s">
        <v>24</v>
      </c>
      <c r="S519" s="7" t="s">
        <v>1658</v>
      </c>
      <c r="T519" s="7" t="s">
        <v>106</v>
      </c>
      <c r="U519" s="7" t="s">
        <v>1659</v>
      </c>
      <c r="V519" s="7" t="s">
        <v>28</v>
      </c>
      <c r="X519" s="2" t="str">
        <f>HYPERLINK("https://hsdes.intel.com/resource/14013163281","14013163281")</f>
        <v>14013163281</v>
      </c>
    </row>
    <row r="520" spans="1:24" x14ac:dyDescent="0.3">
      <c r="A520" s="2" t="str">
        <f>HYPERLINK("https://hsdes.intel.com/resource/14013162573","14013162573")</f>
        <v>14013162573</v>
      </c>
      <c r="B520" s="7" t="s">
        <v>1660</v>
      </c>
      <c r="C520" s="7" t="s">
        <v>2017</v>
      </c>
      <c r="D520" s="7" t="s">
        <v>18</v>
      </c>
      <c r="E520" s="7" t="s">
        <v>122</v>
      </c>
      <c r="F520" s="7" t="s">
        <v>20</v>
      </c>
      <c r="G520" s="28" t="s">
        <v>2027</v>
      </c>
      <c r="J520" s="7" t="s">
        <v>2006</v>
      </c>
      <c r="M520" s="6">
        <v>44785</v>
      </c>
      <c r="O520" s="7" t="s">
        <v>104</v>
      </c>
      <c r="P520" s="7" t="s">
        <v>22</v>
      </c>
      <c r="Q520" s="7" t="s">
        <v>34</v>
      </c>
      <c r="R520" s="7" t="s">
        <v>24</v>
      </c>
      <c r="S520" s="7" t="s">
        <v>1661</v>
      </c>
      <c r="T520" s="7" t="s">
        <v>106</v>
      </c>
      <c r="U520" s="7" t="s">
        <v>1662</v>
      </c>
      <c r="V520" s="7" t="s">
        <v>28</v>
      </c>
      <c r="X520" s="2" t="str">
        <f>HYPERLINK("https://hsdes.intel.com/resource/14013162573","14013162573")</f>
        <v>14013162573</v>
      </c>
    </row>
    <row r="521" spans="1:24" x14ac:dyDescent="0.3">
      <c r="A521" s="2" t="str">
        <f>HYPERLINK("https://hsdes.intel.com/resource/14013158689","14013158689")</f>
        <v>14013158689</v>
      </c>
      <c r="B521" s="7" t="s">
        <v>1663</v>
      </c>
      <c r="C521" s="7" t="s">
        <v>2017</v>
      </c>
      <c r="D521" s="7" t="s">
        <v>18</v>
      </c>
      <c r="E521" s="7" t="s">
        <v>19</v>
      </c>
      <c r="F521" s="7" t="s">
        <v>20</v>
      </c>
      <c r="G521" s="28" t="s">
        <v>2027</v>
      </c>
      <c r="J521" s="7" t="s">
        <v>2006</v>
      </c>
      <c r="M521" s="6">
        <v>44785</v>
      </c>
      <c r="O521" s="7" t="s">
        <v>21</v>
      </c>
      <c r="P521" s="7" t="s">
        <v>22</v>
      </c>
      <c r="Q521" s="7" t="s">
        <v>34</v>
      </c>
      <c r="R521" s="7" t="s">
        <v>24</v>
      </c>
      <c r="S521" s="7" t="s">
        <v>1664</v>
      </c>
      <c r="T521" s="7" t="s">
        <v>106</v>
      </c>
      <c r="U521" s="7" t="s">
        <v>1665</v>
      </c>
      <c r="V521" s="7" t="s">
        <v>28</v>
      </c>
      <c r="X521" s="2" t="str">
        <f>HYPERLINK("https://hsdes.intel.com/resource/14013158689","14013158689")</f>
        <v>14013158689</v>
      </c>
    </row>
    <row r="522" spans="1:24" x14ac:dyDescent="0.3">
      <c r="A522" s="5" t="str">
        <f>HYPERLINK("https://hsdes.intel.com/resource/16013832714","16013832714")</f>
        <v>16013832714</v>
      </c>
      <c r="B522" s="7" t="s">
        <v>1666</v>
      </c>
      <c r="C522" s="7" t="s">
        <v>2017</v>
      </c>
      <c r="D522" s="7" t="s">
        <v>18</v>
      </c>
      <c r="E522" s="7" t="s">
        <v>122</v>
      </c>
      <c r="F522" s="7" t="s">
        <v>20</v>
      </c>
      <c r="G522" s="28" t="s">
        <v>2027</v>
      </c>
      <c r="J522" s="7" t="s">
        <v>2020</v>
      </c>
      <c r="M522" s="6">
        <v>44785</v>
      </c>
      <c r="O522" s="7" t="s">
        <v>104</v>
      </c>
      <c r="P522" s="7" t="s">
        <v>22</v>
      </c>
      <c r="Q522" s="7" t="s">
        <v>34</v>
      </c>
      <c r="R522" s="7" t="s">
        <v>24</v>
      </c>
      <c r="S522" s="7" t="s">
        <v>1667</v>
      </c>
      <c r="T522" s="7" t="s">
        <v>106</v>
      </c>
      <c r="U522" s="7" t="s">
        <v>1668</v>
      </c>
      <c r="V522" s="7" t="s">
        <v>28</v>
      </c>
      <c r="X522" s="2" t="str">
        <f>HYPERLINK("https://hsdes.intel.com/resource/16013832714","16013832714")</f>
        <v>16013832714</v>
      </c>
    </row>
    <row r="523" spans="1:24" x14ac:dyDescent="0.3">
      <c r="A523" s="2" t="str">
        <f>HYPERLINK("https://hsdes.intel.com/resource/14013163150","14013163150")</f>
        <v>14013163150</v>
      </c>
      <c r="B523" s="7" t="s">
        <v>1669</v>
      </c>
      <c r="C523" s="7" t="s">
        <v>2017</v>
      </c>
      <c r="D523" s="7" t="s">
        <v>18</v>
      </c>
      <c r="E523" s="7" t="s">
        <v>19</v>
      </c>
      <c r="F523" s="7" t="s">
        <v>20</v>
      </c>
      <c r="G523" s="28" t="s">
        <v>2027</v>
      </c>
      <c r="J523" s="7" t="s">
        <v>2004</v>
      </c>
      <c r="L523" s="7" t="s">
        <v>1670</v>
      </c>
      <c r="M523" s="6">
        <v>44785</v>
      </c>
      <c r="N523" s="6"/>
      <c r="O523" s="7" t="s">
        <v>21</v>
      </c>
      <c r="P523" s="7" t="s">
        <v>22</v>
      </c>
      <c r="Q523" s="7" t="s">
        <v>34</v>
      </c>
      <c r="R523" s="7" t="s">
        <v>24</v>
      </c>
      <c r="S523" s="7" t="s">
        <v>1671</v>
      </c>
      <c r="T523" s="7" t="s">
        <v>130</v>
      </c>
      <c r="U523" s="7" t="s">
        <v>1672</v>
      </c>
      <c r="V523" s="7" t="s">
        <v>28</v>
      </c>
      <c r="X523" s="2" t="str">
        <f>HYPERLINK("https://hsdes.intel.com/resource/14013163150","14013163150")</f>
        <v>14013163150</v>
      </c>
    </row>
    <row r="524" spans="1:24" x14ac:dyDescent="0.3">
      <c r="A524" s="5" t="str">
        <f>HYPERLINK("https://hsdes.intel.com/resource/14013159080","14013159080")</f>
        <v>14013159080</v>
      </c>
      <c r="B524" s="7" t="s">
        <v>1673</v>
      </c>
      <c r="C524" s="7" t="s">
        <v>2017</v>
      </c>
      <c r="D524" s="7" t="s">
        <v>18</v>
      </c>
      <c r="E524" s="7" t="s">
        <v>19</v>
      </c>
      <c r="F524" s="7" t="s">
        <v>20</v>
      </c>
      <c r="G524" s="28" t="s">
        <v>2027</v>
      </c>
      <c r="J524" s="7" t="s">
        <v>2020</v>
      </c>
      <c r="M524" s="6">
        <v>44785</v>
      </c>
      <c r="O524" s="7" t="s">
        <v>104</v>
      </c>
      <c r="P524" s="7" t="s">
        <v>22</v>
      </c>
      <c r="Q524" s="7" t="s">
        <v>34</v>
      </c>
      <c r="R524" s="7" t="s">
        <v>147</v>
      </c>
      <c r="S524" s="7" t="s">
        <v>1674</v>
      </c>
      <c r="T524" s="7" t="s">
        <v>130</v>
      </c>
      <c r="U524" s="7" t="s">
        <v>1675</v>
      </c>
      <c r="V524" s="7" t="s">
        <v>28</v>
      </c>
      <c r="X524" s="2" t="str">
        <f>HYPERLINK("https://hsdes.intel.com/resource/14013159080","14013159080")</f>
        <v>14013159080</v>
      </c>
    </row>
    <row r="525" spans="1:24" x14ac:dyDescent="0.3">
      <c r="A525" s="5" t="str">
        <f>HYPERLINK("https://hsdes.intel.com/resource/14013160760","14013160760")</f>
        <v>14013160760</v>
      </c>
      <c r="B525" s="7" t="s">
        <v>1676</v>
      </c>
      <c r="C525" s="7" t="s">
        <v>2017</v>
      </c>
      <c r="D525" s="7" t="s">
        <v>18</v>
      </c>
      <c r="E525" s="7" t="s">
        <v>19</v>
      </c>
      <c r="F525" s="7" t="s">
        <v>20</v>
      </c>
      <c r="G525" s="28" t="s">
        <v>2027</v>
      </c>
      <c r="J525" s="7" t="s">
        <v>2020</v>
      </c>
      <c r="M525" s="6">
        <v>44785</v>
      </c>
      <c r="O525" s="7" t="s">
        <v>104</v>
      </c>
      <c r="P525" s="7" t="s">
        <v>22</v>
      </c>
      <c r="Q525" s="7" t="s">
        <v>34</v>
      </c>
      <c r="R525" s="7" t="s">
        <v>24</v>
      </c>
      <c r="S525" s="7" t="s">
        <v>1677</v>
      </c>
      <c r="T525" s="7" t="s">
        <v>106</v>
      </c>
      <c r="U525" s="7" t="s">
        <v>1678</v>
      </c>
      <c r="V525" s="7" t="s">
        <v>28</v>
      </c>
      <c r="X525" s="2" t="str">
        <f>HYPERLINK("https://hsdes.intel.com/resource/14013160760","14013160760")</f>
        <v>14013160760</v>
      </c>
    </row>
    <row r="526" spans="1:24" x14ac:dyDescent="0.3">
      <c r="A526" s="5" t="str">
        <f>HYPERLINK("https://hsdes.intel.com/resource/14013173026","14013173026")</f>
        <v>14013173026</v>
      </c>
      <c r="B526" s="7" t="s">
        <v>1679</v>
      </c>
      <c r="C526" s="7" t="s">
        <v>2017</v>
      </c>
      <c r="D526" s="7" t="s">
        <v>550</v>
      </c>
      <c r="E526" s="7" t="s">
        <v>19</v>
      </c>
      <c r="F526" s="7" t="s">
        <v>20</v>
      </c>
      <c r="G526" s="28" t="s">
        <v>2027</v>
      </c>
      <c r="J526" s="7" t="s">
        <v>2020</v>
      </c>
      <c r="M526" s="6">
        <v>44785</v>
      </c>
      <c r="O526" s="7" t="s">
        <v>104</v>
      </c>
      <c r="P526" s="7" t="s">
        <v>22</v>
      </c>
      <c r="Q526" s="7" t="s">
        <v>34</v>
      </c>
      <c r="R526" s="7" t="s">
        <v>24</v>
      </c>
      <c r="S526" s="7" t="s">
        <v>1680</v>
      </c>
      <c r="T526" s="7" t="s">
        <v>170</v>
      </c>
      <c r="U526" s="7" t="s">
        <v>1681</v>
      </c>
      <c r="V526" s="7" t="s">
        <v>172</v>
      </c>
      <c r="X526" s="2" t="str">
        <f>HYPERLINK("https://hsdes.intel.com/resource/14013173026","14013173026")</f>
        <v>14013173026</v>
      </c>
    </row>
    <row r="527" spans="1:24" x14ac:dyDescent="0.3">
      <c r="A527" s="5" t="str">
        <f>HYPERLINK("https://hsdes.intel.com/resource/14013173043","14013173043")</f>
        <v>14013173043</v>
      </c>
      <c r="B527" s="7" t="s">
        <v>1682</v>
      </c>
      <c r="C527" s="7" t="s">
        <v>2017</v>
      </c>
      <c r="D527" s="7" t="s">
        <v>550</v>
      </c>
      <c r="E527" s="7" t="s">
        <v>19</v>
      </c>
      <c r="F527" s="7" t="s">
        <v>20</v>
      </c>
      <c r="G527" s="28" t="s">
        <v>2027</v>
      </c>
      <c r="J527" s="7" t="s">
        <v>2020</v>
      </c>
      <c r="M527" s="6">
        <v>44785</v>
      </c>
      <c r="O527" s="7" t="s">
        <v>32</v>
      </c>
      <c r="P527" s="7" t="s">
        <v>22</v>
      </c>
      <c r="Q527" s="7" t="s">
        <v>34</v>
      </c>
      <c r="R527" s="7" t="s">
        <v>24</v>
      </c>
      <c r="S527" s="7" t="s">
        <v>1683</v>
      </c>
      <c r="T527" s="7" t="s">
        <v>170</v>
      </c>
      <c r="U527" s="7" t="s">
        <v>1684</v>
      </c>
      <c r="V527" s="7" t="s">
        <v>172</v>
      </c>
      <c r="X527" s="2" t="str">
        <f>HYPERLINK("https://hsdes.intel.com/resource/14013173043","14013173043")</f>
        <v>14013173043</v>
      </c>
    </row>
    <row r="528" spans="1:24" x14ac:dyDescent="0.3">
      <c r="A528" s="2" t="str">
        <f>HYPERLINK("https://hsdes.intel.com/resource/14013157006","14013157006")</f>
        <v>14013157006</v>
      </c>
      <c r="B528" s="7" t="s">
        <v>1685</v>
      </c>
      <c r="C528" s="7" t="s">
        <v>2017</v>
      </c>
      <c r="D528" s="7" t="s">
        <v>843</v>
      </c>
      <c r="E528" s="7" t="s">
        <v>19</v>
      </c>
      <c r="F528" s="7" t="s">
        <v>20</v>
      </c>
      <c r="G528" s="28" t="s">
        <v>2027</v>
      </c>
      <c r="J528" s="7" t="s">
        <v>31</v>
      </c>
      <c r="M528" s="6"/>
      <c r="O528" s="7" t="s">
        <v>32</v>
      </c>
      <c r="P528" s="7" t="s">
        <v>175</v>
      </c>
      <c r="Q528" s="7" t="s">
        <v>34</v>
      </c>
      <c r="R528" s="7" t="s">
        <v>24</v>
      </c>
      <c r="S528" s="7" t="s">
        <v>1686</v>
      </c>
      <c r="T528" s="7" t="s">
        <v>45</v>
      </c>
      <c r="U528" s="7" t="s">
        <v>1687</v>
      </c>
      <c r="V528" s="7" t="s">
        <v>849</v>
      </c>
      <c r="X528" s="2" t="str">
        <f>HYPERLINK("https://hsdes.intel.com/resource/14013157006","14013157006")</f>
        <v>14013157006</v>
      </c>
    </row>
    <row r="529" spans="1:24" x14ac:dyDescent="0.3">
      <c r="A529" s="2" t="str">
        <f>HYPERLINK("https://hsdes.intel.com/resource/14013120501","14013120501")</f>
        <v>14013120501</v>
      </c>
      <c r="B529" s="7" t="s">
        <v>1688</v>
      </c>
      <c r="C529" s="7" t="s">
        <v>2018</v>
      </c>
      <c r="D529" s="7" t="s">
        <v>138</v>
      </c>
      <c r="E529" s="7" t="s">
        <v>19</v>
      </c>
      <c r="F529" s="7" t="s">
        <v>20</v>
      </c>
      <c r="G529" s="28" t="s">
        <v>2027</v>
      </c>
      <c r="J529" s="7" t="s">
        <v>1974</v>
      </c>
      <c r="M529" s="6">
        <v>44781</v>
      </c>
      <c r="O529" s="7" t="s">
        <v>32</v>
      </c>
      <c r="P529" s="7" t="s">
        <v>78</v>
      </c>
      <c r="Q529" s="7" t="s">
        <v>34</v>
      </c>
      <c r="R529" s="7" t="s">
        <v>24</v>
      </c>
      <c r="S529" s="7" t="s">
        <v>1689</v>
      </c>
      <c r="T529" s="7" t="s">
        <v>244</v>
      </c>
      <c r="U529" s="7" t="s">
        <v>1690</v>
      </c>
      <c r="V529" s="7" t="s">
        <v>81</v>
      </c>
      <c r="X529" s="2" t="str">
        <f>HYPERLINK("https://hsdes.intel.com/resource/14013120501","14013120501")</f>
        <v>14013120501</v>
      </c>
    </row>
    <row r="530" spans="1:24" s="18" customFormat="1" x14ac:dyDescent="0.3">
      <c r="A530" s="19" t="str">
        <f>HYPERLINK("https://hsdes.intel.com/resource/14013178190","14013178190")</f>
        <v>14013178190</v>
      </c>
      <c r="B530" s="18" t="s">
        <v>1691</v>
      </c>
      <c r="C530" s="7" t="s">
        <v>2017</v>
      </c>
      <c r="D530" s="7" t="s">
        <v>238</v>
      </c>
      <c r="E530" s="7" t="s">
        <v>19</v>
      </c>
      <c r="F530" s="7" t="s">
        <v>20</v>
      </c>
      <c r="G530" s="28" t="s">
        <v>2027</v>
      </c>
      <c r="J530" s="7" t="s">
        <v>2004</v>
      </c>
      <c r="M530" s="6">
        <v>44785</v>
      </c>
      <c r="O530" s="18" t="s">
        <v>32</v>
      </c>
      <c r="P530" s="18" t="s">
        <v>186</v>
      </c>
      <c r="Q530" s="18" t="s">
        <v>23</v>
      </c>
      <c r="R530" s="18" t="s">
        <v>147</v>
      </c>
      <c r="S530" s="18" t="s">
        <v>1692</v>
      </c>
      <c r="T530" s="18" t="s">
        <v>205</v>
      </c>
      <c r="U530" s="18" t="s">
        <v>1693</v>
      </c>
      <c r="V530" s="18" t="s">
        <v>189</v>
      </c>
      <c r="X530" s="17" t="str">
        <f>HYPERLINK("https://hsdes.intel.com/resource/14013178190","14013178190")</f>
        <v>14013178190</v>
      </c>
    </row>
    <row r="531" spans="1:24" x14ac:dyDescent="0.3">
      <c r="A531" s="2" t="str">
        <f>HYPERLINK("https://hsdes.intel.com/resource/14013179315","14013179315")</f>
        <v>14013179315</v>
      </c>
      <c r="B531" s="7" t="s">
        <v>1694</v>
      </c>
      <c r="C531" s="7" t="s">
        <v>2017</v>
      </c>
      <c r="D531" s="7" t="s">
        <v>275</v>
      </c>
      <c r="E531" s="7" t="s">
        <v>19</v>
      </c>
      <c r="F531" s="7" t="s">
        <v>20</v>
      </c>
      <c r="G531" s="28" t="s">
        <v>2027</v>
      </c>
      <c r="J531" s="7" t="s">
        <v>31</v>
      </c>
      <c r="M531" s="6"/>
      <c r="O531" s="7" t="s">
        <v>32</v>
      </c>
      <c r="P531" s="7" t="s">
        <v>78</v>
      </c>
      <c r="Q531" s="7" t="s">
        <v>34</v>
      </c>
      <c r="R531" s="7" t="s">
        <v>24</v>
      </c>
      <c r="S531" s="7" t="s">
        <v>1695</v>
      </c>
      <c r="T531" s="7" t="s">
        <v>244</v>
      </c>
      <c r="U531" s="7" t="s">
        <v>1696</v>
      </c>
      <c r="V531" s="7" t="s">
        <v>278</v>
      </c>
      <c r="X531" s="2" t="str">
        <f>HYPERLINK("https://hsdes.intel.com/resource/14013179315","14013179315")</f>
        <v>14013179315</v>
      </c>
    </row>
    <row r="532" spans="1:24" x14ac:dyDescent="0.3">
      <c r="A532" s="2" t="str">
        <f>HYPERLINK("https://hsdes.intel.com/resource/14013179310","14013179310")</f>
        <v>14013179310</v>
      </c>
      <c r="B532" s="7" t="s">
        <v>1697</v>
      </c>
      <c r="C532" s="7" t="s">
        <v>2017</v>
      </c>
      <c r="D532" s="7" t="s">
        <v>138</v>
      </c>
      <c r="E532" s="7" t="s">
        <v>19</v>
      </c>
      <c r="F532" s="7" t="s">
        <v>20</v>
      </c>
      <c r="G532" s="28" t="s">
        <v>2027</v>
      </c>
      <c r="J532" s="7" t="s">
        <v>31</v>
      </c>
      <c r="M532" s="6"/>
      <c r="O532" s="7" t="s">
        <v>32</v>
      </c>
      <c r="P532" s="7" t="s">
        <v>78</v>
      </c>
      <c r="Q532" s="7" t="s">
        <v>34</v>
      </c>
      <c r="R532" s="7" t="s">
        <v>24</v>
      </c>
      <c r="S532" s="7" t="s">
        <v>1698</v>
      </c>
      <c r="T532" s="7" t="s">
        <v>140</v>
      </c>
      <c r="U532" s="7" t="s">
        <v>1699</v>
      </c>
      <c r="V532" s="7" t="s">
        <v>278</v>
      </c>
      <c r="X532" s="2" t="str">
        <f>HYPERLINK("https://hsdes.intel.com/resource/14013179310","14013179310")</f>
        <v>14013179310</v>
      </c>
    </row>
    <row r="533" spans="1:24" x14ac:dyDescent="0.3">
      <c r="A533" s="2" t="str">
        <f>HYPERLINK("https://hsdes.intel.com/resource/14013175760","14013175760")</f>
        <v>14013175760</v>
      </c>
      <c r="B533" s="7" t="s">
        <v>1700</v>
      </c>
      <c r="C533" s="7" t="s">
        <v>2018</v>
      </c>
      <c r="D533" s="7" t="s">
        <v>162</v>
      </c>
      <c r="E533" s="7" t="s">
        <v>19</v>
      </c>
      <c r="F533" s="7" t="s">
        <v>20</v>
      </c>
      <c r="G533" s="28" t="s">
        <v>2027</v>
      </c>
      <c r="J533" s="7" t="s">
        <v>1974</v>
      </c>
      <c r="L533" s="7" t="s">
        <v>358</v>
      </c>
      <c r="M533" s="6">
        <v>44781</v>
      </c>
      <c r="O533" s="7" t="s">
        <v>104</v>
      </c>
      <c r="P533" s="7" t="s">
        <v>163</v>
      </c>
      <c r="Q533" s="7" t="s">
        <v>34</v>
      </c>
      <c r="R533" s="7" t="s">
        <v>24</v>
      </c>
      <c r="S533" s="7" t="s">
        <v>1701</v>
      </c>
      <c r="T533" s="7" t="s">
        <v>205</v>
      </c>
      <c r="U533" s="7" t="s">
        <v>1702</v>
      </c>
      <c r="V533" s="7" t="s">
        <v>166</v>
      </c>
      <c r="X533" s="2" t="str">
        <f>HYPERLINK("https://hsdes.intel.com/resource/14013175760","14013175760")</f>
        <v>14013175760</v>
      </c>
    </row>
    <row r="534" spans="1:24" x14ac:dyDescent="0.3">
      <c r="A534" s="2" t="str">
        <f>HYPERLINK("https://hsdes.intel.com/resource/14013175646","14013175646")</f>
        <v>14013175646</v>
      </c>
      <c r="B534" s="7" t="s">
        <v>1703</v>
      </c>
      <c r="C534" s="7" t="s">
        <v>2017</v>
      </c>
      <c r="D534" s="7" t="s">
        <v>77</v>
      </c>
      <c r="E534" s="7" t="s">
        <v>19</v>
      </c>
      <c r="F534" s="7" t="s">
        <v>20</v>
      </c>
      <c r="G534" s="28" t="s">
        <v>2027</v>
      </c>
      <c r="J534" s="7" t="s">
        <v>31</v>
      </c>
      <c r="M534" s="6"/>
      <c r="O534" s="7" t="s">
        <v>32</v>
      </c>
      <c r="P534" s="7" t="s">
        <v>78</v>
      </c>
      <c r="Q534" s="7" t="s">
        <v>34</v>
      </c>
      <c r="R534" s="7" t="s">
        <v>24</v>
      </c>
      <c r="S534" s="7" t="s">
        <v>1704</v>
      </c>
      <c r="T534" s="7" t="s">
        <v>140</v>
      </c>
      <c r="U534" s="7" t="s">
        <v>1705</v>
      </c>
      <c r="V534" s="7" t="s">
        <v>81</v>
      </c>
      <c r="X534" s="2" t="str">
        <f>HYPERLINK("https://hsdes.intel.com/resource/14013175646","14013175646")</f>
        <v>14013175646</v>
      </c>
    </row>
    <row r="535" spans="1:24" x14ac:dyDescent="0.3">
      <c r="A535" s="5" t="str">
        <f>HYPERLINK("https://hsdes.intel.com/resource/14013174036","14013174036")</f>
        <v>14013174036</v>
      </c>
      <c r="B535" s="7" t="s">
        <v>1706</v>
      </c>
      <c r="C535" s="7" t="s">
        <v>2017</v>
      </c>
      <c r="D535" s="7" t="s">
        <v>401</v>
      </c>
      <c r="E535" s="7" t="s">
        <v>19</v>
      </c>
      <c r="F535" s="7" t="s">
        <v>20</v>
      </c>
      <c r="G535" s="28" t="s">
        <v>2027</v>
      </c>
      <c r="J535" s="7" t="s">
        <v>2020</v>
      </c>
      <c r="M535" s="6">
        <v>44785</v>
      </c>
      <c r="O535" s="7" t="s">
        <v>32</v>
      </c>
      <c r="P535" s="7" t="s">
        <v>186</v>
      </c>
      <c r="Q535" s="7" t="s">
        <v>23</v>
      </c>
      <c r="R535" s="7" t="s">
        <v>147</v>
      </c>
      <c r="S535" s="7" t="s">
        <v>1707</v>
      </c>
      <c r="T535" s="7" t="s">
        <v>45</v>
      </c>
      <c r="U535" s="7" t="s">
        <v>1708</v>
      </c>
      <c r="V535" s="7" t="s">
        <v>189</v>
      </c>
      <c r="X535" s="2" t="str">
        <f>HYPERLINK("https://hsdes.intel.com/resource/14013174036","14013174036")</f>
        <v>14013174036</v>
      </c>
    </row>
    <row r="536" spans="1:24" x14ac:dyDescent="0.3">
      <c r="A536" s="2" t="str">
        <f>HYPERLINK("https://hsdes.intel.com/resource/14013119187","14013119187")</f>
        <v>14013119187</v>
      </c>
      <c r="B536" s="7" t="s">
        <v>1709</v>
      </c>
      <c r="C536" s="7" t="s">
        <v>2017</v>
      </c>
      <c r="D536" s="7" t="s">
        <v>242</v>
      </c>
      <c r="E536" s="7" t="s">
        <v>19</v>
      </c>
      <c r="F536" s="7" t="s">
        <v>20</v>
      </c>
      <c r="G536" s="28" t="s">
        <v>2027</v>
      </c>
      <c r="J536" s="7" t="s">
        <v>2004</v>
      </c>
      <c r="L536" s="7" t="s">
        <v>2010</v>
      </c>
      <c r="M536" s="6">
        <v>44785</v>
      </c>
      <c r="N536" s="6"/>
      <c r="O536" s="7" t="s">
        <v>32</v>
      </c>
      <c r="P536" s="7" t="s">
        <v>175</v>
      </c>
      <c r="Q536" s="7" t="s">
        <v>23</v>
      </c>
      <c r="R536" s="7" t="s">
        <v>24</v>
      </c>
      <c r="S536" s="7" t="s">
        <v>1710</v>
      </c>
      <c r="T536" s="7" t="s">
        <v>244</v>
      </c>
      <c r="U536" s="7" t="s">
        <v>1711</v>
      </c>
      <c r="V536" s="7" t="s">
        <v>179</v>
      </c>
      <c r="X536" s="2" t="str">
        <f>HYPERLINK("https://hsdes.intel.com/resource/14013119187","14013119187")</f>
        <v>14013119187</v>
      </c>
    </row>
    <row r="537" spans="1:24" x14ac:dyDescent="0.3">
      <c r="A537" s="2" t="str">
        <f>HYPERLINK("https://hsdes.intel.com/resource/14013169323","14013169323")</f>
        <v>14013169323</v>
      </c>
      <c r="B537" s="7" t="s">
        <v>1712</v>
      </c>
      <c r="C537" s="7" t="s">
        <v>2017</v>
      </c>
      <c r="D537" s="7" t="s">
        <v>283</v>
      </c>
      <c r="E537" s="7" t="s">
        <v>19</v>
      </c>
      <c r="F537" s="7" t="s">
        <v>20</v>
      </c>
      <c r="G537" s="28" t="s">
        <v>2027</v>
      </c>
      <c r="J537" s="7" t="s">
        <v>2004</v>
      </c>
      <c r="M537" s="6">
        <v>44785</v>
      </c>
      <c r="O537" s="7" t="s">
        <v>32</v>
      </c>
      <c r="P537" s="7" t="s">
        <v>22</v>
      </c>
      <c r="Q537" s="7" t="s">
        <v>34</v>
      </c>
      <c r="R537" s="7" t="s">
        <v>24</v>
      </c>
      <c r="S537" s="7" t="s">
        <v>1713</v>
      </c>
      <c r="T537" s="7" t="s">
        <v>205</v>
      </c>
      <c r="U537" s="7" t="s">
        <v>1714</v>
      </c>
      <c r="V537" s="7" t="s">
        <v>172</v>
      </c>
      <c r="X537" s="2" t="str">
        <f>HYPERLINK("https://hsdes.intel.com/resource/14013169323","14013169323")</f>
        <v>14013169323</v>
      </c>
    </row>
    <row r="538" spans="1:24" x14ac:dyDescent="0.3">
      <c r="A538" s="2" t="str">
        <f>HYPERLINK("https://hsdes.intel.com/resource/14013182441","14013182441")</f>
        <v>14013182441</v>
      </c>
      <c r="B538" s="7" t="s">
        <v>1715</v>
      </c>
      <c r="C538" s="7" t="s">
        <v>2017</v>
      </c>
      <c r="D538" s="7" t="s">
        <v>283</v>
      </c>
      <c r="E538" s="7" t="s">
        <v>19</v>
      </c>
      <c r="F538" s="7" t="s">
        <v>20</v>
      </c>
      <c r="G538" s="28" t="s">
        <v>2027</v>
      </c>
      <c r="J538" s="7" t="s">
        <v>2004</v>
      </c>
      <c r="M538" s="6">
        <v>44785</v>
      </c>
      <c r="O538" s="7" t="s">
        <v>32</v>
      </c>
      <c r="P538" s="7" t="s">
        <v>22</v>
      </c>
      <c r="Q538" s="7" t="s">
        <v>34</v>
      </c>
      <c r="R538" s="7" t="s">
        <v>24</v>
      </c>
      <c r="S538" s="7" t="s">
        <v>1716</v>
      </c>
      <c r="T538" s="7" t="s">
        <v>170</v>
      </c>
      <c r="U538" s="7" t="s">
        <v>1717</v>
      </c>
      <c r="V538" s="7" t="s">
        <v>172</v>
      </c>
      <c r="X538" s="2" t="str">
        <f>HYPERLINK("https://hsdes.intel.com/resource/14013182441","14013182441")</f>
        <v>14013182441</v>
      </c>
    </row>
    <row r="539" spans="1:24" x14ac:dyDescent="0.3">
      <c r="A539" s="2" t="str">
        <f>HYPERLINK("https://hsdes.intel.com/resource/14013182433","14013182433")</f>
        <v>14013182433</v>
      </c>
      <c r="B539" s="7" t="s">
        <v>1718</v>
      </c>
      <c r="C539" s="7" t="s">
        <v>2017</v>
      </c>
      <c r="D539" s="7" t="s">
        <v>283</v>
      </c>
      <c r="E539" s="7" t="s">
        <v>19</v>
      </c>
      <c r="F539" s="7" t="s">
        <v>20</v>
      </c>
      <c r="G539" s="28" t="s">
        <v>2027</v>
      </c>
      <c r="J539" s="7" t="s">
        <v>2004</v>
      </c>
      <c r="M539" s="6">
        <v>44785</v>
      </c>
      <c r="O539" s="7" t="s">
        <v>32</v>
      </c>
      <c r="P539" s="7" t="s">
        <v>22</v>
      </c>
      <c r="Q539" s="7" t="s">
        <v>34</v>
      </c>
      <c r="R539" s="7" t="s">
        <v>24</v>
      </c>
      <c r="S539" s="7" t="s">
        <v>1719</v>
      </c>
      <c r="T539" s="7" t="s">
        <v>244</v>
      </c>
      <c r="U539" s="7" t="s">
        <v>1720</v>
      </c>
      <c r="V539" s="7" t="s">
        <v>172</v>
      </c>
      <c r="X539" s="2" t="str">
        <f>HYPERLINK("https://hsdes.intel.com/resource/14013182433","14013182433")</f>
        <v>14013182433</v>
      </c>
    </row>
    <row r="540" spans="1:24" x14ac:dyDescent="0.3">
      <c r="A540" s="2" t="str">
        <f>HYPERLINK("https://hsdes.intel.com/resource/14013182365","14013182365")</f>
        <v>14013182365</v>
      </c>
      <c r="B540" s="7" t="s">
        <v>1721</v>
      </c>
      <c r="C540" s="7" t="s">
        <v>2017</v>
      </c>
      <c r="D540" s="7" t="s">
        <v>138</v>
      </c>
      <c r="E540" s="7" t="s">
        <v>19</v>
      </c>
      <c r="F540" s="7" t="s">
        <v>20</v>
      </c>
      <c r="G540" s="28" t="s">
        <v>2027</v>
      </c>
      <c r="J540" s="7" t="s">
        <v>31</v>
      </c>
      <c r="M540" s="6"/>
      <c r="O540" s="7" t="s">
        <v>32</v>
      </c>
      <c r="P540" s="7" t="s">
        <v>78</v>
      </c>
      <c r="Q540" s="7" t="s">
        <v>23</v>
      </c>
      <c r="R540" s="7" t="s">
        <v>24</v>
      </c>
      <c r="S540" s="7" t="s">
        <v>1722</v>
      </c>
      <c r="T540" s="7" t="s">
        <v>140</v>
      </c>
      <c r="U540" s="7" t="s">
        <v>1723</v>
      </c>
      <c r="V540" s="7" t="s">
        <v>142</v>
      </c>
      <c r="X540" s="2" t="str">
        <f>HYPERLINK("https://hsdes.intel.com/resource/14013182365","14013182365")</f>
        <v>14013182365</v>
      </c>
    </row>
    <row r="541" spans="1:24" x14ac:dyDescent="0.3">
      <c r="A541" s="2" t="str">
        <f>HYPERLINK("https://hsdes.intel.com/resource/14013175614","14013175614")</f>
        <v>14013175614</v>
      </c>
      <c r="B541" s="7" t="s">
        <v>1724</v>
      </c>
      <c r="C541" s="7" t="s">
        <v>2017</v>
      </c>
      <c r="D541" s="7" t="s">
        <v>417</v>
      </c>
      <c r="E541" s="7" t="s">
        <v>19</v>
      </c>
      <c r="F541" s="7" t="s">
        <v>20</v>
      </c>
      <c r="G541" s="28" t="s">
        <v>2027</v>
      </c>
      <c r="J541" s="7" t="s">
        <v>31</v>
      </c>
      <c r="M541" s="6"/>
      <c r="O541" s="7" t="s">
        <v>32</v>
      </c>
      <c r="P541" s="7" t="s">
        <v>163</v>
      </c>
      <c r="Q541" s="7" t="s">
        <v>34</v>
      </c>
      <c r="R541" s="7" t="s">
        <v>24</v>
      </c>
      <c r="S541" s="7" t="s">
        <v>1725</v>
      </c>
      <c r="T541" s="7" t="s">
        <v>244</v>
      </c>
      <c r="U541" s="7" t="s">
        <v>1726</v>
      </c>
      <c r="V541" s="7" t="s">
        <v>421</v>
      </c>
      <c r="X541" s="2" t="str">
        <f>HYPERLINK("https://hsdes.intel.com/resource/14013175614","14013175614")</f>
        <v>14013175614</v>
      </c>
    </row>
    <row r="542" spans="1:24" x14ac:dyDescent="0.3">
      <c r="A542" s="2" t="str">
        <f>HYPERLINK("https://hsdes.intel.com/resource/14013173952","14013173952")</f>
        <v>14013173952</v>
      </c>
      <c r="B542" s="7" t="s">
        <v>1727</v>
      </c>
      <c r="C542" s="7" t="s">
        <v>2017</v>
      </c>
      <c r="D542" s="7" t="s">
        <v>247</v>
      </c>
      <c r="E542" s="7" t="s">
        <v>19</v>
      </c>
      <c r="F542" s="7" t="s">
        <v>20</v>
      </c>
      <c r="G542" s="28" t="s">
        <v>2027</v>
      </c>
      <c r="J542" s="7" t="s">
        <v>31</v>
      </c>
      <c r="M542" s="6"/>
      <c r="O542" s="7" t="s">
        <v>32</v>
      </c>
      <c r="P542" s="7" t="s">
        <v>186</v>
      </c>
      <c r="Q542" s="7" t="s">
        <v>23</v>
      </c>
      <c r="R542" s="7" t="s">
        <v>147</v>
      </c>
      <c r="S542" s="7" t="s">
        <v>1728</v>
      </c>
      <c r="T542" s="7" t="s">
        <v>177</v>
      </c>
      <c r="U542" s="7" t="s">
        <v>1729</v>
      </c>
      <c r="V542" s="7" t="s">
        <v>189</v>
      </c>
      <c r="X542" s="2" t="str">
        <f>HYPERLINK("https://hsdes.intel.com/resource/14013173952","14013173952")</f>
        <v>14013173952</v>
      </c>
    </row>
    <row r="543" spans="1:24" x14ac:dyDescent="0.3">
      <c r="A543" s="2" t="str">
        <f>HYPERLINK("https://hsdes.intel.com/resource/14013182336","14013182336")</f>
        <v>14013182336</v>
      </c>
      <c r="B543" s="7" t="s">
        <v>1730</v>
      </c>
      <c r="C543" s="7" t="s">
        <v>2017</v>
      </c>
      <c r="D543" s="7" t="s">
        <v>138</v>
      </c>
      <c r="E543" s="7" t="s">
        <v>19</v>
      </c>
      <c r="F543" s="7" t="s">
        <v>20</v>
      </c>
      <c r="G543" s="28" t="s">
        <v>2027</v>
      </c>
      <c r="J543" s="7" t="s">
        <v>31</v>
      </c>
      <c r="M543" s="6"/>
      <c r="O543" s="7" t="s">
        <v>32</v>
      </c>
      <c r="P543" s="7" t="s">
        <v>78</v>
      </c>
      <c r="Q543" s="7" t="s">
        <v>34</v>
      </c>
      <c r="R543" s="7" t="s">
        <v>24</v>
      </c>
      <c r="S543" s="7" t="s">
        <v>1731</v>
      </c>
      <c r="T543" s="7" t="s">
        <v>140</v>
      </c>
      <c r="U543" s="7" t="s">
        <v>1732</v>
      </c>
      <c r="V543" s="7" t="s">
        <v>142</v>
      </c>
      <c r="X543" s="2" t="str">
        <f>HYPERLINK("https://hsdes.intel.com/resource/14013182336","14013182336")</f>
        <v>14013182336</v>
      </c>
    </row>
    <row r="544" spans="1:24" x14ac:dyDescent="0.3">
      <c r="A544" s="5" t="str">
        <f>HYPERLINK("https://hsdes.intel.com/resource/14013172872","14013172872")</f>
        <v>14013172872</v>
      </c>
      <c r="B544" s="7" t="s">
        <v>1733</v>
      </c>
      <c r="C544" s="7" t="s">
        <v>2017</v>
      </c>
      <c r="D544" s="7" t="s">
        <v>138</v>
      </c>
      <c r="E544" s="7" t="s">
        <v>19</v>
      </c>
      <c r="F544" s="7" t="s">
        <v>20</v>
      </c>
      <c r="G544" s="28" t="s">
        <v>2027</v>
      </c>
      <c r="J544" s="7" t="s">
        <v>2004</v>
      </c>
      <c r="M544" s="6">
        <v>44785</v>
      </c>
      <c r="O544" s="7" t="s">
        <v>32</v>
      </c>
      <c r="P544" s="7" t="s">
        <v>22</v>
      </c>
      <c r="Q544" s="7" t="s">
        <v>34</v>
      </c>
      <c r="R544" s="7" t="s">
        <v>24</v>
      </c>
      <c r="S544" s="7" t="s">
        <v>1734</v>
      </c>
      <c r="T544" s="7" t="s">
        <v>205</v>
      </c>
      <c r="U544" s="7" t="s">
        <v>1735</v>
      </c>
      <c r="V544" s="7" t="s">
        <v>172</v>
      </c>
      <c r="X544" s="2" t="str">
        <f>HYPERLINK("https://hsdes.intel.com/resource/14013172872","14013172872")</f>
        <v>14013172872</v>
      </c>
    </row>
    <row r="545" spans="1:24" x14ac:dyDescent="0.3">
      <c r="A545" s="5" t="str">
        <f>HYPERLINK("https://hsdes.intel.com/resource/14013185973","14013185973")</f>
        <v>14013185973</v>
      </c>
      <c r="B545" s="7" t="s">
        <v>1736</v>
      </c>
      <c r="C545" s="7" t="s">
        <v>2017</v>
      </c>
      <c r="D545" s="7" t="s">
        <v>283</v>
      </c>
      <c r="E545" s="7" t="s">
        <v>19</v>
      </c>
      <c r="F545" s="7" t="s">
        <v>20</v>
      </c>
      <c r="G545" s="28" t="s">
        <v>2027</v>
      </c>
      <c r="J545" s="7" t="s">
        <v>2004</v>
      </c>
      <c r="L545" s="14"/>
      <c r="M545" s="6">
        <v>44785</v>
      </c>
      <c r="O545" s="7" t="s">
        <v>32</v>
      </c>
      <c r="P545" s="7" t="s">
        <v>22</v>
      </c>
      <c r="Q545" s="7" t="s">
        <v>34</v>
      </c>
      <c r="R545" s="7" t="s">
        <v>24</v>
      </c>
      <c r="S545" s="7" t="s">
        <v>1737</v>
      </c>
      <c r="T545" s="7" t="s">
        <v>1738</v>
      </c>
      <c r="U545" s="7" t="s">
        <v>1739</v>
      </c>
      <c r="V545" s="7" t="s">
        <v>172</v>
      </c>
      <c r="X545" s="2" t="str">
        <f>HYPERLINK("https://hsdes.intel.com/resource/14013185973","14013185973")</f>
        <v>14013185973</v>
      </c>
    </row>
    <row r="546" spans="1:24" x14ac:dyDescent="0.3">
      <c r="A546" s="5" t="str">
        <f>HYPERLINK("https://hsdes.intel.com/resource/14013121573","14013121573")</f>
        <v>14013121573</v>
      </c>
      <c r="B546" s="7" t="s">
        <v>1740</v>
      </c>
      <c r="C546" s="7" t="s">
        <v>2017</v>
      </c>
      <c r="D546" s="7" t="s">
        <v>283</v>
      </c>
      <c r="E546" s="7" t="s">
        <v>19</v>
      </c>
      <c r="F546" s="7" t="s">
        <v>20</v>
      </c>
      <c r="G546" s="28" t="s">
        <v>2027</v>
      </c>
      <c r="J546" s="7" t="s">
        <v>2004</v>
      </c>
      <c r="M546" s="6">
        <v>44785</v>
      </c>
      <c r="O546" s="7" t="s">
        <v>32</v>
      </c>
      <c r="P546" s="7" t="s">
        <v>22</v>
      </c>
      <c r="Q546" s="7" t="s">
        <v>34</v>
      </c>
      <c r="R546" s="7" t="s">
        <v>24</v>
      </c>
      <c r="S546" s="7" t="s">
        <v>1741</v>
      </c>
      <c r="T546" s="7" t="s">
        <v>170</v>
      </c>
      <c r="U546" s="7" t="s">
        <v>1742</v>
      </c>
      <c r="V546" s="7" t="s">
        <v>172</v>
      </c>
      <c r="X546" s="2" t="str">
        <f>HYPERLINK("https://hsdes.intel.com/resource/14013121573","14013121573")</f>
        <v>14013121573</v>
      </c>
    </row>
    <row r="547" spans="1:24" x14ac:dyDescent="0.3">
      <c r="A547" s="2" t="str">
        <f>HYPERLINK("https://hsdes.intel.com/resource/14013166922","14013166922")</f>
        <v>14013166922</v>
      </c>
      <c r="B547" s="7" t="s">
        <v>1743</v>
      </c>
      <c r="C547" s="7" t="s">
        <v>1975</v>
      </c>
      <c r="D547" s="7" t="s">
        <v>1132</v>
      </c>
      <c r="E547" s="7" t="s">
        <v>19</v>
      </c>
      <c r="F547" s="7" t="s">
        <v>20</v>
      </c>
      <c r="G547" s="28" t="s">
        <v>2027</v>
      </c>
      <c r="J547" s="7" t="s">
        <v>2006</v>
      </c>
      <c r="L547" s="7" t="s">
        <v>1744</v>
      </c>
      <c r="M547" s="6"/>
      <c r="O547" s="7" t="s">
        <v>104</v>
      </c>
      <c r="P547" s="7" t="s">
        <v>146</v>
      </c>
      <c r="Q547" s="7" t="s">
        <v>34</v>
      </c>
      <c r="R547" s="7" t="s">
        <v>147</v>
      </c>
      <c r="S547" s="7" t="s">
        <v>1745</v>
      </c>
      <c r="T547" s="7" t="s">
        <v>244</v>
      </c>
      <c r="U547" s="7" t="s">
        <v>1746</v>
      </c>
      <c r="V547" s="7" t="s">
        <v>1136</v>
      </c>
      <c r="X547" s="2" t="str">
        <f>HYPERLINK("https://hsdes.intel.com/resource/14013166922","14013166922")</f>
        <v>14013166922</v>
      </c>
    </row>
    <row r="548" spans="1:24" x14ac:dyDescent="0.3">
      <c r="A548" s="5" t="str">
        <f>HYPERLINK("https://hsdes.intel.com/resource/14013175476","14013175476")</f>
        <v>14013175476</v>
      </c>
      <c r="B548" s="7" t="s">
        <v>1747</v>
      </c>
      <c r="C548" s="7" t="s">
        <v>2017</v>
      </c>
      <c r="D548" s="7" t="s">
        <v>401</v>
      </c>
      <c r="E548" s="7" t="s">
        <v>19</v>
      </c>
      <c r="F548" s="7" t="s">
        <v>20</v>
      </c>
      <c r="G548" s="28" t="s">
        <v>2027</v>
      </c>
      <c r="J548" s="7" t="s">
        <v>2004</v>
      </c>
      <c r="L548" s="10"/>
      <c r="M548" s="6">
        <v>44785</v>
      </c>
      <c r="N548" s="6"/>
      <c r="O548" s="7" t="s">
        <v>32</v>
      </c>
      <c r="P548" s="7" t="s">
        <v>186</v>
      </c>
      <c r="Q548" s="7" t="s">
        <v>23</v>
      </c>
      <c r="R548" s="7" t="s">
        <v>147</v>
      </c>
      <c r="S548" s="7" t="s">
        <v>1748</v>
      </c>
      <c r="T548" s="7" t="s">
        <v>140</v>
      </c>
      <c r="U548" s="7" t="s">
        <v>1749</v>
      </c>
      <c r="V548" s="7" t="s">
        <v>189</v>
      </c>
      <c r="X548" s="2" t="str">
        <f>HYPERLINK("https://hsdes.intel.com/resource/14013175476","14013175476")</f>
        <v>14013175476</v>
      </c>
    </row>
    <row r="549" spans="1:24" x14ac:dyDescent="0.3">
      <c r="A549" s="2" t="str">
        <f>HYPERLINK("https://hsdes.intel.com/resource/14013174700","14013174700")</f>
        <v>14013174700</v>
      </c>
      <c r="B549" s="7" t="s">
        <v>1750</v>
      </c>
      <c r="C549" s="7" t="s">
        <v>2017</v>
      </c>
      <c r="D549" s="7" t="s">
        <v>401</v>
      </c>
      <c r="E549" s="7" t="s">
        <v>19</v>
      </c>
      <c r="F549" s="7" t="s">
        <v>20</v>
      </c>
      <c r="G549" s="28" t="s">
        <v>2027</v>
      </c>
      <c r="J549" s="7" t="s">
        <v>1974</v>
      </c>
      <c r="L549" s="7" t="s">
        <v>358</v>
      </c>
      <c r="M549" s="6">
        <v>44781</v>
      </c>
      <c r="N549" s="6"/>
      <c r="O549" s="7" t="s">
        <v>32</v>
      </c>
      <c r="P549" s="7" t="s">
        <v>186</v>
      </c>
      <c r="Q549" s="7" t="s">
        <v>23</v>
      </c>
      <c r="R549" s="7" t="s">
        <v>147</v>
      </c>
      <c r="S549" s="7" t="s">
        <v>1751</v>
      </c>
      <c r="T549" s="7" t="s">
        <v>244</v>
      </c>
      <c r="U549" s="7" t="s">
        <v>1752</v>
      </c>
      <c r="V549" s="7" t="s">
        <v>189</v>
      </c>
      <c r="X549" s="2" t="str">
        <f>HYPERLINK("https://hsdes.intel.com/resource/14013174700","14013174700")</f>
        <v>14013174700</v>
      </c>
    </row>
    <row r="550" spans="1:24" x14ac:dyDescent="0.3">
      <c r="A550" s="2" t="str">
        <f>HYPERLINK("https://hsdes.intel.com/resource/14013175479","14013175479")</f>
        <v>14013175479</v>
      </c>
      <c r="B550" s="7" t="s">
        <v>1753</v>
      </c>
      <c r="C550" s="7" t="s">
        <v>2017</v>
      </c>
      <c r="D550" s="7" t="s">
        <v>401</v>
      </c>
      <c r="E550" s="7" t="s">
        <v>19</v>
      </c>
      <c r="F550" s="7" t="s">
        <v>20</v>
      </c>
      <c r="G550" s="28" t="s">
        <v>2027</v>
      </c>
      <c r="J550" s="7" t="s">
        <v>2006</v>
      </c>
      <c r="L550" s="7" t="s">
        <v>2025</v>
      </c>
      <c r="M550" s="6">
        <v>44785</v>
      </c>
      <c r="N550" s="6"/>
      <c r="O550" s="7" t="s">
        <v>32</v>
      </c>
      <c r="P550" s="7" t="s">
        <v>186</v>
      </c>
      <c r="Q550" s="7" t="s">
        <v>23</v>
      </c>
      <c r="R550" s="7" t="s">
        <v>147</v>
      </c>
      <c r="S550" s="7" t="s">
        <v>1754</v>
      </c>
      <c r="T550" s="7" t="s">
        <v>140</v>
      </c>
      <c r="U550" s="7" t="s">
        <v>1755</v>
      </c>
      <c r="V550" s="7" t="s">
        <v>189</v>
      </c>
      <c r="X550" s="2" t="str">
        <f>HYPERLINK("https://hsdes.intel.com/resource/14013175479","14013175479")</f>
        <v>14013175479</v>
      </c>
    </row>
    <row r="551" spans="1:24" x14ac:dyDescent="0.3">
      <c r="A551" s="2" t="str">
        <f>HYPERLINK("https://hsdes.intel.com/resource/14013180470","14013180470")</f>
        <v>14013180470</v>
      </c>
      <c r="B551" s="7" t="s">
        <v>1756</v>
      </c>
      <c r="C551" s="7" t="s">
        <v>2017</v>
      </c>
      <c r="D551" s="7" t="s">
        <v>144</v>
      </c>
      <c r="E551" s="7" t="s">
        <v>19</v>
      </c>
      <c r="F551" s="7" t="s">
        <v>20</v>
      </c>
      <c r="G551" s="28" t="s">
        <v>2027</v>
      </c>
      <c r="J551" s="7" t="s">
        <v>2006</v>
      </c>
      <c r="M551" s="6">
        <v>44784</v>
      </c>
      <c r="O551" s="7" t="s">
        <v>32</v>
      </c>
      <c r="P551" s="7" t="s">
        <v>146</v>
      </c>
      <c r="Q551" s="7" t="s">
        <v>34</v>
      </c>
      <c r="R551" s="7" t="s">
        <v>147</v>
      </c>
      <c r="S551" s="7" t="s">
        <v>1757</v>
      </c>
      <c r="T551" s="7" t="s">
        <v>149</v>
      </c>
      <c r="U551" s="7" t="s">
        <v>1758</v>
      </c>
      <c r="V551" s="7" t="s">
        <v>151</v>
      </c>
      <c r="X551" s="2" t="str">
        <f>HYPERLINK("https://hsdes.intel.com/resource/14013180470","14013180470")</f>
        <v>14013180470</v>
      </c>
    </row>
    <row r="552" spans="1:24" x14ac:dyDescent="0.3">
      <c r="A552" s="2" t="str">
        <f>HYPERLINK("https://hsdes.intel.com/resource/14013184616","14013184616")</f>
        <v>14013184616</v>
      </c>
      <c r="B552" s="7" t="s">
        <v>1759</v>
      </c>
      <c r="C552" s="7" t="s">
        <v>2017</v>
      </c>
      <c r="D552" s="7" t="s">
        <v>77</v>
      </c>
      <c r="E552" s="7" t="s">
        <v>122</v>
      </c>
      <c r="F552" s="7" t="s">
        <v>20</v>
      </c>
      <c r="G552" s="28" t="s">
        <v>2027</v>
      </c>
      <c r="J552" s="7" t="s">
        <v>31</v>
      </c>
      <c r="M552" s="6"/>
      <c r="O552" s="7" t="s">
        <v>32</v>
      </c>
      <c r="P552" s="7" t="s">
        <v>78</v>
      </c>
      <c r="Q552" s="7" t="s">
        <v>34</v>
      </c>
      <c r="R552" s="7" t="s">
        <v>24</v>
      </c>
      <c r="S552" s="7" t="s">
        <v>1760</v>
      </c>
      <c r="T552" s="7" t="s">
        <v>45</v>
      </c>
      <c r="U552" s="7" t="s">
        <v>1761</v>
      </c>
      <c r="V552" s="7" t="s">
        <v>81</v>
      </c>
      <c r="X552" s="2" t="str">
        <f>HYPERLINK("https://hsdes.intel.com/resource/14013184616","14013184616")</f>
        <v>14013184616</v>
      </c>
    </row>
    <row r="553" spans="1:24" x14ac:dyDescent="0.3">
      <c r="A553" s="2" t="str">
        <f>HYPERLINK("https://hsdes.intel.com/resource/14013182921","14013182921")</f>
        <v>14013182921</v>
      </c>
      <c r="B553" s="7" t="s">
        <v>1762</v>
      </c>
      <c r="C553" s="7" t="s">
        <v>2017</v>
      </c>
      <c r="D553" s="7" t="s">
        <v>401</v>
      </c>
      <c r="E553" s="7" t="s">
        <v>19</v>
      </c>
      <c r="F553" s="7" t="s">
        <v>20</v>
      </c>
      <c r="G553" s="28" t="s">
        <v>2027</v>
      </c>
      <c r="J553" s="7" t="s">
        <v>2006</v>
      </c>
      <c r="M553" s="6">
        <v>44783</v>
      </c>
      <c r="N553" s="6"/>
      <c r="O553" s="7" t="s">
        <v>32</v>
      </c>
      <c r="P553" s="7" t="s">
        <v>146</v>
      </c>
      <c r="Q553" s="7" t="s">
        <v>34</v>
      </c>
      <c r="R553" s="7" t="s">
        <v>147</v>
      </c>
      <c r="S553" s="7" t="s">
        <v>1763</v>
      </c>
      <c r="T553" s="7" t="s">
        <v>961</v>
      </c>
      <c r="U553" s="7" t="s">
        <v>1764</v>
      </c>
      <c r="V553" s="7" t="s">
        <v>202</v>
      </c>
      <c r="X553" s="2" t="str">
        <f>HYPERLINK("https://hsdes.intel.com/resource/14013182921","14013182921")</f>
        <v>14013182921</v>
      </c>
    </row>
    <row r="554" spans="1:24" x14ac:dyDescent="0.3">
      <c r="A554" s="2" t="str">
        <f>HYPERLINK("https://hsdes.intel.com/resource/14013185860","14013185860")</f>
        <v>14013185860</v>
      </c>
      <c r="B554" s="7" t="s">
        <v>1765</v>
      </c>
      <c r="C554" s="7" t="s">
        <v>2017</v>
      </c>
      <c r="D554" s="7" t="s">
        <v>1766</v>
      </c>
      <c r="E554" s="7" t="s">
        <v>19</v>
      </c>
      <c r="F554" s="7" t="s">
        <v>20</v>
      </c>
      <c r="G554" s="28" t="s">
        <v>2027</v>
      </c>
      <c r="J554" s="7" t="s">
        <v>2006</v>
      </c>
      <c r="M554" s="6">
        <v>44783</v>
      </c>
      <c r="N554" s="6"/>
      <c r="O554" s="7" t="s">
        <v>32</v>
      </c>
      <c r="P554" s="7" t="s">
        <v>146</v>
      </c>
      <c r="Q554" s="7" t="s">
        <v>34</v>
      </c>
      <c r="R554" s="7" t="s">
        <v>147</v>
      </c>
      <c r="S554" s="7" t="s">
        <v>1767</v>
      </c>
      <c r="T554" s="7" t="s">
        <v>961</v>
      </c>
      <c r="U554" s="7" t="s">
        <v>1768</v>
      </c>
      <c r="V554" s="7" t="s">
        <v>202</v>
      </c>
      <c r="X554" s="2" t="str">
        <f>HYPERLINK("https://hsdes.intel.com/resource/14013185860","14013185860")</f>
        <v>14013185860</v>
      </c>
    </row>
    <row r="555" spans="1:24" x14ac:dyDescent="0.3">
      <c r="A555" s="5" t="str">
        <f>HYPERLINK("https://hsdes.intel.com/resource/14013159317","14013159317")</f>
        <v>14013159317</v>
      </c>
      <c r="B555" s="7" t="s">
        <v>1769</v>
      </c>
      <c r="C555" s="7" t="s">
        <v>2017</v>
      </c>
      <c r="D555" s="7" t="s">
        <v>401</v>
      </c>
      <c r="E555" s="7" t="s">
        <v>19</v>
      </c>
      <c r="F555" s="7" t="s">
        <v>20</v>
      </c>
      <c r="G555" s="28" t="s">
        <v>2027</v>
      </c>
      <c r="J555" s="7" t="s">
        <v>2006</v>
      </c>
      <c r="M555" s="6">
        <v>44785</v>
      </c>
      <c r="N555" s="6"/>
      <c r="O555" s="7" t="s">
        <v>32</v>
      </c>
      <c r="P555" s="7" t="s">
        <v>146</v>
      </c>
      <c r="Q555" s="7" t="s">
        <v>34</v>
      </c>
      <c r="R555" s="7" t="s">
        <v>147</v>
      </c>
      <c r="S555" s="7" t="s">
        <v>1770</v>
      </c>
      <c r="T555" s="7" t="s">
        <v>200</v>
      </c>
      <c r="U555" s="7" t="s">
        <v>1771</v>
      </c>
      <c r="V555" s="7" t="s">
        <v>202</v>
      </c>
      <c r="X555" s="2" t="str">
        <f>HYPERLINK("https://hsdes.intel.com/resource/14013159317","14013159317")</f>
        <v>14013159317</v>
      </c>
    </row>
    <row r="556" spans="1:24" x14ac:dyDescent="0.3">
      <c r="A556" s="2" t="str">
        <f>HYPERLINK("https://hsdes.intel.com/resource/14013175744","14013175744")</f>
        <v>14013175744</v>
      </c>
      <c r="B556" s="7" t="s">
        <v>1772</v>
      </c>
      <c r="C556" s="7" t="s">
        <v>2017</v>
      </c>
      <c r="D556" s="7" t="s">
        <v>275</v>
      </c>
      <c r="E556" s="7" t="s">
        <v>122</v>
      </c>
      <c r="F556" s="7" t="s">
        <v>20</v>
      </c>
      <c r="G556" s="28" t="s">
        <v>2027</v>
      </c>
      <c r="J556" s="7" t="s">
        <v>31</v>
      </c>
      <c r="M556" s="6"/>
      <c r="O556" s="7" t="s">
        <v>32</v>
      </c>
      <c r="P556" s="7" t="s">
        <v>78</v>
      </c>
      <c r="Q556" s="7" t="s">
        <v>23</v>
      </c>
      <c r="R556" s="7" t="s">
        <v>24</v>
      </c>
      <c r="S556" s="7" t="s">
        <v>1773</v>
      </c>
      <c r="T556" s="7" t="s">
        <v>244</v>
      </c>
      <c r="U556" s="7" t="s">
        <v>1774</v>
      </c>
      <c r="V556" s="7" t="s">
        <v>278</v>
      </c>
      <c r="X556" s="2" t="str">
        <f>HYPERLINK("https://hsdes.intel.com/resource/14013175744","14013175744")</f>
        <v>14013175744</v>
      </c>
    </row>
    <row r="557" spans="1:24" x14ac:dyDescent="0.3">
      <c r="A557" s="2" t="str">
        <f>HYPERLINK("https://hsdes.intel.com/resource/14013176015","14013176015")</f>
        <v>14013176015</v>
      </c>
      <c r="B557" s="7" t="s">
        <v>1775</v>
      </c>
      <c r="C557" s="7" t="s">
        <v>2017</v>
      </c>
      <c r="D557" s="7" t="s">
        <v>275</v>
      </c>
      <c r="E557" s="7" t="s">
        <v>122</v>
      </c>
      <c r="F557" s="7" t="s">
        <v>20</v>
      </c>
      <c r="G557" s="28" t="s">
        <v>2027</v>
      </c>
      <c r="J557" s="7" t="s">
        <v>31</v>
      </c>
      <c r="M557" s="6"/>
      <c r="O557" s="7" t="s">
        <v>104</v>
      </c>
      <c r="P557" s="7" t="s">
        <v>78</v>
      </c>
      <c r="Q557" s="7" t="s">
        <v>23</v>
      </c>
      <c r="R557" s="7" t="s">
        <v>24</v>
      </c>
      <c r="S557" s="7" t="s">
        <v>1776</v>
      </c>
      <c r="T557" s="7" t="s">
        <v>244</v>
      </c>
      <c r="U557" s="7" t="s">
        <v>1777</v>
      </c>
      <c r="V557" s="7" t="s">
        <v>278</v>
      </c>
      <c r="X557" s="2" t="str">
        <f>HYPERLINK("https://hsdes.intel.com/resource/14013176015","14013176015")</f>
        <v>14013176015</v>
      </c>
    </row>
    <row r="558" spans="1:24" x14ac:dyDescent="0.3">
      <c r="A558" s="2" t="str">
        <f>HYPERLINK("https://hsdes.intel.com/resource/14013174741","14013174741")</f>
        <v>14013174741</v>
      </c>
      <c r="B558" s="18" t="s">
        <v>1778</v>
      </c>
      <c r="C558" s="7" t="s">
        <v>2017</v>
      </c>
      <c r="D558" s="7" t="s">
        <v>401</v>
      </c>
      <c r="E558" s="7" t="s">
        <v>19</v>
      </c>
      <c r="F558" s="7" t="s">
        <v>20</v>
      </c>
      <c r="G558" s="28" t="s">
        <v>2027</v>
      </c>
      <c r="J558" s="7" t="s">
        <v>2006</v>
      </c>
      <c r="M558" s="6">
        <v>44785</v>
      </c>
      <c r="O558" s="7" t="s">
        <v>32</v>
      </c>
      <c r="P558" s="7" t="s">
        <v>186</v>
      </c>
      <c r="Q558" s="7" t="s">
        <v>34</v>
      </c>
      <c r="R558" s="7" t="s">
        <v>147</v>
      </c>
      <c r="S558" s="7" t="s">
        <v>1779</v>
      </c>
      <c r="T558" s="7" t="s">
        <v>45</v>
      </c>
      <c r="U558" s="7" t="s">
        <v>1780</v>
      </c>
      <c r="V558" s="7" t="s">
        <v>189</v>
      </c>
      <c r="X558" s="2" t="str">
        <f>HYPERLINK("https://hsdes.intel.com/resource/14013174741","14013174741")</f>
        <v>14013174741</v>
      </c>
    </row>
    <row r="559" spans="1:24" x14ac:dyDescent="0.3">
      <c r="A559" s="5" t="str">
        <f>HYPERLINK("https://hsdes.intel.com/resource/14013185416","14013185416")</f>
        <v>14013185416</v>
      </c>
      <c r="B559" s="7" t="s">
        <v>1781</v>
      </c>
      <c r="C559" s="7" t="s">
        <v>2017</v>
      </c>
      <c r="D559" s="7" t="s">
        <v>18</v>
      </c>
      <c r="E559" s="7" t="s">
        <v>19</v>
      </c>
      <c r="F559" s="7" t="s">
        <v>20</v>
      </c>
      <c r="G559" s="28" t="s">
        <v>2027</v>
      </c>
      <c r="J559" s="7" t="s">
        <v>2020</v>
      </c>
      <c r="M559" s="6">
        <v>44785</v>
      </c>
      <c r="O559" s="7" t="s">
        <v>104</v>
      </c>
      <c r="P559" s="7" t="s">
        <v>22</v>
      </c>
      <c r="Q559" s="7" t="s">
        <v>34</v>
      </c>
      <c r="R559" s="7" t="s">
        <v>24</v>
      </c>
      <c r="S559" s="7" t="s">
        <v>1782</v>
      </c>
      <c r="T559" s="7" t="s">
        <v>337</v>
      </c>
      <c r="U559" s="7" t="s">
        <v>1783</v>
      </c>
      <c r="V559" s="7" t="s">
        <v>28</v>
      </c>
      <c r="X559" s="2" t="str">
        <f>HYPERLINK("https://hsdes.intel.com/resource/14013185416","14013185416")</f>
        <v>14013185416</v>
      </c>
    </row>
    <row r="560" spans="1:24" x14ac:dyDescent="0.3">
      <c r="A560" s="2" t="str">
        <f>HYPERLINK("https://hsdes.intel.com/resource/14013185836","14013185836")</f>
        <v>14013185836</v>
      </c>
      <c r="B560" s="7" t="s">
        <v>1784</v>
      </c>
      <c r="C560" s="7" t="s">
        <v>2017</v>
      </c>
      <c r="D560" s="7" t="s">
        <v>550</v>
      </c>
      <c r="E560" s="7" t="s">
        <v>19</v>
      </c>
      <c r="F560" s="7" t="s">
        <v>20</v>
      </c>
      <c r="G560" s="28" t="s">
        <v>2027</v>
      </c>
      <c r="J560" s="7" t="s">
        <v>1974</v>
      </c>
      <c r="L560" s="11"/>
      <c r="M560" s="6">
        <v>44783</v>
      </c>
      <c r="O560" s="7" t="s">
        <v>21</v>
      </c>
      <c r="P560" s="7" t="s">
        <v>22</v>
      </c>
      <c r="Q560" s="7" t="s">
        <v>34</v>
      </c>
      <c r="R560" s="7" t="s">
        <v>24</v>
      </c>
      <c r="S560" s="7" t="s">
        <v>1785</v>
      </c>
      <c r="T560" s="7" t="s">
        <v>553</v>
      </c>
      <c r="U560" s="7" t="s">
        <v>1786</v>
      </c>
      <c r="V560" s="7" t="s">
        <v>172</v>
      </c>
      <c r="X560" s="2" t="str">
        <f>HYPERLINK("https://hsdes.intel.com/resource/14013185836","14013185836")</f>
        <v>14013185836</v>
      </c>
    </row>
    <row r="561" spans="1:24" x14ac:dyDescent="0.3">
      <c r="A561" s="2" t="str">
        <f>HYPERLINK("https://hsdes.intel.com/resource/14013160599","14013160599")</f>
        <v>14013160599</v>
      </c>
      <c r="B561" s="7" t="s">
        <v>1787</v>
      </c>
      <c r="C561" s="7" t="s">
        <v>2017</v>
      </c>
      <c r="D561" s="7" t="s">
        <v>283</v>
      </c>
      <c r="E561" s="7" t="s">
        <v>19</v>
      </c>
      <c r="F561" s="7" t="s">
        <v>20</v>
      </c>
      <c r="G561" s="28" t="s">
        <v>2027</v>
      </c>
      <c r="J561" s="7" t="s">
        <v>1974</v>
      </c>
      <c r="L561" s="11"/>
      <c r="M561" s="6">
        <v>44783</v>
      </c>
      <c r="O561" s="7" t="s">
        <v>21</v>
      </c>
      <c r="P561" s="7" t="s">
        <v>22</v>
      </c>
      <c r="Q561" s="7" t="s">
        <v>34</v>
      </c>
      <c r="R561" s="7" t="s">
        <v>24</v>
      </c>
      <c r="S561" s="7" t="s">
        <v>1788</v>
      </c>
      <c r="T561" s="7" t="s">
        <v>553</v>
      </c>
      <c r="U561" s="7" t="s">
        <v>1789</v>
      </c>
      <c r="V561" s="7" t="s">
        <v>172</v>
      </c>
      <c r="X561" s="2" t="str">
        <f>HYPERLINK("https://hsdes.intel.com/resource/14013160599","14013160599")</f>
        <v>14013160599</v>
      </c>
    </row>
    <row r="562" spans="1:24" x14ac:dyDescent="0.3">
      <c r="A562" s="2" t="str">
        <f>HYPERLINK("https://hsdes.intel.com/resource/14013165517","14013165517")</f>
        <v>14013165517</v>
      </c>
      <c r="B562" s="7" t="s">
        <v>1790</v>
      </c>
      <c r="C562" s="7" t="s">
        <v>2017</v>
      </c>
      <c r="D562" s="7" t="s">
        <v>283</v>
      </c>
      <c r="E562" s="7" t="s">
        <v>19</v>
      </c>
      <c r="F562" s="7" t="s">
        <v>20</v>
      </c>
      <c r="G562" s="28" t="s">
        <v>2027</v>
      </c>
      <c r="J562" s="7" t="s">
        <v>1974</v>
      </c>
      <c r="L562" s="11"/>
      <c r="M562" s="6">
        <v>44783</v>
      </c>
      <c r="O562" s="7" t="s">
        <v>21</v>
      </c>
      <c r="P562" s="7" t="s">
        <v>22</v>
      </c>
      <c r="Q562" s="7" t="s">
        <v>34</v>
      </c>
      <c r="R562" s="7" t="s">
        <v>24</v>
      </c>
      <c r="S562" s="7" t="s">
        <v>1791</v>
      </c>
      <c r="T562" s="7" t="s">
        <v>553</v>
      </c>
      <c r="U562" s="7" t="s">
        <v>554</v>
      </c>
      <c r="V562" s="7" t="s">
        <v>172</v>
      </c>
      <c r="X562" s="2" t="str">
        <f>HYPERLINK("https://hsdes.intel.com/resource/14013165517","14013165517")</f>
        <v>14013165517</v>
      </c>
    </row>
    <row r="563" spans="1:24" x14ac:dyDescent="0.3">
      <c r="A563" s="5" t="str">
        <f>HYPERLINK("https://hsdes.intel.com/resource/14013159448","14013159448")</f>
        <v>14013159448</v>
      </c>
      <c r="B563" s="7" t="s">
        <v>1792</v>
      </c>
      <c r="C563" s="7" t="s">
        <v>2017</v>
      </c>
      <c r="D563" s="7" t="s">
        <v>18</v>
      </c>
      <c r="E563" s="7" t="s">
        <v>19</v>
      </c>
      <c r="F563" s="7" t="s">
        <v>20</v>
      </c>
      <c r="G563" s="28" t="s">
        <v>2027</v>
      </c>
      <c r="J563" s="7" t="s">
        <v>2020</v>
      </c>
      <c r="M563" s="6">
        <v>44785</v>
      </c>
      <c r="O563" s="7" t="s">
        <v>21</v>
      </c>
      <c r="P563" s="7" t="s">
        <v>22</v>
      </c>
      <c r="Q563" s="7" t="s">
        <v>34</v>
      </c>
      <c r="R563" s="7" t="s">
        <v>147</v>
      </c>
      <c r="S563" s="7" t="s">
        <v>1793</v>
      </c>
      <c r="T563" s="7" t="s">
        <v>26</v>
      </c>
      <c r="U563" s="7" t="s">
        <v>1794</v>
      </c>
      <c r="V563" s="7" t="s">
        <v>28</v>
      </c>
      <c r="X563" s="2" t="str">
        <f>HYPERLINK("https://hsdes.intel.com/resource/14013159448","14013159448")</f>
        <v>14013159448</v>
      </c>
    </row>
    <row r="564" spans="1:24" x14ac:dyDescent="0.3">
      <c r="A564" s="5" t="str">
        <f>HYPERLINK("https://hsdes.intel.com/resource/14013172912","14013172912")</f>
        <v>14013172912</v>
      </c>
      <c r="B564" s="7" t="s">
        <v>1795</v>
      </c>
      <c r="C564" s="7" t="s">
        <v>2017</v>
      </c>
      <c r="D564" s="7" t="s">
        <v>18</v>
      </c>
      <c r="E564" s="7" t="s">
        <v>122</v>
      </c>
      <c r="F564" s="7" t="s">
        <v>20</v>
      </c>
      <c r="G564" s="28" t="s">
        <v>2027</v>
      </c>
      <c r="J564" s="7" t="s">
        <v>2020</v>
      </c>
      <c r="M564" s="6">
        <v>44785</v>
      </c>
      <c r="O564" s="7" t="s">
        <v>104</v>
      </c>
      <c r="P564" s="7" t="s">
        <v>22</v>
      </c>
      <c r="Q564" s="7" t="s">
        <v>34</v>
      </c>
      <c r="R564" s="7" t="s">
        <v>24</v>
      </c>
      <c r="S564" s="7" t="s">
        <v>1796</v>
      </c>
      <c r="T564" s="7" t="s">
        <v>116</v>
      </c>
      <c r="U564" s="7" t="s">
        <v>1797</v>
      </c>
      <c r="V564" s="7" t="s">
        <v>28</v>
      </c>
      <c r="X564" s="2" t="str">
        <f>HYPERLINK("https://hsdes.intel.com/resource/14013172912","14013172912")</f>
        <v>14013172912</v>
      </c>
    </row>
    <row r="565" spans="1:24" x14ac:dyDescent="0.3">
      <c r="A565" s="5" t="str">
        <f>HYPERLINK("https://hsdes.intel.com/resource/14013172940","14013172940")</f>
        <v>14013172940</v>
      </c>
      <c r="B565" s="7" t="s">
        <v>1798</v>
      </c>
      <c r="C565" s="7" t="s">
        <v>2017</v>
      </c>
      <c r="D565" s="7" t="s">
        <v>18</v>
      </c>
      <c r="E565" s="7" t="s">
        <v>19</v>
      </c>
      <c r="F565" s="7" t="s">
        <v>20</v>
      </c>
      <c r="G565" s="28" t="s">
        <v>2027</v>
      </c>
      <c r="J565" s="7" t="s">
        <v>2020</v>
      </c>
      <c r="M565" s="6">
        <v>44785</v>
      </c>
      <c r="O565" s="7" t="s">
        <v>104</v>
      </c>
      <c r="P565" s="7" t="s">
        <v>22</v>
      </c>
      <c r="Q565" s="7" t="s">
        <v>34</v>
      </c>
      <c r="R565" s="7" t="s">
        <v>24</v>
      </c>
      <c r="S565" s="7" t="s">
        <v>1799</v>
      </c>
      <c r="T565" s="7" t="s">
        <v>116</v>
      </c>
      <c r="U565" s="7" t="s">
        <v>1800</v>
      </c>
      <c r="V565" s="7" t="s">
        <v>28</v>
      </c>
      <c r="X565" s="2" t="str">
        <f>HYPERLINK("https://hsdes.intel.com/resource/14013172940","14013172940")</f>
        <v>14013172940</v>
      </c>
    </row>
    <row r="566" spans="1:24" x14ac:dyDescent="0.3">
      <c r="A566" s="5" t="str">
        <f>HYPERLINK("https://hsdes.intel.com/resource/1509819989","1509819989")</f>
        <v>1509819989</v>
      </c>
      <c r="B566" s="7" t="s">
        <v>1801</v>
      </c>
      <c r="C566" s="7" t="s">
        <v>2017</v>
      </c>
      <c r="D566" s="7" t="s">
        <v>18</v>
      </c>
      <c r="E566" s="7" t="s">
        <v>122</v>
      </c>
      <c r="F566" s="7" t="s">
        <v>20</v>
      </c>
      <c r="G566" s="28" t="s">
        <v>2027</v>
      </c>
      <c r="J566" s="7" t="s">
        <v>2020</v>
      </c>
      <c r="M566" s="6">
        <v>44785</v>
      </c>
      <c r="O566" s="7" t="s">
        <v>104</v>
      </c>
      <c r="P566" s="7" t="s">
        <v>22</v>
      </c>
      <c r="Q566" s="7" t="s">
        <v>34</v>
      </c>
      <c r="R566" s="7" t="s">
        <v>24</v>
      </c>
      <c r="S566" s="7" t="s">
        <v>1802</v>
      </c>
      <c r="T566" s="7" t="s">
        <v>427</v>
      </c>
      <c r="U566" s="7" t="s">
        <v>1803</v>
      </c>
      <c r="V566" s="7" t="s">
        <v>28</v>
      </c>
      <c r="X566" s="2" t="str">
        <f>HYPERLINK("https://hsdes.intel.com/resource/1509819989","1509819989")</f>
        <v>1509819989</v>
      </c>
    </row>
    <row r="567" spans="1:24" x14ac:dyDescent="0.3">
      <c r="A567" s="5" t="str">
        <f>HYPERLINK("https://hsdes.intel.com/resource/14013163230","14013163230")</f>
        <v>14013163230</v>
      </c>
      <c r="B567" s="7" t="s">
        <v>1804</v>
      </c>
      <c r="C567" s="7" t="s">
        <v>2017</v>
      </c>
      <c r="D567" s="7" t="s">
        <v>18</v>
      </c>
      <c r="E567" s="7" t="s">
        <v>19</v>
      </c>
      <c r="F567" s="7" t="s">
        <v>20</v>
      </c>
      <c r="G567" s="28" t="s">
        <v>2027</v>
      </c>
      <c r="J567" s="7" t="s">
        <v>2020</v>
      </c>
      <c r="M567" s="6">
        <v>44785</v>
      </c>
      <c r="O567" s="7" t="s">
        <v>104</v>
      </c>
      <c r="P567" s="7" t="s">
        <v>22</v>
      </c>
      <c r="Q567" s="7" t="s">
        <v>34</v>
      </c>
      <c r="R567" s="7" t="s">
        <v>24</v>
      </c>
      <c r="S567" s="7" t="s">
        <v>1802</v>
      </c>
      <c r="T567" s="7" t="s">
        <v>427</v>
      </c>
      <c r="U567" s="7" t="s">
        <v>1803</v>
      </c>
      <c r="V567" s="7" t="s">
        <v>28</v>
      </c>
      <c r="X567" s="2" t="str">
        <f>HYPERLINK("https://hsdes.intel.com/resource/14013163230","14013163230")</f>
        <v>14013163230</v>
      </c>
    </row>
    <row r="568" spans="1:24" x14ac:dyDescent="0.3">
      <c r="A568" s="2" t="str">
        <f>HYPERLINK("https://hsdes.intel.com/resource/14013184835","14013184835")</f>
        <v>14013184835</v>
      </c>
      <c r="B568" s="7" t="s">
        <v>1805</v>
      </c>
      <c r="C568" s="7" t="s">
        <v>2017</v>
      </c>
      <c r="D568" s="7" t="s">
        <v>77</v>
      </c>
      <c r="E568" s="7" t="s">
        <v>19</v>
      </c>
      <c r="F568" s="7" t="s">
        <v>20</v>
      </c>
      <c r="G568" s="28" t="s">
        <v>2027</v>
      </c>
      <c r="J568" s="7" t="s">
        <v>31</v>
      </c>
      <c r="M568" s="6"/>
      <c r="O568" s="7" t="s">
        <v>32</v>
      </c>
      <c r="P568" s="7" t="s">
        <v>78</v>
      </c>
      <c r="Q568" s="7" t="s">
        <v>34</v>
      </c>
      <c r="R568" s="7" t="s">
        <v>24</v>
      </c>
      <c r="S568" s="7" t="s">
        <v>1806</v>
      </c>
      <c r="T568" s="7" t="s">
        <v>192</v>
      </c>
      <c r="U568" s="7" t="s">
        <v>1807</v>
      </c>
      <c r="V568" s="7" t="s">
        <v>142</v>
      </c>
      <c r="X568" s="2" t="str">
        <f>HYPERLINK("https://hsdes.intel.com/resource/14013184835","14013184835")</f>
        <v>14013184835</v>
      </c>
    </row>
    <row r="569" spans="1:24" x14ac:dyDescent="0.3">
      <c r="A569" s="2" t="str">
        <f>HYPERLINK("https://hsdes.intel.com/resource/14013185500","14013185500")</f>
        <v>14013185500</v>
      </c>
      <c r="B569" s="7" t="s">
        <v>1808</v>
      </c>
      <c r="C569" s="7" t="s">
        <v>2017</v>
      </c>
      <c r="D569" s="7" t="s">
        <v>77</v>
      </c>
      <c r="E569" s="7" t="s">
        <v>19</v>
      </c>
      <c r="F569" s="7" t="s">
        <v>20</v>
      </c>
      <c r="G569" s="28" t="s">
        <v>2027</v>
      </c>
      <c r="J569" s="7" t="s">
        <v>2006</v>
      </c>
      <c r="L569" s="7" t="s">
        <v>288</v>
      </c>
      <c r="M569" s="6">
        <v>44784</v>
      </c>
      <c r="O569" s="7" t="s">
        <v>32</v>
      </c>
      <c r="P569" s="7" t="s">
        <v>78</v>
      </c>
      <c r="Q569" s="7" t="s">
        <v>34</v>
      </c>
      <c r="R569" s="7" t="s">
        <v>147</v>
      </c>
      <c r="S569" s="7" t="s">
        <v>1809</v>
      </c>
      <c r="T569" s="7" t="s">
        <v>446</v>
      </c>
      <c r="U569" s="7" t="s">
        <v>1810</v>
      </c>
      <c r="V569" s="7" t="s">
        <v>142</v>
      </c>
      <c r="X569" s="2" t="str">
        <f>HYPERLINK("https://hsdes.intel.com/resource/14013185500","14013185500")</f>
        <v>14013185500</v>
      </c>
    </row>
    <row r="570" spans="1:24" x14ac:dyDescent="0.3">
      <c r="A570" s="2" t="str">
        <f>HYPERLINK("https://hsdes.intel.com/resource/16013373341","16013373341")</f>
        <v>16013373341</v>
      </c>
      <c r="B570" s="7" t="s">
        <v>1811</v>
      </c>
      <c r="C570" s="7" t="s">
        <v>1975</v>
      </c>
      <c r="D570" s="7" t="s">
        <v>18</v>
      </c>
      <c r="E570" s="7" t="s">
        <v>122</v>
      </c>
      <c r="F570" s="7" t="s">
        <v>20</v>
      </c>
      <c r="G570" s="28" t="s">
        <v>2027</v>
      </c>
      <c r="J570" s="7" t="s">
        <v>2006</v>
      </c>
      <c r="L570" s="7" t="s">
        <v>1812</v>
      </c>
      <c r="M570" s="6"/>
      <c r="O570" s="7" t="s">
        <v>32</v>
      </c>
      <c r="P570" s="7" t="s">
        <v>22</v>
      </c>
      <c r="Q570" s="7" t="s">
        <v>34</v>
      </c>
      <c r="R570" s="7" t="s">
        <v>24</v>
      </c>
      <c r="T570" s="7" t="s">
        <v>244</v>
      </c>
      <c r="U570" s="7" t="s">
        <v>1813</v>
      </c>
      <c r="X570" s="2" t="str">
        <f>HYPERLINK("https://hsdes.intel.com/resource/16013373341","16013373341")</f>
        <v>16013373341</v>
      </c>
    </row>
    <row r="571" spans="1:24" x14ac:dyDescent="0.3">
      <c r="A571" s="2" t="str">
        <f>HYPERLINK("https://hsdes.intel.com/resource/16013373198","16013373198")</f>
        <v>16013373198</v>
      </c>
      <c r="B571" s="7" t="s">
        <v>1814</v>
      </c>
      <c r="C571" s="7" t="s">
        <v>1975</v>
      </c>
      <c r="D571" s="7" t="s">
        <v>18</v>
      </c>
      <c r="E571" s="7" t="s">
        <v>122</v>
      </c>
      <c r="F571" s="7" t="s">
        <v>20</v>
      </c>
      <c r="G571" s="28" t="s">
        <v>2027</v>
      </c>
      <c r="J571" s="7" t="s">
        <v>2006</v>
      </c>
      <c r="L571" s="7" t="s">
        <v>1812</v>
      </c>
      <c r="M571" s="6"/>
      <c r="O571" s="7" t="s">
        <v>32</v>
      </c>
      <c r="P571" s="7" t="s">
        <v>22</v>
      </c>
      <c r="Q571" s="7" t="s">
        <v>34</v>
      </c>
      <c r="R571" s="7" t="s">
        <v>24</v>
      </c>
      <c r="T571" s="7" t="s">
        <v>244</v>
      </c>
      <c r="U571" s="7" t="s">
        <v>1813</v>
      </c>
      <c r="X571" s="2" t="str">
        <f>HYPERLINK("https://hsdes.intel.com/resource/16013373198","16013373198")</f>
        <v>16013373198</v>
      </c>
    </row>
    <row r="572" spans="1:24" x14ac:dyDescent="0.3">
      <c r="A572" s="2" t="str">
        <f>HYPERLINK("https://hsdes.intel.com/resource/16013373086","16013373086")</f>
        <v>16013373086</v>
      </c>
      <c r="B572" s="7" t="s">
        <v>1815</v>
      </c>
      <c r="C572" s="7" t="s">
        <v>1975</v>
      </c>
      <c r="D572" s="7" t="s">
        <v>18</v>
      </c>
      <c r="E572" s="7" t="s">
        <v>122</v>
      </c>
      <c r="F572" s="7" t="s">
        <v>20</v>
      </c>
      <c r="G572" s="28" t="s">
        <v>2027</v>
      </c>
      <c r="J572" s="7" t="s">
        <v>2006</v>
      </c>
      <c r="L572" s="7" t="s">
        <v>1812</v>
      </c>
      <c r="M572" s="6"/>
      <c r="O572" s="7" t="s">
        <v>32</v>
      </c>
      <c r="P572" s="7" t="s">
        <v>22</v>
      </c>
      <c r="Q572" s="7" t="s">
        <v>34</v>
      </c>
      <c r="R572" s="7" t="s">
        <v>24</v>
      </c>
      <c r="T572" s="7" t="s">
        <v>244</v>
      </c>
      <c r="U572" s="7" t="s">
        <v>1813</v>
      </c>
      <c r="X572" s="2" t="str">
        <f>HYPERLINK("https://hsdes.intel.com/resource/16013373086","16013373086")</f>
        <v>16013373086</v>
      </c>
    </row>
    <row r="573" spans="1:24" x14ac:dyDescent="0.3">
      <c r="A573" s="5" t="str">
        <f>HYPERLINK("https://hsdes.intel.com/resource/14013179473","14013179473")</f>
        <v>14013179473</v>
      </c>
      <c r="B573" s="7" t="s">
        <v>1816</v>
      </c>
      <c r="C573" s="7" t="s">
        <v>2017</v>
      </c>
      <c r="D573" s="7" t="s">
        <v>267</v>
      </c>
      <c r="E573" s="7" t="s">
        <v>19</v>
      </c>
      <c r="F573" s="7" t="s">
        <v>20</v>
      </c>
      <c r="G573" s="28" t="s">
        <v>2027</v>
      </c>
      <c r="J573" s="7" t="s">
        <v>2006</v>
      </c>
      <c r="M573" s="6">
        <v>44785</v>
      </c>
      <c r="O573" s="7" t="s">
        <v>104</v>
      </c>
      <c r="P573" s="7" t="s">
        <v>33</v>
      </c>
      <c r="Q573" s="7" t="s">
        <v>34</v>
      </c>
      <c r="R573" s="7" t="s">
        <v>147</v>
      </c>
      <c r="S573" s="7" t="s">
        <v>1817</v>
      </c>
      <c r="T573" s="7" t="s">
        <v>205</v>
      </c>
      <c r="U573" s="7" t="s">
        <v>1818</v>
      </c>
      <c r="V573" s="7" t="s">
        <v>270</v>
      </c>
      <c r="X573" s="2" t="str">
        <f>HYPERLINK("https://hsdes.intel.com/resource/14013179473","14013179473")</f>
        <v>14013179473</v>
      </c>
    </row>
    <row r="574" spans="1:24" x14ac:dyDescent="0.3">
      <c r="A574" s="5" t="str">
        <f>HYPERLINK("https://hsdes.intel.com/resource/14013159090","14013159090")</f>
        <v>14013159090</v>
      </c>
      <c r="B574" s="7" t="s">
        <v>1819</v>
      </c>
      <c r="C574" s="7" t="s">
        <v>2017</v>
      </c>
      <c r="D574" s="7" t="s">
        <v>18</v>
      </c>
      <c r="E574" s="7" t="s">
        <v>19</v>
      </c>
      <c r="F574" s="7" t="s">
        <v>20</v>
      </c>
      <c r="G574" s="28" t="s">
        <v>2027</v>
      </c>
      <c r="J574" s="7" t="s">
        <v>2020</v>
      </c>
      <c r="M574" s="6">
        <v>44785</v>
      </c>
      <c r="O574" s="7" t="s">
        <v>21</v>
      </c>
      <c r="P574" s="7" t="s">
        <v>22</v>
      </c>
      <c r="Q574" s="7" t="s">
        <v>34</v>
      </c>
      <c r="R574" s="7" t="s">
        <v>24</v>
      </c>
      <c r="S574" s="7" t="s">
        <v>1820</v>
      </c>
      <c r="T574" s="7" t="s">
        <v>130</v>
      </c>
      <c r="U574" s="7" t="s">
        <v>1821</v>
      </c>
      <c r="V574" s="7" t="s">
        <v>28</v>
      </c>
      <c r="X574" s="2" t="str">
        <f>HYPERLINK("https://hsdes.intel.com/resource/14013159090","14013159090")</f>
        <v>14013159090</v>
      </c>
    </row>
    <row r="575" spans="1:24" x14ac:dyDescent="0.3">
      <c r="A575" s="5" t="str">
        <f>HYPERLINK("https://hsdes.intel.com/resource/22011834375","22011834375")</f>
        <v>22011834375</v>
      </c>
      <c r="B575" s="7" t="s">
        <v>1822</v>
      </c>
      <c r="C575" s="7" t="s">
        <v>2017</v>
      </c>
      <c r="D575" s="7" t="s">
        <v>18</v>
      </c>
      <c r="E575" s="7" t="s">
        <v>122</v>
      </c>
      <c r="F575" s="7" t="s">
        <v>20</v>
      </c>
      <c r="G575" s="28" t="s">
        <v>2027</v>
      </c>
      <c r="J575" s="7" t="s">
        <v>2020</v>
      </c>
      <c r="M575" s="6">
        <v>44785</v>
      </c>
      <c r="O575" s="7" t="s">
        <v>104</v>
      </c>
      <c r="P575" s="7" t="s">
        <v>22</v>
      </c>
      <c r="Q575" s="7" t="s">
        <v>34</v>
      </c>
      <c r="R575" s="7" t="s">
        <v>24</v>
      </c>
      <c r="S575" s="7" t="s">
        <v>1823</v>
      </c>
      <c r="T575" s="7" t="s">
        <v>106</v>
      </c>
      <c r="U575" s="7" t="s">
        <v>1824</v>
      </c>
      <c r="V575" s="7" t="s">
        <v>28</v>
      </c>
      <c r="X575" s="2" t="str">
        <f>HYPERLINK("https://hsdes.intel.com/resource/22011834375","22011834375")</f>
        <v>22011834375</v>
      </c>
    </row>
    <row r="576" spans="1:24" x14ac:dyDescent="0.3">
      <c r="A576" s="2" t="str">
        <f>HYPERLINK("https://hsdes.intel.com/resource/14013159021","14013159021")</f>
        <v>14013159021</v>
      </c>
      <c r="B576" s="7" t="s">
        <v>1825</v>
      </c>
      <c r="C576" s="7" t="s">
        <v>2017</v>
      </c>
      <c r="D576" s="7" t="s">
        <v>18</v>
      </c>
      <c r="E576" s="7" t="s">
        <v>19</v>
      </c>
      <c r="F576" s="7" t="s">
        <v>20</v>
      </c>
      <c r="G576" s="28" t="s">
        <v>2027</v>
      </c>
      <c r="J576" s="7" t="s">
        <v>2004</v>
      </c>
      <c r="L576" s="7" t="s">
        <v>288</v>
      </c>
      <c r="M576" s="6">
        <v>44784</v>
      </c>
      <c r="O576" s="7" t="s">
        <v>104</v>
      </c>
      <c r="P576" s="7" t="s">
        <v>22</v>
      </c>
      <c r="Q576" s="7" t="s">
        <v>34</v>
      </c>
      <c r="R576" s="7" t="s">
        <v>147</v>
      </c>
      <c r="S576" s="7" t="s">
        <v>1826</v>
      </c>
      <c r="T576" s="7" t="s">
        <v>130</v>
      </c>
      <c r="U576" s="7" t="s">
        <v>1827</v>
      </c>
      <c r="V576" s="7" t="s">
        <v>28</v>
      </c>
      <c r="X576" s="2" t="str">
        <f>HYPERLINK("https://hsdes.intel.com/resource/14013159021","14013159021")</f>
        <v>14013159021</v>
      </c>
    </row>
    <row r="577" spans="1:24" x14ac:dyDescent="0.3">
      <c r="A577" s="2" t="str">
        <f>HYPERLINK("https://hsdes.intel.com/resource/14013179047","14013179047")</f>
        <v>14013179047</v>
      </c>
      <c r="B577" s="7" t="s">
        <v>1828</v>
      </c>
      <c r="C577" s="7" t="s">
        <v>2017</v>
      </c>
      <c r="D577" s="7" t="s">
        <v>162</v>
      </c>
      <c r="E577" s="7" t="s">
        <v>19</v>
      </c>
      <c r="F577" s="7" t="s">
        <v>20</v>
      </c>
      <c r="G577" s="28" t="s">
        <v>2027</v>
      </c>
      <c r="J577" s="7" t="s">
        <v>1974</v>
      </c>
      <c r="M577" s="6">
        <v>44781</v>
      </c>
      <c r="O577" s="7" t="s">
        <v>32</v>
      </c>
      <c r="P577" s="7" t="s">
        <v>163</v>
      </c>
      <c r="Q577" s="7" t="s">
        <v>34</v>
      </c>
      <c r="R577" s="7" t="s">
        <v>24</v>
      </c>
      <c r="S577" s="7" t="s">
        <v>1829</v>
      </c>
      <c r="T577" s="7" t="s">
        <v>45</v>
      </c>
      <c r="U577" s="7" t="s">
        <v>1830</v>
      </c>
      <c r="V577" s="7" t="s">
        <v>166</v>
      </c>
      <c r="X577" s="2" t="str">
        <f>HYPERLINK("https://hsdes.intel.com/resource/14013179047","14013179047")</f>
        <v>14013179047</v>
      </c>
    </row>
    <row r="578" spans="1:24" x14ac:dyDescent="0.3">
      <c r="A578" s="5" t="str">
        <f>HYPERLINK("https://hsdes.intel.com/resource/14013160906","14013160906")</f>
        <v>14013160906</v>
      </c>
      <c r="B578" s="7" t="s">
        <v>1831</v>
      </c>
      <c r="C578" s="7" t="s">
        <v>2017</v>
      </c>
      <c r="D578" s="7" t="s">
        <v>18</v>
      </c>
      <c r="E578" s="7" t="s">
        <v>19</v>
      </c>
      <c r="F578" s="7" t="s">
        <v>20</v>
      </c>
      <c r="G578" s="28" t="s">
        <v>2027</v>
      </c>
      <c r="J578" s="7" t="s">
        <v>2020</v>
      </c>
      <c r="M578" s="6">
        <v>44785</v>
      </c>
      <c r="O578" s="7" t="s">
        <v>32</v>
      </c>
      <c r="P578" s="7" t="s">
        <v>22</v>
      </c>
      <c r="Q578" s="7" t="s">
        <v>34</v>
      </c>
      <c r="R578" s="7" t="s">
        <v>24</v>
      </c>
      <c r="S578" s="7" t="s">
        <v>1832</v>
      </c>
      <c r="T578" s="7" t="s">
        <v>130</v>
      </c>
      <c r="U578" s="7" t="s">
        <v>1833</v>
      </c>
      <c r="V578" s="7" t="s">
        <v>28</v>
      </c>
      <c r="X578" s="2" t="str">
        <f>HYPERLINK("https://hsdes.intel.com/resource/14013160906","14013160906")</f>
        <v>14013160906</v>
      </c>
    </row>
    <row r="579" spans="1:24" x14ac:dyDescent="0.3">
      <c r="A579" s="5" t="str">
        <f>HYPERLINK("https://hsdes.intel.com/resource/14013160910","14013160910")</f>
        <v>14013160910</v>
      </c>
      <c r="B579" s="7" t="s">
        <v>1834</v>
      </c>
      <c r="C579" s="7" t="s">
        <v>2017</v>
      </c>
      <c r="D579" s="7" t="s">
        <v>18</v>
      </c>
      <c r="E579" s="7" t="s">
        <v>19</v>
      </c>
      <c r="F579" s="7" t="s">
        <v>20</v>
      </c>
      <c r="G579" s="28" t="s">
        <v>2027</v>
      </c>
      <c r="J579" s="7" t="s">
        <v>2020</v>
      </c>
      <c r="M579" s="6">
        <v>44785</v>
      </c>
      <c r="O579" s="7" t="s">
        <v>32</v>
      </c>
      <c r="P579" s="7" t="s">
        <v>22</v>
      </c>
      <c r="Q579" s="7" t="s">
        <v>34</v>
      </c>
      <c r="R579" s="7" t="s">
        <v>24</v>
      </c>
      <c r="S579" s="7" t="s">
        <v>1835</v>
      </c>
      <c r="T579" s="7" t="s">
        <v>130</v>
      </c>
      <c r="U579" s="7" t="s">
        <v>1836</v>
      </c>
      <c r="V579" s="7" t="s">
        <v>28</v>
      </c>
      <c r="X579" s="2" t="str">
        <f>HYPERLINK("https://hsdes.intel.com/resource/14013160910","14013160910")</f>
        <v>14013160910</v>
      </c>
    </row>
    <row r="580" spans="1:24" x14ac:dyDescent="0.3">
      <c r="A580" s="2" t="str">
        <f>HYPERLINK("https://hsdes.intel.com/resource/16013162482","16013162482")</f>
        <v>16013162482</v>
      </c>
      <c r="B580" s="7" t="s">
        <v>1837</v>
      </c>
      <c r="C580" s="7" t="s">
        <v>2017</v>
      </c>
      <c r="D580" s="7" t="s">
        <v>18</v>
      </c>
      <c r="E580" s="7" t="s">
        <v>122</v>
      </c>
      <c r="F580" s="7" t="s">
        <v>20</v>
      </c>
      <c r="G580" s="28" t="s">
        <v>2027</v>
      </c>
      <c r="J580" s="7" t="s">
        <v>1974</v>
      </c>
      <c r="M580" s="6">
        <v>44783</v>
      </c>
      <c r="N580" s="6"/>
      <c r="O580" s="7" t="s">
        <v>32</v>
      </c>
      <c r="P580" s="7" t="s">
        <v>22</v>
      </c>
      <c r="Q580" s="7" t="s">
        <v>34</v>
      </c>
      <c r="R580" s="7" t="s">
        <v>24</v>
      </c>
      <c r="T580" s="7" t="s">
        <v>106</v>
      </c>
      <c r="U580" s="7" t="s">
        <v>1838</v>
      </c>
      <c r="X580" s="2" t="str">
        <f>HYPERLINK("https://hsdes.intel.com/resource/16013162482","16013162482")</f>
        <v>16013162482</v>
      </c>
    </row>
    <row r="581" spans="1:24" x14ac:dyDescent="0.3">
      <c r="A581" s="2" t="str">
        <f>HYPERLINK("https://hsdes.intel.com/resource/14013185815","14013185815")</f>
        <v>14013185815</v>
      </c>
      <c r="B581" s="7" t="s">
        <v>1839</v>
      </c>
      <c r="C581" s="7" t="s">
        <v>2017</v>
      </c>
      <c r="D581" s="7" t="s">
        <v>257</v>
      </c>
      <c r="E581" s="7" t="s">
        <v>19</v>
      </c>
      <c r="F581" s="7" t="s">
        <v>20</v>
      </c>
      <c r="G581" s="28" t="s">
        <v>2027</v>
      </c>
      <c r="J581" s="7" t="s">
        <v>31</v>
      </c>
      <c r="M581" s="6"/>
      <c r="O581" s="7" t="s">
        <v>104</v>
      </c>
      <c r="P581" s="7" t="s">
        <v>163</v>
      </c>
      <c r="Q581" s="7" t="s">
        <v>34</v>
      </c>
      <c r="R581" s="7" t="s">
        <v>24</v>
      </c>
      <c r="S581" s="7" t="s">
        <v>1840</v>
      </c>
      <c r="T581" s="7" t="s">
        <v>205</v>
      </c>
      <c r="U581" s="7" t="s">
        <v>1841</v>
      </c>
      <c r="V581" s="7" t="s">
        <v>166</v>
      </c>
      <c r="X581" s="2" t="str">
        <f>HYPERLINK("https://hsdes.intel.com/resource/14013185815","14013185815")</f>
        <v>14013185815</v>
      </c>
    </row>
    <row r="582" spans="1:24" x14ac:dyDescent="0.3">
      <c r="A582" s="5" t="str">
        <f>HYPERLINK("https://hsdes.intel.com/resource/14013172938","14013172938")</f>
        <v>14013172938</v>
      </c>
      <c r="B582" s="7" t="s">
        <v>1842</v>
      </c>
      <c r="C582" s="7" t="s">
        <v>2017</v>
      </c>
      <c r="D582" s="7" t="s">
        <v>18</v>
      </c>
      <c r="E582" s="7" t="s">
        <v>19</v>
      </c>
      <c r="F582" s="7" t="s">
        <v>20</v>
      </c>
      <c r="G582" s="28" t="s">
        <v>2027</v>
      </c>
      <c r="J582" s="7" t="s">
        <v>2020</v>
      </c>
      <c r="M582" s="27">
        <v>44785</v>
      </c>
      <c r="O582" s="7" t="s">
        <v>21</v>
      </c>
      <c r="P582" s="7" t="s">
        <v>22</v>
      </c>
      <c r="Q582" s="7" t="s">
        <v>34</v>
      </c>
      <c r="R582" s="7" t="s">
        <v>147</v>
      </c>
      <c r="S582" s="7" t="s">
        <v>1843</v>
      </c>
      <c r="T582" s="7" t="s">
        <v>130</v>
      </c>
      <c r="U582" s="7" t="s">
        <v>1844</v>
      </c>
      <c r="V582" s="7" t="s">
        <v>28</v>
      </c>
      <c r="X582" s="2" t="str">
        <f>HYPERLINK("https://hsdes.intel.com/resource/14013172938","14013172938")</f>
        <v>14013172938</v>
      </c>
    </row>
    <row r="583" spans="1:24" x14ac:dyDescent="0.3">
      <c r="A583" s="5" t="str">
        <f>HYPERLINK("https://hsdes.intel.com/resource/14013159992","14013159992")</f>
        <v>14013159992</v>
      </c>
      <c r="B583" s="7" t="s">
        <v>1845</v>
      </c>
      <c r="C583" s="7" t="s">
        <v>2017</v>
      </c>
      <c r="D583" s="7" t="s">
        <v>275</v>
      </c>
      <c r="E583" s="7" t="s">
        <v>19</v>
      </c>
      <c r="F583" s="7" t="s">
        <v>20</v>
      </c>
      <c r="G583" s="28" t="s">
        <v>2027</v>
      </c>
      <c r="J583" s="7" t="s">
        <v>2004</v>
      </c>
      <c r="M583" s="6">
        <v>44785</v>
      </c>
      <c r="O583" s="7" t="s">
        <v>21</v>
      </c>
      <c r="P583" s="7" t="s">
        <v>78</v>
      </c>
      <c r="Q583" s="7" t="s">
        <v>34</v>
      </c>
      <c r="R583" s="7" t="s">
        <v>24</v>
      </c>
      <c r="S583" s="7" t="s">
        <v>1846</v>
      </c>
      <c r="T583" s="7" t="s">
        <v>1292</v>
      </c>
      <c r="U583" s="7" t="s">
        <v>1847</v>
      </c>
      <c r="V583" s="7" t="s">
        <v>278</v>
      </c>
      <c r="X583" s="2" t="str">
        <f>HYPERLINK("https://hsdes.intel.com/resource/14013159992","14013159992")</f>
        <v>14013159992</v>
      </c>
    </row>
    <row r="584" spans="1:24" x14ac:dyDescent="0.3">
      <c r="A584" s="2" t="str">
        <f>HYPERLINK("https://hsdes.intel.com/resource/14013179161","14013179161")</f>
        <v>14013179161</v>
      </c>
      <c r="B584" s="7" t="s">
        <v>1848</v>
      </c>
      <c r="C584" s="7" t="s">
        <v>2017</v>
      </c>
      <c r="D584" s="7" t="s">
        <v>257</v>
      </c>
      <c r="E584" s="7" t="s">
        <v>19</v>
      </c>
      <c r="F584" s="7" t="s">
        <v>20</v>
      </c>
      <c r="G584" s="28" t="s">
        <v>2027</v>
      </c>
      <c r="J584" s="7" t="s">
        <v>1974</v>
      </c>
      <c r="M584" s="6">
        <v>44783</v>
      </c>
      <c r="O584" s="7" t="s">
        <v>21</v>
      </c>
      <c r="P584" s="7" t="s">
        <v>163</v>
      </c>
      <c r="Q584" s="7" t="s">
        <v>34</v>
      </c>
      <c r="R584" s="7" t="s">
        <v>24</v>
      </c>
      <c r="S584" s="7" t="s">
        <v>1849</v>
      </c>
      <c r="T584" s="7" t="s">
        <v>205</v>
      </c>
      <c r="U584" s="7" t="s">
        <v>1850</v>
      </c>
      <c r="V584" s="7" t="s">
        <v>166</v>
      </c>
      <c r="X584" s="2" t="str">
        <f>HYPERLINK("https://hsdes.intel.com/resource/14013179161","14013179161")</f>
        <v>14013179161</v>
      </c>
    </row>
    <row r="585" spans="1:24" x14ac:dyDescent="0.3">
      <c r="A585" s="2" t="str">
        <f>HYPERLINK("https://hsdes.intel.com/resource/14013179167","14013179167")</f>
        <v>14013179167</v>
      </c>
      <c r="B585" s="7" t="s">
        <v>1851</v>
      </c>
      <c r="C585" s="7" t="s">
        <v>2018</v>
      </c>
      <c r="D585" s="7" t="s">
        <v>257</v>
      </c>
      <c r="E585" s="7" t="s">
        <v>19</v>
      </c>
      <c r="F585" s="7" t="s">
        <v>20</v>
      </c>
      <c r="G585" s="28" t="s">
        <v>2027</v>
      </c>
      <c r="J585" s="7" t="s">
        <v>1974</v>
      </c>
      <c r="M585" s="6">
        <v>44781</v>
      </c>
      <c r="O585" s="7" t="s">
        <v>32</v>
      </c>
      <c r="P585" s="7" t="s">
        <v>163</v>
      </c>
      <c r="Q585" s="7" t="s">
        <v>34</v>
      </c>
      <c r="R585" s="7" t="s">
        <v>24</v>
      </c>
      <c r="S585" s="7" t="s">
        <v>1852</v>
      </c>
      <c r="T585" s="7" t="s">
        <v>326</v>
      </c>
      <c r="U585" s="7" t="s">
        <v>1853</v>
      </c>
      <c r="V585" s="7" t="s">
        <v>166</v>
      </c>
      <c r="X585" s="2" t="str">
        <f>HYPERLINK("https://hsdes.intel.com/resource/14013179167","14013179167")</f>
        <v>14013179167</v>
      </c>
    </row>
    <row r="586" spans="1:24" x14ac:dyDescent="0.3">
      <c r="A586" s="2" t="str">
        <f>HYPERLINK("https://hsdes.intel.com/resource/14013158799","14013158799")</f>
        <v>14013158799</v>
      </c>
      <c r="B586" s="7" t="s">
        <v>1854</v>
      </c>
      <c r="C586" s="7" t="s">
        <v>2017</v>
      </c>
      <c r="D586" s="7" t="s">
        <v>18</v>
      </c>
      <c r="E586" s="7" t="s">
        <v>19</v>
      </c>
      <c r="F586" s="7" t="s">
        <v>20</v>
      </c>
      <c r="G586" s="28" t="s">
        <v>2027</v>
      </c>
      <c r="J586" s="7" t="s">
        <v>1974</v>
      </c>
      <c r="M586" s="6">
        <v>44783</v>
      </c>
      <c r="O586" s="7" t="s">
        <v>32</v>
      </c>
      <c r="P586" s="7" t="s">
        <v>22</v>
      </c>
      <c r="Q586" s="7" t="s">
        <v>34</v>
      </c>
      <c r="R586" s="7" t="s">
        <v>24</v>
      </c>
      <c r="S586" s="7" t="s">
        <v>1855</v>
      </c>
      <c r="T586" s="7" t="s">
        <v>116</v>
      </c>
      <c r="U586" s="7" t="s">
        <v>1856</v>
      </c>
      <c r="V586" s="7" t="s">
        <v>28</v>
      </c>
      <c r="X586" s="2" t="str">
        <f>HYPERLINK("https://hsdes.intel.com/resource/14013158799","14013158799")</f>
        <v>14013158799</v>
      </c>
    </row>
    <row r="587" spans="1:24" x14ac:dyDescent="0.3">
      <c r="A587" s="2" t="str">
        <f>HYPERLINK("https://hsdes.intel.com/resource/16013676825","16013676825")</f>
        <v>16013676825</v>
      </c>
      <c r="B587" s="7" t="s">
        <v>1857</v>
      </c>
      <c r="C587" s="7" t="s">
        <v>2017</v>
      </c>
      <c r="D587" s="7" t="s">
        <v>18</v>
      </c>
      <c r="E587" s="7" t="s">
        <v>122</v>
      </c>
      <c r="F587" s="7" t="s">
        <v>20</v>
      </c>
      <c r="G587" s="28" t="s">
        <v>2027</v>
      </c>
      <c r="J587" s="7" t="s">
        <v>2006</v>
      </c>
      <c r="L587" s="7" t="s">
        <v>1980</v>
      </c>
      <c r="M587" s="6">
        <v>44784</v>
      </c>
      <c r="N587" s="6"/>
      <c r="O587" s="7" t="s">
        <v>21</v>
      </c>
      <c r="P587" s="7" t="s">
        <v>22</v>
      </c>
      <c r="Q587" s="7" t="s">
        <v>34</v>
      </c>
      <c r="R587" s="7" t="s">
        <v>24</v>
      </c>
      <c r="S587" s="7" t="s">
        <v>1858</v>
      </c>
      <c r="T587" s="7" t="s">
        <v>360</v>
      </c>
      <c r="U587" s="7" t="s">
        <v>1859</v>
      </c>
      <c r="V587" s="7" t="s">
        <v>28</v>
      </c>
      <c r="X587" s="2" t="str">
        <f>HYPERLINK("https://hsdes.intel.com/resource/16013676825","16013676825")</f>
        <v>16013676825</v>
      </c>
    </row>
    <row r="588" spans="1:24" x14ac:dyDescent="0.3">
      <c r="A588" s="2" t="str">
        <f>HYPERLINK("https://hsdes.intel.com/resource/14013163425","14013163425")</f>
        <v>14013163425</v>
      </c>
      <c r="B588" s="7" t="s">
        <v>1860</v>
      </c>
      <c r="C588" s="7" t="s">
        <v>2017</v>
      </c>
      <c r="D588" s="7" t="s">
        <v>18</v>
      </c>
      <c r="E588" s="7" t="s">
        <v>19</v>
      </c>
      <c r="F588" s="7" t="s">
        <v>20</v>
      </c>
      <c r="G588" s="28" t="s">
        <v>2027</v>
      </c>
      <c r="J588" s="7" t="s">
        <v>2006</v>
      </c>
      <c r="M588" s="6">
        <v>44784</v>
      </c>
      <c r="N588" s="6"/>
      <c r="O588" s="7" t="s">
        <v>21</v>
      </c>
      <c r="P588" s="7" t="s">
        <v>22</v>
      </c>
      <c r="Q588" s="7" t="s">
        <v>34</v>
      </c>
      <c r="R588" s="7" t="s">
        <v>24</v>
      </c>
      <c r="S588" s="7" t="s">
        <v>1858</v>
      </c>
      <c r="T588" s="7" t="s">
        <v>360</v>
      </c>
      <c r="U588" s="7" t="s">
        <v>1861</v>
      </c>
      <c r="V588" s="7" t="s">
        <v>28</v>
      </c>
      <c r="X588" s="2" t="str">
        <f>HYPERLINK("https://hsdes.intel.com/resource/14013163425","14013163425")</f>
        <v>14013163425</v>
      </c>
    </row>
    <row r="589" spans="1:24" x14ac:dyDescent="0.3">
      <c r="A589" s="2" t="str">
        <f>HYPERLINK("https://hsdes.intel.com/resource/14013165121","14013165121")</f>
        <v>14013165121</v>
      </c>
      <c r="B589" s="7" t="s">
        <v>1862</v>
      </c>
      <c r="C589" s="7" t="s">
        <v>2017</v>
      </c>
      <c r="D589" s="7" t="s">
        <v>18</v>
      </c>
      <c r="E589" s="7" t="s">
        <v>122</v>
      </c>
      <c r="F589" s="7" t="s">
        <v>20</v>
      </c>
      <c r="G589" s="28" t="s">
        <v>2027</v>
      </c>
      <c r="J589" s="7" t="s">
        <v>2006</v>
      </c>
      <c r="M589" s="6">
        <v>44785</v>
      </c>
      <c r="N589" s="6"/>
      <c r="O589" s="7" t="s">
        <v>32</v>
      </c>
      <c r="P589" s="7" t="s">
        <v>22</v>
      </c>
      <c r="Q589" s="7" t="s">
        <v>34</v>
      </c>
      <c r="R589" s="7" t="s">
        <v>147</v>
      </c>
      <c r="S589" s="7" t="s">
        <v>1863</v>
      </c>
      <c r="T589" s="7" t="s">
        <v>106</v>
      </c>
      <c r="U589" s="7" t="s">
        <v>1864</v>
      </c>
      <c r="V589" s="7" t="s">
        <v>28</v>
      </c>
      <c r="X589" s="2" t="str">
        <f>HYPERLINK("https://hsdes.intel.com/resource/14013165121","14013165121")</f>
        <v>14013165121</v>
      </c>
    </row>
    <row r="590" spans="1:24" x14ac:dyDescent="0.3">
      <c r="A590" s="2" t="str">
        <f>HYPERLINK("https://hsdes.intel.com/resource/16013697548","16013697548")</f>
        <v>16013697548</v>
      </c>
      <c r="B590" s="7" t="s">
        <v>1865</v>
      </c>
      <c r="C590" s="7" t="s">
        <v>2017</v>
      </c>
      <c r="D590" s="7" t="s">
        <v>18</v>
      </c>
      <c r="E590" s="7" t="s">
        <v>122</v>
      </c>
      <c r="F590" s="7" t="s">
        <v>20</v>
      </c>
      <c r="G590" s="28" t="s">
        <v>2027</v>
      </c>
      <c r="J590" s="7" t="s">
        <v>2006</v>
      </c>
      <c r="L590" s="7" t="s">
        <v>1980</v>
      </c>
      <c r="M590" s="6">
        <v>44785</v>
      </c>
      <c r="N590" s="6"/>
      <c r="O590" s="7" t="s">
        <v>32</v>
      </c>
      <c r="P590" s="7" t="s">
        <v>22</v>
      </c>
      <c r="Q590" s="7" t="s">
        <v>34</v>
      </c>
      <c r="R590" s="7" t="s">
        <v>24</v>
      </c>
      <c r="S590" s="7" t="s">
        <v>1866</v>
      </c>
      <c r="T590" s="7" t="s">
        <v>360</v>
      </c>
      <c r="U590" s="7" t="s">
        <v>1867</v>
      </c>
      <c r="V590" s="7" t="s">
        <v>28</v>
      </c>
      <c r="X590" s="2" t="str">
        <f>HYPERLINK("https://hsdes.intel.com/resource/16013697548","16013697548")</f>
        <v>16013697548</v>
      </c>
    </row>
    <row r="591" spans="1:24" x14ac:dyDescent="0.3">
      <c r="A591" s="2" t="str">
        <f>HYPERLINK("https://hsdes.intel.com/resource/14013162847","14013162847")</f>
        <v>14013162847</v>
      </c>
      <c r="B591" s="7" t="s">
        <v>1868</v>
      </c>
      <c r="C591" s="7" t="s">
        <v>2017</v>
      </c>
      <c r="D591" s="7" t="s">
        <v>18</v>
      </c>
      <c r="E591" s="7" t="s">
        <v>122</v>
      </c>
      <c r="F591" s="7" t="s">
        <v>20</v>
      </c>
      <c r="G591" s="28" t="s">
        <v>2027</v>
      </c>
      <c r="J591" s="7" t="s">
        <v>2006</v>
      </c>
      <c r="M591" s="6">
        <v>44784</v>
      </c>
      <c r="N591" s="6"/>
      <c r="O591" s="7" t="s">
        <v>21</v>
      </c>
      <c r="P591" s="7" t="s">
        <v>22</v>
      </c>
      <c r="Q591" s="7" t="s">
        <v>34</v>
      </c>
      <c r="R591" s="7" t="s">
        <v>24</v>
      </c>
      <c r="S591" s="7" t="s">
        <v>1866</v>
      </c>
      <c r="T591" s="7" t="s">
        <v>360</v>
      </c>
      <c r="U591" s="7" t="s">
        <v>1869</v>
      </c>
      <c r="V591" s="7" t="s">
        <v>28</v>
      </c>
      <c r="X591" s="2" t="str">
        <f>HYPERLINK("https://hsdes.intel.com/resource/14013162847","14013162847")</f>
        <v>14013162847</v>
      </c>
    </row>
    <row r="592" spans="1:24" x14ac:dyDescent="0.3">
      <c r="A592" s="2" t="str">
        <f>HYPERLINK("https://hsdes.intel.com/resource/14013163289","14013163289")</f>
        <v>14013163289</v>
      </c>
      <c r="B592" s="7" t="s">
        <v>1870</v>
      </c>
      <c r="C592" s="7" t="s">
        <v>2017</v>
      </c>
      <c r="D592" s="7" t="s">
        <v>18</v>
      </c>
      <c r="E592" s="7" t="s">
        <v>19</v>
      </c>
      <c r="F592" s="7" t="s">
        <v>20</v>
      </c>
      <c r="G592" s="28" t="s">
        <v>2027</v>
      </c>
      <c r="J592" s="7" t="s">
        <v>2006</v>
      </c>
      <c r="M592" s="6">
        <v>44784</v>
      </c>
      <c r="N592" s="6"/>
      <c r="O592" s="7" t="s">
        <v>104</v>
      </c>
      <c r="P592" s="7" t="s">
        <v>22</v>
      </c>
      <c r="Q592" s="7" t="s">
        <v>34</v>
      </c>
      <c r="R592" s="7" t="s">
        <v>147</v>
      </c>
      <c r="S592" s="7" t="s">
        <v>1871</v>
      </c>
      <c r="T592" s="7" t="s">
        <v>1872</v>
      </c>
      <c r="U592" s="7" t="s">
        <v>1873</v>
      </c>
      <c r="V592" s="7" t="s">
        <v>28</v>
      </c>
      <c r="X592" s="2" t="str">
        <f>HYPERLINK("https://hsdes.intel.com/resource/14013163289","14013163289")</f>
        <v>14013163289</v>
      </c>
    </row>
    <row r="593" spans="1:24" x14ac:dyDescent="0.3">
      <c r="A593" s="2" t="str">
        <f>HYPERLINK("https://hsdes.intel.com/resource/14013157460","14013157460")</f>
        <v>14013157460</v>
      </c>
      <c r="B593" s="7" t="s">
        <v>1874</v>
      </c>
      <c r="C593" s="7" t="s">
        <v>2017</v>
      </c>
      <c r="D593" s="7" t="s">
        <v>283</v>
      </c>
      <c r="E593" s="7" t="s">
        <v>19</v>
      </c>
      <c r="F593" s="7" t="s">
        <v>20</v>
      </c>
      <c r="G593" s="28" t="s">
        <v>2027</v>
      </c>
      <c r="J593" s="7" t="s">
        <v>2006</v>
      </c>
      <c r="L593" s="15"/>
      <c r="M593" s="6">
        <v>44785</v>
      </c>
      <c r="O593" s="7" t="s">
        <v>32</v>
      </c>
      <c r="P593" s="7" t="s">
        <v>175</v>
      </c>
      <c r="Q593" s="7" t="s">
        <v>34</v>
      </c>
      <c r="R593" s="7" t="s">
        <v>24</v>
      </c>
      <c r="S593" s="7" t="s">
        <v>1875</v>
      </c>
      <c r="T593" s="7" t="s">
        <v>45</v>
      </c>
      <c r="U593" s="7" t="s">
        <v>1876</v>
      </c>
      <c r="V593" s="7" t="s">
        <v>286</v>
      </c>
      <c r="X593" s="2" t="str">
        <f>HYPERLINK("https://hsdes.intel.com/resource/14013157460","14013157460")</f>
        <v>14013157460</v>
      </c>
    </row>
    <row r="594" spans="1:24" x14ac:dyDescent="0.3">
      <c r="A594" s="2" t="str">
        <f>HYPERLINK("https://hsdes.intel.com/resource/14013157472","14013157472")</f>
        <v>14013157472</v>
      </c>
      <c r="B594" s="7" t="s">
        <v>1877</v>
      </c>
      <c r="C594" s="7" t="s">
        <v>2017</v>
      </c>
      <c r="D594" s="7" t="s">
        <v>283</v>
      </c>
      <c r="E594" s="7" t="s">
        <v>19</v>
      </c>
      <c r="F594" s="7" t="s">
        <v>20</v>
      </c>
      <c r="G594" s="28" t="s">
        <v>2027</v>
      </c>
      <c r="J594" s="7" t="s">
        <v>2006</v>
      </c>
      <c r="M594" s="6">
        <v>44784</v>
      </c>
      <c r="O594" s="7" t="s">
        <v>32</v>
      </c>
      <c r="P594" s="7" t="s">
        <v>175</v>
      </c>
      <c r="Q594" s="7" t="s">
        <v>34</v>
      </c>
      <c r="R594" s="7" t="s">
        <v>24</v>
      </c>
      <c r="S594" s="7" t="s">
        <v>1878</v>
      </c>
      <c r="T594" s="7" t="s">
        <v>45</v>
      </c>
      <c r="U594" s="7" t="s">
        <v>1879</v>
      </c>
      <c r="V594" s="7" t="s">
        <v>286</v>
      </c>
      <c r="X594" s="2" t="str">
        <f>HYPERLINK("https://hsdes.intel.com/resource/14013157472","14013157472")</f>
        <v>14013157472</v>
      </c>
    </row>
    <row r="595" spans="1:24" x14ac:dyDescent="0.3">
      <c r="A595" s="5" t="str">
        <f>HYPERLINK("https://hsdes.intel.com/resource/14013158285","14013158285")</f>
        <v>14013158285</v>
      </c>
      <c r="B595" s="18" t="s">
        <v>1880</v>
      </c>
      <c r="C595" s="7" t="s">
        <v>2017</v>
      </c>
      <c r="D595" s="7" t="s">
        <v>198</v>
      </c>
      <c r="E595" s="7" t="s">
        <v>19</v>
      </c>
      <c r="F595" s="7" t="s">
        <v>20</v>
      </c>
      <c r="G595" s="28" t="s">
        <v>2027</v>
      </c>
      <c r="J595" s="7" t="s">
        <v>2006</v>
      </c>
      <c r="M595" s="6">
        <v>44785</v>
      </c>
      <c r="O595" s="7" t="s">
        <v>32</v>
      </c>
      <c r="P595" s="7" t="s">
        <v>146</v>
      </c>
      <c r="Q595" s="7" t="s">
        <v>34</v>
      </c>
      <c r="R595" s="7" t="s">
        <v>147</v>
      </c>
      <c r="S595" s="7" t="s">
        <v>1881</v>
      </c>
      <c r="T595" s="7" t="s">
        <v>1572</v>
      </c>
      <c r="U595" s="7" t="s">
        <v>1882</v>
      </c>
      <c r="V595" s="7" t="s">
        <v>202</v>
      </c>
      <c r="X595" s="2" t="str">
        <f>HYPERLINK("https://hsdes.intel.com/resource/14013158285","14013158285")</f>
        <v>14013158285</v>
      </c>
    </row>
    <row r="596" spans="1:24" x14ac:dyDescent="0.3">
      <c r="A596" s="2" t="str">
        <f>HYPERLINK("https://hsdes.intel.com/resource/14013174585","14013174585")</f>
        <v>14013174585</v>
      </c>
      <c r="B596" s="18" t="s">
        <v>1883</v>
      </c>
      <c r="C596" s="7" t="s">
        <v>2017</v>
      </c>
      <c r="D596" s="7" t="s">
        <v>401</v>
      </c>
      <c r="E596" s="7" t="s">
        <v>19</v>
      </c>
      <c r="F596" s="7" t="s">
        <v>20</v>
      </c>
      <c r="G596" s="28" t="s">
        <v>2027</v>
      </c>
      <c r="J596" s="7" t="s">
        <v>2006</v>
      </c>
      <c r="L596" s="10"/>
      <c r="M596" s="6">
        <v>44785</v>
      </c>
      <c r="N596" s="6"/>
      <c r="O596" s="7" t="s">
        <v>32</v>
      </c>
      <c r="P596" s="7" t="s">
        <v>186</v>
      </c>
      <c r="Q596" s="7" t="s">
        <v>34</v>
      </c>
      <c r="R596" s="7" t="s">
        <v>147</v>
      </c>
      <c r="S596" s="7" t="s">
        <v>1884</v>
      </c>
      <c r="T596" s="7" t="s">
        <v>244</v>
      </c>
      <c r="U596" s="7" t="s">
        <v>1885</v>
      </c>
      <c r="V596" s="7" t="s">
        <v>189</v>
      </c>
      <c r="X596" s="2" t="str">
        <f>HYPERLINK("https://hsdes.intel.com/resource/14013174585","14013174585")</f>
        <v>14013174585</v>
      </c>
    </row>
    <row r="597" spans="1:24" x14ac:dyDescent="0.3">
      <c r="A597" s="2" t="str">
        <f>HYPERLINK("https://hsdes.intel.com/resource/14013174576","14013174576")</f>
        <v>14013174576</v>
      </c>
      <c r="B597" s="7" t="s">
        <v>1886</v>
      </c>
      <c r="C597" s="7" t="s">
        <v>2017</v>
      </c>
      <c r="D597" s="7" t="s">
        <v>401</v>
      </c>
      <c r="E597" s="7" t="s">
        <v>19</v>
      </c>
      <c r="F597" s="7" t="s">
        <v>20</v>
      </c>
      <c r="G597" s="28" t="s">
        <v>2027</v>
      </c>
      <c r="J597" s="7" t="s">
        <v>2006</v>
      </c>
      <c r="M597" s="6">
        <v>44783</v>
      </c>
      <c r="O597" s="7" t="s">
        <v>32</v>
      </c>
      <c r="P597" s="7" t="s">
        <v>186</v>
      </c>
      <c r="Q597" s="7" t="s">
        <v>34</v>
      </c>
      <c r="R597" s="7" t="s">
        <v>147</v>
      </c>
      <c r="S597" s="7" t="s">
        <v>1887</v>
      </c>
      <c r="T597" s="7" t="s">
        <v>244</v>
      </c>
      <c r="U597" s="7" t="s">
        <v>1888</v>
      </c>
      <c r="V597" s="7" t="s">
        <v>189</v>
      </c>
      <c r="X597" s="2" t="str">
        <f>HYPERLINK("https://hsdes.intel.com/resource/14013174576","14013174576")</f>
        <v>14013174576</v>
      </c>
    </row>
    <row r="598" spans="1:24" x14ac:dyDescent="0.3">
      <c r="A598" s="2" t="str">
        <f>HYPERLINK("https://hsdes.intel.com/resource/14013175486","14013175486")</f>
        <v>14013175486</v>
      </c>
      <c r="B598" s="7" t="s">
        <v>1889</v>
      </c>
      <c r="C598" s="7" t="s">
        <v>2017</v>
      </c>
      <c r="D598" s="7" t="s">
        <v>1890</v>
      </c>
      <c r="E598" s="7" t="s">
        <v>19</v>
      </c>
      <c r="F598" s="7" t="s">
        <v>20</v>
      </c>
      <c r="G598" s="28" t="s">
        <v>2027</v>
      </c>
      <c r="J598" s="7" t="s">
        <v>2006</v>
      </c>
      <c r="L598" s="10"/>
      <c r="M598" s="6">
        <v>44783</v>
      </c>
      <c r="O598" s="7" t="s">
        <v>32</v>
      </c>
      <c r="P598" s="7" t="s">
        <v>186</v>
      </c>
      <c r="Q598" s="7" t="s">
        <v>23</v>
      </c>
      <c r="R598" s="7" t="s">
        <v>147</v>
      </c>
      <c r="S598" s="7" t="s">
        <v>1891</v>
      </c>
      <c r="T598" s="7" t="s">
        <v>1892</v>
      </c>
      <c r="U598" s="7" t="s">
        <v>1893</v>
      </c>
      <c r="V598" s="7" t="s">
        <v>189</v>
      </c>
      <c r="X598" s="2" t="str">
        <f>HYPERLINK("https://hsdes.intel.com/resource/14013175486","14013175486")</f>
        <v>14013175486</v>
      </c>
    </row>
    <row r="599" spans="1:24" x14ac:dyDescent="0.3">
      <c r="A599" s="2" t="str">
        <f>HYPERLINK("https://hsdes.intel.com/resource/14013185479","14013185479")</f>
        <v>14013185479</v>
      </c>
      <c r="B599" s="7" t="s">
        <v>1894</v>
      </c>
      <c r="C599" s="7" t="s">
        <v>2017</v>
      </c>
      <c r="D599" s="7" t="s">
        <v>1890</v>
      </c>
      <c r="E599" s="7" t="s">
        <v>19</v>
      </c>
      <c r="F599" s="7" t="s">
        <v>20</v>
      </c>
      <c r="G599" s="28" t="s">
        <v>2027</v>
      </c>
      <c r="J599" s="7" t="s">
        <v>2006</v>
      </c>
      <c r="M599" s="6">
        <v>44783</v>
      </c>
      <c r="O599" s="7" t="s">
        <v>32</v>
      </c>
      <c r="P599" s="7" t="s">
        <v>186</v>
      </c>
      <c r="Q599" s="7" t="s">
        <v>23</v>
      </c>
      <c r="R599" s="7" t="s">
        <v>147</v>
      </c>
      <c r="S599" s="7" t="s">
        <v>1895</v>
      </c>
      <c r="T599" s="7" t="s">
        <v>1892</v>
      </c>
      <c r="U599" s="7" t="s">
        <v>1896</v>
      </c>
      <c r="V599" s="7" t="s">
        <v>189</v>
      </c>
      <c r="X599" s="2" t="str">
        <f>HYPERLINK("https://hsdes.intel.com/resource/14013185479","14013185479")</f>
        <v>14013185479</v>
      </c>
    </row>
    <row r="600" spans="1:24" x14ac:dyDescent="0.3">
      <c r="A600" s="2" t="str">
        <f>HYPERLINK("https://hsdes.intel.com/resource/14013178773","14013178773")</f>
        <v>14013178773</v>
      </c>
      <c r="B600" s="7" t="s">
        <v>1897</v>
      </c>
      <c r="C600" s="7" t="s">
        <v>1975</v>
      </c>
      <c r="D600" s="7" t="s">
        <v>162</v>
      </c>
      <c r="E600" s="7" t="s">
        <v>19</v>
      </c>
      <c r="F600" s="7" t="s">
        <v>20</v>
      </c>
      <c r="G600" s="28" t="s">
        <v>2027</v>
      </c>
      <c r="J600" s="7" t="s">
        <v>1974</v>
      </c>
      <c r="L600" s="7" t="s">
        <v>752</v>
      </c>
      <c r="M600" s="6"/>
      <c r="O600" s="7" t="s">
        <v>32</v>
      </c>
      <c r="P600" s="7" t="s">
        <v>163</v>
      </c>
      <c r="Q600" s="7" t="s">
        <v>34</v>
      </c>
      <c r="R600" s="7" t="s">
        <v>24</v>
      </c>
      <c r="S600" s="7" t="s">
        <v>1898</v>
      </c>
      <c r="T600" s="7" t="s">
        <v>205</v>
      </c>
      <c r="U600" s="7" t="s">
        <v>1899</v>
      </c>
      <c r="V600" s="7" t="s">
        <v>166</v>
      </c>
      <c r="X600" s="2" t="str">
        <f>HYPERLINK("https://hsdes.intel.com/resource/14013178773","14013178773")</f>
        <v>14013178773</v>
      </c>
    </row>
    <row r="601" spans="1:24" x14ac:dyDescent="0.3">
      <c r="A601" s="2" t="str">
        <f>HYPERLINK("https://hsdes.intel.com/resource/14013177249","14013177249")</f>
        <v>14013177249</v>
      </c>
      <c r="B601" s="7" t="s">
        <v>1900</v>
      </c>
      <c r="C601" s="7" t="s">
        <v>2017</v>
      </c>
      <c r="D601" s="7" t="s">
        <v>162</v>
      </c>
      <c r="E601" s="7" t="s">
        <v>19</v>
      </c>
      <c r="F601" s="7" t="s">
        <v>20</v>
      </c>
      <c r="G601" s="28" t="s">
        <v>2027</v>
      </c>
      <c r="J601" s="7" t="s">
        <v>1974</v>
      </c>
      <c r="L601" s="7" t="s">
        <v>1901</v>
      </c>
      <c r="M601" s="6">
        <v>44781</v>
      </c>
      <c r="N601" s="6"/>
      <c r="O601" s="7" t="s">
        <v>104</v>
      </c>
      <c r="P601" s="7" t="s">
        <v>163</v>
      </c>
      <c r="Q601" s="7" t="s">
        <v>34</v>
      </c>
      <c r="R601" s="7" t="s">
        <v>147</v>
      </c>
      <c r="S601" s="7" t="s">
        <v>1902</v>
      </c>
      <c r="T601" s="7" t="s">
        <v>1903</v>
      </c>
      <c r="U601" s="7" t="s">
        <v>1904</v>
      </c>
      <c r="V601" s="7" t="s">
        <v>166</v>
      </c>
      <c r="X601" s="2" t="str">
        <f>HYPERLINK("https://hsdes.intel.com/resource/14013177249","14013177249")</f>
        <v>14013177249</v>
      </c>
    </row>
    <row r="602" spans="1:24" x14ac:dyDescent="0.3">
      <c r="A602" s="2" t="str">
        <f>HYPERLINK("https://hsdes.intel.com/resource/14013177744","14013177744")</f>
        <v>14013177744</v>
      </c>
      <c r="B602" s="7" t="s">
        <v>1905</v>
      </c>
      <c r="C602" s="7" t="s">
        <v>2017</v>
      </c>
      <c r="D602" s="7" t="s">
        <v>162</v>
      </c>
      <c r="E602" s="7" t="s">
        <v>19</v>
      </c>
      <c r="F602" s="7" t="s">
        <v>20</v>
      </c>
      <c r="G602" s="28" t="s">
        <v>2027</v>
      </c>
      <c r="J602" s="7" t="s">
        <v>2006</v>
      </c>
      <c r="M602" s="6">
        <v>44784</v>
      </c>
      <c r="N602" s="6"/>
      <c r="O602" s="7" t="s">
        <v>21</v>
      </c>
      <c r="P602" s="7" t="s">
        <v>163</v>
      </c>
      <c r="Q602" s="7" t="s">
        <v>34</v>
      </c>
      <c r="R602" s="7" t="s">
        <v>147</v>
      </c>
      <c r="S602" s="7" t="s">
        <v>1906</v>
      </c>
      <c r="T602" s="7" t="s">
        <v>205</v>
      </c>
      <c r="U602" s="7" t="s">
        <v>1907</v>
      </c>
      <c r="V602" s="7" t="s">
        <v>166</v>
      </c>
      <c r="X602" s="2" t="str">
        <f>HYPERLINK("https://hsdes.intel.com/resource/14013177744","14013177744")</f>
        <v>14013177744</v>
      </c>
    </row>
    <row r="603" spans="1:24" x14ac:dyDescent="0.3">
      <c r="A603" s="2" t="str">
        <f>HYPERLINK("https://hsdes.intel.com/resource/14013178068","14013178068")</f>
        <v>14013178068</v>
      </c>
      <c r="B603" s="7" t="s">
        <v>1908</v>
      </c>
      <c r="C603" s="7" t="s">
        <v>1975</v>
      </c>
      <c r="D603" s="7" t="s">
        <v>162</v>
      </c>
      <c r="E603" s="7" t="s">
        <v>19</v>
      </c>
      <c r="F603" s="7" t="s">
        <v>20</v>
      </c>
      <c r="G603" s="28" t="s">
        <v>2027</v>
      </c>
      <c r="J603" s="7" t="s">
        <v>1974</v>
      </c>
      <c r="L603" s="7" t="s">
        <v>752</v>
      </c>
      <c r="M603" s="6"/>
      <c r="O603" s="7" t="s">
        <v>21</v>
      </c>
      <c r="P603" s="7" t="s">
        <v>163</v>
      </c>
      <c r="Q603" s="7" t="s">
        <v>34</v>
      </c>
      <c r="R603" s="7" t="s">
        <v>147</v>
      </c>
      <c r="S603" s="7" t="s">
        <v>1909</v>
      </c>
      <c r="T603" s="7" t="s">
        <v>205</v>
      </c>
      <c r="U603" s="7" t="s">
        <v>1910</v>
      </c>
      <c r="V603" s="7" t="s">
        <v>166</v>
      </c>
      <c r="X603" s="2" t="str">
        <f>HYPERLINK("https://hsdes.intel.com/resource/14013178068","14013178068")</f>
        <v>14013178068</v>
      </c>
    </row>
    <row r="604" spans="1:24" x14ac:dyDescent="0.3">
      <c r="A604" s="2" t="str">
        <f>HYPERLINK("https://hsdes.intel.com/resource/14013179171","14013179171")</f>
        <v>14013179171</v>
      </c>
      <c r="B604" s="7" t="s">
        <v>1911</v>
      </c>
      <c r="C604" s="7" t="s">
        <v>2018</v>
      </c>
      <c r="D604" s="7" t="s">
        <v>30</v>
      </c>
      <c r="E604" s="7" t="s">
        <v>19</v>
      </c>
      <c r="F604" s="7" t="s">
        <v>20</v>
      </c>
      <c r="G604" s="28" t="s">
        <v>2027</v>
      </c>
      <c r="J604" s="7" t="s">
        <v>1974</v>
      </c>
      <c r="M604" s="6">
        <v>44781</v>
      </c>
      <c r="O604" s="7" t="s">
        <v>104</v>
      </c>
      <c r="P604" s="7" t="s">
        <v>186</v>
      </c>
      <c r="Q604" s="7" t="s">
        <v>34</v>
      </c>
      <c r="R604" s="7" t="s">
        <v>147</v>
      </c>
      <c r="S604" s="7" t="s">
        <v>1912</v>
      </c>
      <c r="T604" s="7" t="s">
        <v>1913</v>
      </c>
      <c r="U604" s="7" t="s">
        <v>1914</v>
      </c>
      <c r="V604" s="7" t="s">
        <v>172</v>
      </c>
      <c r="X604" s="2" t="str">
        <f>HYPERLINK("https://hsdes.intel.com/resource/14013179171","14013179171")</f>
        <v>14013179171</v>
      </c>
    </row>
    <row r="605" spans="1:24" x14ac:dyDescent="0.3">
      <c r="A605" s="2" t="str">
        <f>HYPERLINK("https://hsdes.intel.com/resource/14013184489","14013184489")</f>
        <v>14013184489</v>
      </c>
      <c r="B605" s="7" t="s">
        <v>1915</v>
      </c>
      <c r="C605" s="7" t="s">
        <v>2018</v>
      </c>
      <c r="D605" s="7" t="s">
        <v>30</v>
      </c>
      <c r="E605" s="7" t="s">
        <v>19</v>
      </c>
      <c r="F605" s="7" t="s">
        <v>20</v>
      </c>
      <c r="G605" s="28" t="s">
        <v>2027</v>
      </c>
      <c r="J605" s="7" t="s">
        <v>1974</v>
      </c>
      <c r="M605" s="6">
        <v>44781</v>
      </c>
      <c r="O605" s="7" t="s">
        <v>32</v>
      </c>
      <c r="P605" s="7" t="s">
        <v>186</v>
      </c>
      <c r="Q605" s="7" t="s">
        <v>34</v>
      </c>
      <c r="R605" s="7" t="s">
        <v>147</v>
      </c>
      <c r="S605" s="7" t="s">
        <v>1916</v>
      </c>
      <c r="T605" s="7" t="s">
        <v>244</v>
      </c>
      <c r="U605" s="7" t="s">
        <v>1917</v>
      </c>
      <c r="V605" s="7" t="s">
        <v>172</v>
      </c>
      <c r="X605" s="2" t="str">
        <f>HYPERLINK("https://hsdes.intel.com/resource/14013184489","14013184489")</f>
        <v>14013184489</v>
      </c>
    </row>
    <row r="606" spans="1:24" x14ac:dyDescent="0.3">
      <c r="A606" s="2" t="str">
        <f>HYPERLINK("https://hsdes.intel.com/resource/14013185484","14013185484")</f>
        <v>14013185484</v>
      </c>
      <c r="B606" s="7" t="s">
        <v>1918</v>
      </c>
      <c r="C606" s="7" t="s">
        <v>2018</v>
      </c>
      <c r="D606" s="7" t="s">
        <v>30</v>
      </c>
      <c r="E606" s="7" t="s">
        <v>19</v>
      </c>
      <c r="F606" s="7" t="s">
        <v>20</v>
      </c>
      <c r="G606" s="28" t="s">
        <v>2027</v>
      </c>
      <c r="J606" s="7" t="s">
        <v>1974</v>
      </c>
      <c r="M606" s="6">
        <v>44781</v>
      </c>
      <c r="O606" s="7" t="s">
        <v>32</v>
      </c>
      <c r="P606" s="7" t="s">
        <v>186</v>
      </c>
      <c r="Q606" s="7" t="s">
        <v>34</v>
      </c>
      <c r="R606" s="7" t="s">
        <v>147</v>
      </c>
      <c r="S606" s="7" t="s">
        <v>1919</v>
      </c>
      <c r="T606" s="7" t="s">
        <v>1892</v>
      </c>
      <c r="U606" s="7" t="s">
        <v>1920</v>
      </c>
      <c r="V606" s="7" t="s">
        <v>172</v>
      </c>
      <c r="X606" s="2" t="str">
        <f>HYPERLINK("https://hsdes.intel.com/resource/14013185484","14013185484")</f>
        <v>14013185484</v>
      </c>
    </row>
    <row r="607" spans="1:24" x14ac:dyDescent="0.3">
      <c r="A607" s="2" t="str">
        <f>HYPERLINK("https://hsdes.intel.com/resource/14013174685","14013174685")</f>
        <v>14013174685</v>
      </c>
      <c r="B607" s="7" t="s">
        <v>1921</v>
      </c>
      <c r="C607" s="7" t="s">
        <v>2017</v>
      </c>
      <c r="D607" s="7" t="s">
        <v>1890</v>
      </c>
      <c r="E607" s="7" t="s">
        <v>19</v>
      </c>
      <c r="F607" s="7" t="s">
        <v>20</v>
      </c>
      <c r="G607" s="28" t="s">
        <v>2027</v>
      </c>
      <c r="J607" s="7" t="s">
        <v>2006</v>
      </c>
      <c r="M607" s="6">
        <v>44783</v>
      </c>
      <c r="O607" s="7" t="s">
        <v>32</v>
      </c>
      <c r="P607" s="7" t="s">
        <v>186</v>
      </c>
      <c r="Q607" s="7" t="s">
        <v>34</v>
      </c>
      <c r="R607" s="7" t="s">
        <v>147</v>
      </c>
      <c r="S607" s="7" t="s">
        <v>1922</v>
      </c>
      <c r="T607" s="7" t="s">
        <v>205</v>
      </c>
      <c r="U607" s="7" t="s">
        <v>1923</v>
      </c>
      <c r="V607" s="7" t="s">
        <v>189</v>
      </c>
      <c r="X607" s="2" t="str">
        <f>HYPERLINK("https://hsdes.intel.com/resource/14013174685","14013174685")</f>
        <v>14013174685</v>
      </c>
    </row>
    <row r="608" spans="1:24" x14ac:dyDescent="0.3">
      <c r="A608" s="2" t="str">
        <f>HYPERLINK("https://hsdes.intel.com/resource/14013177652","14013177652")</f>
        <v>14013177652</v>
      </c>
      <c r="B608" s="7" t="s">
        <v>1924</v>
      </c>
      <c r="C608" s="7" t="s">
        <v>2017</v>
      </c>
      <c r="D608" s="7" t="s">
        <v>174</v>
      </c>
      <c r="E608" s="7" t="s">
        <v>19</v>
      </c>
      <c r="F608" s="7" t="s">
        <v>20</v>
      </c>
      <c r="G608" s="28" t="s">
        <v>2027</v>
      </c>
      <c r="J608" s="7" t="s">
        <v>31</v>
      </c>
      <c r="M608" s="6"/>
      <c r="O608" s="7" t="s">
        <v>32</v>
      </c>
      <c r="P608" s="7" t="s">
        <v>175</v>
      </c>
      <c r="Q608" s="7" t="s">
        <v>34</v>
      </c>
      <c r="R608" s="7" t="s">
        <v>147</v>
      </c>
      <c r="S608" s="7" t="s">
        <v>1925</v>
      </c>
      <c r="T608" s="7" t="s">
        <v>205</v>
      </c>
      <c r="U608" s="7" t="s">
        <v>1926</v>
      </c>
      <c r="V608" s="7" t="s">
        <v>179</v>
      </c>
      <c r="X608" s="2" t="str">
        <f>HYPERLINK("https://hsdes.intel.com/resource/14013177652","14013177652")</f>
        <v>14013177652</v>
      </c>
    </row>
    <row r="609" spans="1:24" x14ac:dyDescent="0.3">
      <c r="A609" s="2" t="str">
        <f>HYPERLINK("https://hsdes.intel.com/resource/14013185720","14013185720")</f>
        <v>14013185720</v>
      </c>
      <c r="B609" s="7" t="s">
        <v>1927</v>
      </c>
      <c r="C609" s="7" t="s">
        <v>2017</v>
      </c>
      <c r="D609" s="7" t="s">
        <v>138</v>
      </c>
      <c r="E609" s="7" t="s">
        <v>19</v>
      </c>
      <c r="F609" s="7" t="s">
        <v>20</v>
      </c>
      <c r="G609" s="28" t="s">
        <v>2027</v>
      </c>
      <c r="J609" s="7" t="s">
        <v>31</v>
      </c>
      <c r="M609" s="6"/>
      <c r="O609" s="7" t="s">
        <v>32</v>
      </c>
      <c r="P609" s="7" t="s">
        <v>78</v>
      </c>
      <c r="Q609" s="7" t="s">
        <v>34</v>
      </c>
      <c r="R609" s="7" t="s">
        <v>24</v>
      </c>
      <c r="S609" s="7" t="s">
        <v>1928</v>
      </c>
      <c r="T609" s="7" t="s">
        <v>446</v>
      </c>
      <c r="U609" s="7" t="s">
        <v>1929</v>
      </c>
      <c r="V609" s="7" t="s">
        <v>81</v>
      </c>
      <c r="X609" s="2" t="str">
        <f>HYPERLINK("https://hsdes.intel.com/resource/14013185720","14013185720")</f>
        <v>14013185720</v>
      </c>
    </row>
    <row r="610" spans="1:24" x14ac:dyDescent="0.3">
      <c r="A610" s="2" t="str">
        <f>HYPERLINK("https://hsdes.intel.com/resource/22011834519","22011834519")</f>
        <v>22011834519</v>
      </c>
      <c r="B610" s="7" t="s">
        <v>1930</v>
      </c>
      <c r="C610" s="7" t="s">
        <v>2017</v>
      </c>
      <c r="D610" s="7" t="s">
        <v>138</v>
      </c>
      <c r="E610" s="7" t="s">
        <v>19</v>
      </c>
      <c r="F610" s="7" t="s">
        <v>20</v>
      </c>
      <c r="G610" s="28" t="s">
        <v>2027</v>
      </c>
      <c r="J610" s="7" t="s">
        <v>31</v>
      </c>
      <c r="M610" s="6"/>
      <c r="O610" s="7" t="s">
        <v>32</v>
      </c>
      <c r="P610" s="7" t="s">
        <v>78</v>
      </c>
      <c r="Q610" s="7" t="s">
        <v>34</v>
      </c>
      <c r="R610" s="7" t="s">
        <v>24</v>
      </c>
      <c r="S610" s="7" t="s">
        <v>1931</v>
      </c>
      <c r="T610" s="7" t="s">
        <v>446</v>
      </c>
      <c r="U610" s="7" t="s">
        <v>1932</v>
      </c>
      <c r="V610" s="7" t="s">
        <v>142</v>
      </c>
      <c r="X610" s="2" t="str">
        <f>HYPERLINK("https://hsdes.intel.com/resource/22011834519","22011834519")</f>
        <v>22011834519</v>
      </c>
    </row>
    <row r="611" spans="1:24" x14ac:dyDescent="0.3">
      <c r="A611" s="5" t="str">
        <f>HYPERLINK("https://hsdes.intel.com/resource/14013161809","14013161809")</f>
        <v>14013161809</v>
      </c>
      <c r="B611" s="7" t="s">
        <v>1933</v>
      </c>
      <c r="C611" s="7" t="s">
        <v>2017</v>
      </c>
      <c r="D611" s="7" t="s">
        <v>267</v>
      </c>
      <c r="E611" s="7" t="s">
        <v>19</v>
      </c>
      <c r="F611" s="7" t="s">
        <v>20</v>
      </c>
      <c r="G611" s="28" t="s">
        <v>2027</v>
      </c>
      <c r="J611" s="7" t="s">
        <v>2006</v>
      </c>
      <c r="M611" s="6">
        <v>44785</v>
      </c>
      <c r="O611" s="7" t="s">
        <v>21</v>
      </c>
      <c r="P611" s="7" t="s">
        <v>33</v>
      </c>
      <c r="Q611" s="7" t="s">
        <v>34</v>
      </c>
      <c r="R611" s="7" t="s">
        <v>24</v>
      </c>
      <c r="S611" s="7" t="s">
        <v>1934</v>
      </c>
      <c r="T611" s="7" t="s">
        <v>244</v>
      </c>
      <c r="U611" s="7" t="s">
        <v>1935</v>
      </c>
      <c r="V611" s="7" t="s">
        <v>270</v>
      </c>
      <c r="X611" s="2" t="str">
        <f>HYPERLINK("https://hsdes.intel.com/resource/14013161809","14013161809")</f>
        <v>14013161809</v>
      </c>
    </row>
    <row r="612" spans="1:24" x14ac:dyDescent="0.3">
      <c r="A612" s="5" t="str">
        <f>HYPERLINK("https://hsdes.intel.com/resource/16012641932","16012641932")</f>
        <v>16012641932</v>
      </c>
      <c r="B612" s="7" t="s">
        <v>1936</v>
      </c>
      <c r="C612" s="7" t="s">
        <v>2017</v>
      </c>
      <c r="D612" s="7" t="s">
        <v>1937</v>
      </c>
      <c r="E612" s="7" t="s">
        <v>19</v>
      </c>
      <c r="F612" s="7" t="s">
        <v>20</v>
      </c>
      <c r="G612" s="28" t="s">
        <v>2027</v>
      </c>
      <c r="J612" s="7" t="s">
        <v>2006</v>
      </c>
      <c r="L612" s="7" t="s">
        <v>1938</v>
      </c>
      <c r="M612" s="6">
        <v>44785</v>
      </c>
      <c r="O612" s="7" t="s">
        <v>32</v>
      </c>
      <c r="P612" s="7" t="s">
        <v>33</v>
      </c>
      <c r="Q612" s="7" t="s">
        <v>34</v>
      </c>
      <c r="R612" s="7" t="s">
        <v>24</v>
      </c>
      <c r="S612" s="7" t="s">
        <v>1939</v>
      </c>
      <c r="T612" s="7" t="s">
        <v>205</v>
      </c>
      <c r="U612" s="7" t="s">
        <v>1940</v>
      </c>
      <c r="V612" s="7" t="s">
        <v>270</v>
      </c>
      <c r="X612" s="2" t="str">
        <f>HYPERLINK("https://hsdes.intel.com/resource/16012641932","16012641932")</f>
        <v>16012641932</v>
      </c>
    </row>
    <row r="613" spans="1:24" x14ac:dyDescent="0.3">
      <c r="A613" s="2" t="str">
        <f>HYPERLINK("https://hsdes.intel.com/resource/14013179437","14013179437")</f>
        <v>14013179437</v>
      </c>
      <c r="B613" s="7" t="s">
        <v>1941</v>
      </c>
      <c r="C613" s="7" t="s">
        <v>2017</v>
      </c>
      <c r="D613" s="7" t="s">
        <v>267</v>
      </c>
      <c r="E613" s="7" t="s">
        <v>19</v>
      </c>
      <c r="F613" s="7" t="s">
        <v>20</v>
      </c>
      <c r="G613" s="28" t="s">
        <v>2027</v>
      </c>
      <c r="J613" s="7" t="s">
        <v>2006</v>
      </c>
      <c r="M613" s="6">
        <v>44785</v>
      </c>
      <c r="O613" s="7" t="s">
        <v>104</v>
      </c>
      <c r="P613" s="7" t="s">
        <v>33</v>
      </c>
      <c r="Q613" s="7" t="s">
        <v>34</v>
      </c>
      <c r="R613" s="7" t="s">
        <v>24</v>
      </c>
      <c r="S613" s="7" t="s">
        <v>1942</v>
      </c>
      <c r="T613" s="7" t="s">
        <v>205</v>
      </c>
      <c r="U613" s="7" t="s">
        <v>1943</v>
      </c>
      <c r="V613" s="7" t="s">
        <v>270</v>
      </c>
      <c r="X613" s="2" t="str">
        <f>HYPERLINK("https://hsdes.intel.com/resource/14013179437","14013179437")</f>
        <v>14013179437</v>
      </c>
    </row>
    <row r="614" spans="1:24" x14ac:dyDescent="0.3">
      <c r="A614" s="2" t="str">
        <f>HYPERLINK("https://hsdes.intel.com/resource/14013179100","14013179100")</f>
        <v>14013179100</v>
      </c>
      <c r="B614" s="7" t="s">
        <v>1944</v>
      </c>
      <c r="C614" s="7" t="s">
        <v>2017</v>
      </c>
      <c r="D614" s="7" t="s">
        <v>267</v>
      </c>
      <c r="E614" s="7" t="s">
        <v>19</v>
      </c>
      <c r="F614" s="7" t="s">
        <v>20</v>
      </c>
      <c r="G614" s="28" t="s">
        <v>2027</v>
      </c>
      <c r="J614" s="7" t="s">
        <v>2023</v>
      </c>
      <c r="L614" s="7" t="s">
        <v>1977</v>
      </c>
      <c r="M614" s="6">
        <v>44785</v>
      </c>
      <c r="O614" s="7" t="s">
        <v>21</v>
      </c>
      <c r="P614" s="7" t="s">
        <v>33</v>
      </c>
      <c r="Q614" s="7" t="s">
        <v>34</v>
      </c>
      <c r="R614" s="7" t="s">
        <v>24</v>
      </c>
      <c r="S614" s="7" t="s">
        <v>1945</v>
      </c>
      <c r="T614" s="7" t="s">
        <v>506</v>
      </c>
      <c r="U614" s="7" t="s">
        <v>1946</v>
      </c>
      <c r="V614" s="7" t="s">
        <v>270</v>
      </c>
      <c r="X614" s="2" t="str">
        <f>HYPERLINK("https://hsdes.intel.com/resource/14013179100","14013179100")</f>
        <v>14013179100</v>
      </c>
    </row>
    <row r="615" spans="1:24" x14ac:dyDescent="0.3">
      <c r="A615" s="2" t="str">
        <f>HYPERLINK("https://hsdes.intel.com/resource/14013160707","14013160707")</f>
        <v>14013160707</v>
      </c>
      <c r="B615" s="7" t="s">
        <v>1947</v>
      </c>
      <c r="C615" s="7" t="s">
        <v>2017</v>
      </c>
      <c r="D615" s="7" t="s">
        <v>267</v>
      </c>
      <c r="E615" s="7" t="s">
        <v>19</v>
      </c>
      <c r="F615" s="7" t="s">
        <v>20</v>
      </c>
      <c r="G615" s="28" t="s">
        <v>2027</v>
      </c>
      <c r="J615" s="7" t="s">
        <v>2023</v>
      </c>
      <c r="L615" s="7" t="s">
        <v>1977</v>
      </c>
      <c r="M615" s="6">
        <v>44785</v>
      </c>
      <c r="O615" s="7" t="s">
        <v>32</v>
      </c>
      <c r="P615" s="7" t="s">
        <v>33</v>
      </c>
      <c r="Q615" s="7" t="s">
        <v>34</v>
      </c>
      <c r="R615" s="7" t="s">
        <v>24</v>
      </c>
      <c r="S615" s="7" t="s">
        <v>1948</v>
      </c>
      <c r="T615" s="7" t="s">
        <v>326</v>
      </c>
      <c r="U615" s="7" t="s">
        <v>1949</v>
      </c>
      <c r="V615" s="7" t="s">
        <v>270</v>
      </c>
      <c r="X615" s="2" t="str">
        <f>HYPERLINK("https://hsdes.intel.com/resource/14013160707","14013160707")</f>
        <v>14013160707</v>
      </c>
    </row>
    <row r="616" spans="1:24" x14ac:dyDescent="0.3">
      <c r="A616" s="2" t="str">
        <f>HYPERLINK("https://hsdes.intel.com/resource/14013179092","14013179092")</f>
        <v>14013179092</v>
      </c>
      <c r="B616" s="7" t="s">
        <v>1950</v>
      </c>
      <c r="C616" s="7" t="s">
        <v>2017</v>
      </c>
      <c r="D616" s="7" t="s">
        <v>267</v>
      </c>
      <c r="E616" s="7" t="s">
        <v>19</v>
      </c>
      <c r="F616" s="7" t="s">
        <v>20</v>
      </c>
      <c r="G616" s="28" t="s">
        <v>2027</v>
      </c>
      <c r="J616" s="7" t="s">
        <v>2023</v>
      </c>
      <c r="L616" s="7" t="s">
        <v>1977</v>
      </c>
      <c r="M616" s="6">
        <v>44785</v>
      </c>
      <c r="O616" s="7" t="s">
        <v>21</v>
      </c>
      <c r="P616" s="7" t="s">
        <v>33</v>
      </c>
      <c r="Q616" s="7" t="s">
        <v>34</v>
      </c>
      <c r="R616" s="7" t="s">
        <v>24</v>
      </c>
      <c r="S616" s="7" t="s">
        <v>1951</v>
      </c>
      <c r="T616" s="7" t="s">
        <v>506</v>
      </c>
      <c r="U616" s="7" t="s">
        <v>1952</v>
      </c>
      <c r="V616" s="7" t="s">
        <v>270</v>
      </c>
      <c r="X616" s="2" t="str">
        <f>HYPERLINK("https://hsdes.intel.com/resource/14013179092","14013179092")</f>
        <v>14013179092</v>
      </c>
    </row>
    <row r="617" spans="1:24" x14ac:dyDescent="0.3">
      <c r="A617" s="5" t="str">
        <f>HYPERLINK("https://hsdes.intel.com/resource/14013176011","14013176011")</f>
        <v>14013176011</v>
      </c>
      <c r="B617" s="7" t="s">
        <v>1953</v>
      </c>
      <c r="C617" s="7" t="s">
        <v>2018</v>
      </c>
      <c r="D617" s="7" t="s">
        <v>18</v>
      </c>
      <c r="E617" s="7" t="s">
        <v>19</v>
      </c>
      <c r="F617" s="7" t="s">
        <v>20</v>
      </c>
      <c r="G617" s="28" t="s">
        <v>2027</v>
      </c>
      <c r="J617" s="7" t="s">
        <v>1974</v>
      </c>
      <c r="M617" s="6">
        <v>44781</v>
      </c>
      <c r="O617" s="7" t="s">
        <v>104</v>
      </c>
      <c r="P617" s="7" t="s">
        <v>22</v>
      </c>
      <c r="Q617" s="7" t="s">
        <v>34</v>
      </c>
      <c r="R617" s="7" t="s">
        <v>24</v>
      </c>
      <c r="S617" s="7" t="s">
        <v>1954</v>
      </c>
      <c r="T617" s="7" t="s">
        <v>106</v>
      </c>
      <c r="U617" s="7" t="s">
        <v>1955</v>
      </c>
      <c r="V617" s="7" t="s">
        <v>28</v>
      </c>
      <c r="X617" s="2" t="str">
        <f>HYPERLINK("https://hsdes.intel.com/resource/14013176011","14013176011")</f>
        <v>14013176011</v>
      </c>
    </row>
    <row r="618" spans="1:24" x14ac:dyDescent="0.3">
      <c r="A618" s="2" t="str">
        <f>HYPERLINK("https://hsdes.intel.com/resource/14013161615","14013161615")</f>
        <v>14013161615</v>
      </c>
      <c r="B618" s="7" t="s">
        <v>1956</v>
      </c>
      <c r="C618" s="7" t="s">
        <v>2017</v>
      </c>
      <c r="D618" s="7" t="s">
        <v>138</v>
      </c>
      <c r="E618" s="7" t="s">
        <v>19</v>
      </c>
      <c r="F618" s="7" t="s">
        <v>20</v>
      </c>
      <c r="G618" s="28" t="s">
        <v>2027</v>
      </c>
      <c r="J618" s="7" t="s">
        <v>31</v>
      </c>
      <c r="M618" s="6"/>
      <c r="O618" s="7" t="s">
        <v>32</v>
      </c>
      <c r="P618" s="7" t="s">
        <v>78</v>
      </c>
      <c r="Q618" s="7" t="s">
        <v>34</v>
      </c>
      <c r="R618" s="7" t="s">
        <v>24</v>
      </c>
      <c r="S618" s="7" t="s">
        <v>1957</v>
      </c>
      <c r="T618" s="7" t="s">
        <v>244</v>
      </c>
      <c r="U618" s="7" t="s">
        <v>1958</v>
      </c>
      <c r="V618" s="7" t="s">
        <v>142</v>
      </c>
      <c r="X618" s="2" t="str">
        <f>HYPERLINK("https://hsdes.intel.com/resource/14013161615","14013161615")</f>
        <v>14013161615</v>
      </c>
    </row>
    <row r="619" spans="1:24" x14ac:dyDescent="0.3">
      <c r="A619" s="5" t="str">
        <f>HYPERLINK("https://hsdes.intel.com/resource/14013161931","14013161931")</f>
        <v>14013161931</v>
      </c>
      <c r="B619" s="7" t="s">
        <v>1959</v>
      </c>
      <c r="C619" s="7" t="s">
        <v>2018</v>
      </c>
      <c r="D619" s="7" t="s">
        <v>138</v>
      </c>
      <c r="E619" s="7" t="s">
        <v>19</v>
      </c>
      <c r="F619" s="7" t="s">
        <v>20</v>
      </c>
      <c r="G619" s="28" t="s">
        <v>2027</v>
      </c>
      <c r="J619" s="7" t="s">
        <v>2006</v>
      </c>
      <c r="M619" s="6">
        <v>44785</v>
      </c>
      <c r="O619" s="7" t="s">
        <v>32</v>
      </c>
      <c r="P619" s="7" t="s">
        <v>78</v>
      </c>
      <c r="Q619" s="7" t="s">
        <v>34</v>
      </c>
      <c r="R619" s="7" t="s">
        <v>24</v>
      </c>
      <c r="S619" s="7" t="s">
        <v>1960</v>
      </c>
      <c r="T619" s="7" t="s">
        <v>244</v>
      </c>
      <c r="U619" s="7" t="s">
        <v>1961</v>
      </c>
      <c r="V619" s="7" t="s">
        <v>142</v>
      </c>
      <c r="X619" s="2" t="str">
        <f>HYPERLINK("https://hsdes.intel.com/resource/14013161931","14013161931")</f>
        <v>14013161931</v>
      </c>
    </row>
    <row r="620" spans="1:24" x14ac:dyDescent="0.3">
      <c r="A620" s="2" t="str">
        <f>HYPERLINK("https://hsdes.intel.com/resource/22011834285","22011834285")</f>
        <v>22011834285</v>
      </c>
      <c r="B620" s="7" t="s">
        <v>1962</v>
      </c>
      <c r="C620" s="7" t="s">
        <v>2017</v>
      </c>
      <c r="D620" s="7" t="s">
        <v>138</v>
      </c>
      <c r="E620" s="7" t="s">
        <v>19</v>
      </c>
      <c r="F620" s="7" t="s">
        <v>20</v>
      </c>
      <c r="G620" s="28" t="s">
        <v>2027</v>
      </c>
      <c r="J620" s="7" t="s">
        <v>31</v>
      </c>
      <c r="M620" s="6"/>
      <c r="O620" s="7" t="s">
        <v>32</v>
      </c>
      <c r="P620" s="7" t="s">
        <v>78</v>
      </c>
      <c r="Q620" s="7" t="s">
        <v>34</v>
      </c>
      <c r="R620" s="7" t="s">
        <v>24</v>
      </c>
      <c r="S620" s="7" t="s">
        <v>1963</v>
      </c>
      <c r="T620" s="7" t="s">
        <v>244</v>
      </c>
      <c r="U620" s="7" t="s">
        <v>1964</v>
      </c>
      <c r="V620" s="7" t="s">
        <v>142</v>
      </c>
      <c r="X620" s="2" t="str">
        <f>HYPERLINK("https://hsdes.intel.com/resource/22011834285","22011834285")</f>
        <v>22011834285</v>
      </c>
    </row>
    <row r="621" spans="1:24" x14ac:dyDescent="0.3">
      <c r="A621" s="2" t="str">
        <f>HYPERLINK("https://hsdes.intel.com/resource/14013173999","14013173999")</f>
        <v>14013173999</v>
      </c>
      <c r="B621" s="7" t="s">
        <v>1965</v>
      </c>
      <c r="C621" s="7" t="s">
        <v>2018</v>
      </c>
      <c r="D621" s="7" t="s">
        <v>401</v>
      </c>
      <c r="E621" s="7" t="s">
        <v>19</v>
      </c>
      <c r="F621" s="7" t="s">
        <v>20</v>
      </c>
      <c r="G621" s="28" t="s">
        <v>2027</v>
      </c>
      <c r="J621" s="7" t="s">
        <v>2006</v>
      </c>
      <c r="L621" s="10"/>
      <c r="M621" s="6">
        <v>44781</v>
      </c>
      <c r="N621" s="6"/>
      <c r="O621" s="7" t="s">
        <v>104</v>
      </c>
      <c r="P621" s="7" t="s">
        <v>186</v>
      </c>
      <c r="Q621" s="7" t="s">
        <v>34</v>
      </c>
      <c r="R621" s="7" t="s">
        <v>147</v>
      </c>
      <c r="S621" s="7" t="s">
        <v>1966</v>
      </c>
      <c r="T621" s="7" t="s">
        <v>244</v>
      </c>
      <c r="U621" s="7" t="s">
        <v>1967</v>
      </c>
      <c r="V621" s="7" t="s">
        <v>189</v>
      </c>
      <c r="X621" s="2" t="str">
        <f>HYPERLINK("https://hsdes.intel.com/resource/14013173999","14013173999")</f>
        <v>14013173999</v>
      </c>
    </row>
    <row r="622" spans="1:24" x14ac:dyDescent="0.3">
      <c r="A622" s="2" t="str">
        <f>HYPERLINK("https://hsdes.intel.com/resource/14013174040","14013174040")</f>
        <v>14013174040</v>
      </c>
      <c r="B622" s="7" t="s">
        <v>1968</v>
      </c>
      <c r="C622" s="7" t="s">
        <v>2018</v>
      </c>
      <c r="D622" s="7" t="s">
        <v>247</v>
      </c>
      <c r="E622" s="7" t="s">
        <v>19</v>
      </c>
      <c r="F622" s="7" t="s">
        <v>20</v>
      </c>
      <c r="G622" s="28" t="s">
        <v>2027</v>
      </c>
      <c r="J622" s="7" t="s">
        <v>2006</v>
      </c>
      <c r="M622" s="6">
        <v>44785</v>
      </c>
      <c r="O622" s="7" t="s">
        <v>32</v>
      </c>
      <c r="P622" s="7" t="s">
        <v>186</v>
      </c>
      <c r="Q622" s="7" t="s">
        <v>34</v>
      </c>
      <c r="R622" s="7" t="s">
        <v>147</v>
      </c>
      <c r="S622" s="7" t="s">
        <v>1969</v>
      </c>
      <c r="T622" s="7" t="s">
        <v>177</v>
      </c>
      <c r="U622" s="7" t="s">
        <v>1970</v>
      </c>
      <c r="V622" s="7" t="s">
        <v>189</v>
      </c>
      <c r="X622" s="2" t="str">
        <f>HYPERLINK("https://hsdes.intel.com/resource/14013174040","14013174040")</f>
        <v>14013174040</v>
      </c>
    </row>
    <row r="623" spans="1:24" x14ac:dyDescent="0.3">
      <c r="A623" s="2" t="str">
        <f>HYPERLINK("https://hsdes.intel.com/resource/14013182458","14013182458")</f>
        <v>14013182458</v>
      </c>
      <c r="B623" s="7" t="s">
        <v>1971</v>
      </c>
      <c r="C623" s="7" t="s">
        <v>2018</v>
      </c>
      <c r="D623" s="7" t="s">
        <v>138</v>
      </c>
      <c r="E623" s="7" t="s">
        <v>19</v>
      </c>
      <c r="F623" s="7" t="s">
        <v>20</v>
      </c>
      <c r="G623" s="28" t="s">
        <v>2027</v>
      </c>
      <c r="J623" s="7" t="s">
        <v>2006</v>
      </c>
      <c r="M623" s="6">
        <v>44784</v>
      </c>
      <c r="O623" s="7" t="s">
        <v>32</v>
      </c>
      <c r="P623" s="7" t="s">
        <v>22</v>
      </c>
      <c r="Q623" s="7" t="s">
        <v>34</v>
      </c>
      <c r="R623" s="7" t="s">
        <v>24</v>
      </c>
      <c r="S623" s="7" t="s">
        <v>1972</v>
      </c>
      <c r="T623" s="7" t="s">
        <v>170</v>
      </c>
      <c r="U623" s="7" t="s">
        <v>1973</v>
      </c>
      <c r="V623" s="7" t="s">
        <v>172</v>
      </c>
      <c r="X623" s="2" t="str">
        <f>HYPERLINK("https://hsdes.intel.com/resource/14013182458","14013182458")</f>
        <v>14013182458</v>
      </c>
    </row>
    <row r="624" spans="1:24" x14ac:dyDescent="0.3">
      <c r="M624" s="6"/>
    </row>
    <row r="1048576" spans="13:13" x14ac:dyDescent="0.3">
      <c r="M1048576" s="7" t="s">
        <v>2022</v>
      </c>
    </row>
  </sheetData>
  <autoFilter ref="A1:V623" xr:uid="{0E18EF01-585C-4FBD-BD68-21321CC12E80}"/>
  <customSheetViews>
    <customSheetView guid="{5229D2ED-8920-475D-9940-762E8742FED3}" scale="96" showAutoFilter="1" hiddenColumns="1" topLeftCell="A651">
      <selection activeCell="B2" sqref="B2:B677"/>
      <pageMargins left="0.7" right="0.7" top="0.75" bottom="0.75" header="0.3" footer="0.3"/>
      <pageSetup orientation="portrait" r:id="rId1"/>
      <autoFilter ref="L15:M30" xr:uid="{E4238331-30CA-4301-AF05-768C397B73CA}"/>
    </customSheetView>
    <customSheetView guid="{FDA3B1A3-2C76-4BC6-B707-CA925330FB51}" filter="1" showAutoFilter="1" hiddenColumns="1" topLeftCell="B1">
      <selection activeCell="C418" sqref="C418"/>
      <pageMargins left="0.7" right="0.7" top="0.75" bottom="0.75" header="0.3" footer="0.3"/>
      <pageSetup orientation="portrait" r:id="rId2"/>
      <autoFilter ref="A1:V623" xr:uid="{4BD66B6B-62B6-425A-9002-4A69E303101A}">
        <filterColumn colId="8">
          <filters blank="1"/>
        </filterColumn>
      </autoFilter>
    </customSheetView>
    <customSheetView guid="{0E284557-D30A-4452-AA3B-2DD98A7F5D93}" scale="92" filter="1" showAutoFilter="1" hiddenColumns="1" topLeftCell="B1">
      <selection activeCell="C92" sqref="C92"/>
      <pageMargins left="0.7" right="0.7" top="0.75" bottom="0.75" header="0.3" footer="0.3"/>
      <pageSetup orientation="portrait" r:id="rId3"/>
      <autoFilter ref="A1:V623" xr:uid="{883E9DFC-7B5B-4080-A871-A1A4B8D9D785}">
        <filterColumn colId="8">
          <filters blank="1"/>
        </filterColumn>
        <filterColumn colId="9">
          <filters blank="1">
            <filter val="Gopika"/>
            <filter val="Harshitha"/>
            <filter val="Priyanka"/>
            <filter val="savitha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4"/>
      <autoFilter ref="A1:V623" xr:uid="{469449C9-38DB-4498-B166-676D10F91BEE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878F2AF2-9359-4231-8882-2D2BC53D5577}" scale="96" filter="1" showAutoFilter="1" hiddenColumns="1" topLeftCell="B1">
      <selection activeCell="C645" sqref="C645"/>
      <pageMargins left="0.7" right="0.7" top="0.75" bottom="0.75" header="0.3" footer="0.3"/>
      <pageSetup orientation="portrait" r:id="rId5"/>
      <autoFilter ref="I1:P624" xr:uid="{990CC612-815E-4094-92E2-C983CD02487D}">
        <filterColumn colId="0">
          <filters>
            <filter val="passed"/>
          </filters>
        </filterColumn>
        <filterColumn colId="1">
          <filters>
            <filter val="Sindhura"/>
          </filters>
        </filterColumn>
        <filterColumn colId="3">
          <filters blank="1">
            <filter val="Checked with D3 unknown"/>
          </filters>
        </filterColumn>
        <filterColumn colId="4">
          <filters>
            <dateGroupItem year="2022" month="5" day="24" dateTimeGrouping="day"/>
          </filters>
        </filterColumn>
      </autoFilter>
    </customSheetView>
    <customSheetView guid="{5F40A1B4-D66A-4014-8CB7-BEA65665EBD0}" scale="92" filter="1" showAutoFilter="1" hiddenColumns="1">
      <selection activeCell="C627" sqref="C627"/>
      <pageMargins left="0.7" right="0.7" top="0.75" bottom="0.75" header="0.3" footer="0.3"/>
      <pageSetup orientation="portrait" r:id="rId6"/>
      <autoFilter ref="A1:V623" xr:uid="{1316661B-9B7E-4E4B-AED8-66700EE21916}">
        <filterColumn colId="9">
          <filters>
            <filter val="Shwetha"/>
          </filters>
        </filterColumn>
      </autoFilter>
    </customSheetView>
    <customSheetView guid="{EECEBB57-22C1-4802-9E51-F8484C5B54CB}" scale="92" showPageBreaks="1" filter="1" showAutoFilter="1" hiddenColumns="1" topLeftCell="C1">
      <selection activeCell="C642" sqref="C642"/>
      <pageMargins left="0.7" right="0.7" top="0.75" bottom="0.75" header="0.3" footer="0.3"/>
      <pageSetup orientation="portrait" r:id="rId7"/>
      <autoFilter ref="A1:V623" xr:uid="{028E8DAD-5759-4F3A-8890-9760918376FC}">
        <filterColumn colId="9">
          <filters>
            <filter val="Aiswarya"/>
          </filters>
        </filterColumn>
        <filterColumn colId="12">
          <filters blank="1"/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8"/>
      <autoFilter ref="A1:V623" xr:uid="{3EC6B54B-3BD1-4F91-AD82-ADFA45D8BD1E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9"/>
      <autoFilter ref="A1:V623" xr:uid="{C7E2177F-8E32-4236-9A51-B27C38962BF2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10"/>
      <autoFilter ref="A1:V623" xr:uid="{5577415C-E3F0-4B76-9DF3-C2B1300CFBA7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11"/>
      <autoFilter ref="A1:V624" xr:uid="{F9F08935-39EB-450E-927F-55042D4880CE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E918F75E-0689-4737-8892-4BA5FF22256D}" scale="92" filter="1" showAutoFilter="1" hiddenColumns="1">
      <selection activeCell="C8" sqref="C8"/>
      <pageMargins left="0.7" right="0.7" top="0.75" bottom="0.75" header="0.3" footer="0.3"/>
      <pageSetup orientation="portrait" r:id="rId12"/>
      <autoFilter ref="A1:V624" xr:uid="{684A3246-E154-4876-B77E-9CE0757C8687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311E46D8-1A46-4E7A-9A8B-5BF978EF222A}" scale="81" filter="1" showAutoFilter="1" hiddenColumns="1" topLeftCell="B1">
      <selection activeCell="M555" sqref="M555"/>
      <pageMargins left="0.7" right="0.7" top="0.75" bottom="0.75" header="0.3" footer="0.3"/>
      <pageSetup orientation="portrait" r:id="rId13"/>
      <autoFilter ref="A1:V623" xr:uid="{A2996E04-7E2B-415C-B62C-AE3686BA8375}">
        <filterColumn colId="8">
          <filters blank="1"/>
        </filterColumn>
        <filterColumn colId="9">
          <filters>
            <filter val="Gopika"/>
          </filters>
        </filterColumn>
        <filterColumn colId="10">
          <filters blank="1"/>
        </filterColumn>
      </autoFilter>
    </customSheetView>
    <customSheetView guid="{D4F796F6-D3E6-418F-A7A5-1B3B521A9331}" scale="72" filter="1" showAutoFilter="1" hiddenColumns="1" topLeftCell="A210">
      <selection activeCell="C253" sqref="C253"/>
      <pageMargins left="0.7" right="0.7" top="0.75" bottom="0.75" header="0.3" footer="0.3"/>
      <pageSetup orientation="portrait" r:id="rId14"/>
      <autoFilter ref="A1:V623" xr:uid="{AD89E3C3-D1AF-4D1D-8063-FE08F07568DA}">
        <filterColumn colId="8">
          <filters>
            <filter val="passed"/>
          </filters>
        </filterColumn>
        <filterColumn colId="9">
          <filters>
            <filter val="Gopika"/>
          </filters>
        </filterColumn>
      </autoFilter>
    </customSheetView>
  </customSheetViews>
  <conditionalFormatting sqref="B648">
    <cfRule type="duplicateValues" dxfId="4" priority="4"/>
  </conditionalFormatting>
  <conditionalFormatting sqref="B686">
    <cfRule type="duplicateValues" dxfId="3" priority="3"/>
  </conditionalFormatting>
  <conditionalFormatting sqref="B718:B719">
    <cfRule type="duplicateValues" dxfId="2" priority="2"/>
  </conditionalFormatting>
  <conditionalFormatting sqref="B742">
    <cfRule type="duplicateValues" dxfId="1" priority="1"/>
  </conditionalFormatting>
  <conditionalFormatting sqref="A1:A1048576 X1:X1048576">
    <cfRule type="duplicateValues" dxfId="0" priority="6"/>
  </conditionalFormatting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29" t="s">
        <v>1990</v>
      </c>
      <c r="B1" s="30"/>
    </row>
    <row r="2" spans="1:2" x14ac:dyDescent="0.3">
      <c r="A2" s="31" t="s">
        <v>1991</v>
      </c>
      <c r="B2" s="32" t="s">
        <v>1992</v>
      </c>
    </row>
    <row r="3" spans="1:2" x14ac:dyDescent="0.3">
      <c r="A3" s="31" t="s">
        <v>1993</v>
      </c>
      <c r="B3" s="32" t="s">
        <v>1994</v>
      </c>
    </row>
    <row r="4" spans="1:2" x14ac:dyDescent="0.3">
      <c r="A4" s="31" t="s">
        <v>1995</v>
      </c>
      <c r="B4" s="33" t="s">
        <v>2021</v>
      </c>
    </row>
    <row r="5" spans="1:2" x14ac:dyDescent="0.3">
      <c r="A5" s="31" t="s">
        <v>1996</v>
      </c>
      <c r="B5" s="33"/>
    </row>
    <row r="6" spans="1:2" ht="15" x14ac:dyDescent="0.35">
      <c r="A6" s="31" t="s">
        <v>1997</v>
      </c>
      <c r="B6" s="26" t="s">
        <v>2026</v>
      </c>
    </row>
    <row r="7" spans="1:2" x14ac:dyDescent="0.3">
      <c r="A7" s="31" t="s">
        <v>1998</v>
      </c>
      <c r="B7" s="32"/>
    </row>
    <row r="8" spans="1:2" x14ac:dyDescent="0.3">
      <c r="A8" s="31" t="s">
        <v>1999</v>
      </c>
      <c r="B8" s="32"/>
    </row>
    <row r="9" spans="1:2" x14ac:dyDescent="0.3">
      <c r="A9" s="31" t="s">
        <v>2000</v>
      </c>
      <c r="B9" s="32"/>
    </row>
    <row r="10" spans="1:2" x14ac:dyDescent="0.3">
      <c r="A10" s="31" t="s">
        <v>2001</v>
      </c>
      <c r="B10" s="32" t="s">
        <v>2002</v>
      </c>
    </row>
  </sheetData>
  <customSheetViews>
    <customSheetView guid="{5229D2ED-8920-475D-9940-762E8742FED3}">
      <selection activeCell="B6" sqref="B6"/>
      <pageMargins left="0.7" right="0.7" top="0.75" bottom="0.75" header="0.3" footer="0.3"/>
      <pageSetup orientation="portrait" r:id="rId1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2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5F40A1B4-D66A-4014-8CB7-BEA65665EBD0}"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D4F796F6-D3E6-418F-A7A5-1B3B521A9331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2022-12-14T12:24:05Z</dcterms:modified>
</cp:coreProperties>
</file>