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N BIOS Reports\FV\"/>
    </mc:Choice>
  </mc:AlternateContent>
  <xr:revisionPtr revIDLastSave="0" documentId="13_ncr:1_{198A3ADE-E112-437C-A8A9-9218E250A3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Test_Data!$A$1:$P$820</definedName>
    <definedName name="Z_0019D3E2_0AB3_4F29_9288_48FC1D4AA9DF_.wvu.FilterData" localSheetId="0" hidden="1">Test_Data!$A$1:$P$820</definedName>
    <definedName name="Z_016E5E4D_2B3B_41C9_B9B9_6E449C2530F6_.wvu.FilterData" localSheetId="0" hidden="1">Test_Data!$A$1:$O$820</definedName>
    <definedName name="Z_02F1ECF5_D3D9_4464_B8C0_979D2BC31621_.wvu.FilterData" localSheetId="0" hidden="1">Test_Data!$A$1:$T$820</definedName>
    <definedName name="Z_03D3A8E9_9316_472A_9F22_11BBF12EA899_.wvu.Cols" localSheetId="0" hidden="1">Test_Data!$D:$F</definedName>
    <definedName name="Z_03D3A8E9_9316_472A_9F22_11BBF12EA899_.wvu.FilterData" localSheetId="0" hidden="1">Test_Data!$A$1:$O$820</definedName>
    <definedName name="Z_04373AA5_9CF1_4342_80EA_AE1BB468D579_.wvu.FilterData" localSheetId="0" hidden="1">Test_Data!$A$1:$O$820</definedName>
    <definedName name="Z_04D5DBB6_165F_43F5_8EAE_A3FA2629A232_.wvu.FilterData" localSheetId="0" hidden="1">Test_Data!$A$1:$O$820</definedName>
    <definedName name="Z_0717BF95_90FA_4E93_B057_B433A1ADEAB9_.wvu.FilterData" localSheetId="0" hidden="1">Test_Data!$A$1:$O$820</definedName>
    <definedName name="Z_0793341B_F671_4A91_86E0_00D686601C94_.wvu.FilterData" localSheetId="0" hidden="1">Test_Data!$A$1:$O$820</definedName>
    <definedName name="Z_088B0913_A7BD_459B_9A8B_5FA2DF5DF108_.wvu.FilterData" localSheetId="0" hidden="1">Test_Data!$A$1:$O$820</definedName>
    <definedName name="Z_08CC4A9D_CE8D_46E8_9463_715DA187A406_.wvu.FilterData" localSheetId="0" hidden="1">Test_Data!$A$1:$P$820</definedName>
    <definedName name="Z_090FBD51_27B5_4F7C_8039_0D3E6D8C5BE5_.wvu.FilterData" localSheetId="0" hidden="1">Test_Data!$A$1:$P$820</definedName>
    <definedName name="Z_0C2BA5F9_BD13_4D89_A33E_B459A945DF5A_.wvu.FilterData" localSheetId="0" hidden="1">Test_Data!$A$1:$O$820</definedName>
    <definedName name="Z_0F00A398_C848_48A4_9A97_ACA3EB515677_.wvu.FilterData" localSheetId="0" hidden="1">Test_Data!$A$1:$O$820</definedName>
    <definedName name="Z_0F6CB5D4_DD12_4D75_B70B_C8C6044CF8B4_.wvu.FilterData" localSheetId="0" hidden="1">Test_Data!$A$1:$O$820</definedName>
    <definedName name="Z_10273480_569B_4BED_81EF_06840832187E_.wvu.FilterData" localSheetId="0" hidden="1">Test_Data!$A$1:$T$820</definedName>
    <definedName name="Z_113213E7_FD00_4FA9_8F54_B5E8CCE2AA95_.wvu.FilterData" localSheetId="0" hidden="1">Test_Data!$A$1:$P$820</definedName>
    <definedName name="Z_116032C6_B9D5_45F7_8D73_A58C8C3495A2_.wvu.FilterData" localSheetId="0" hidden="1">Test_Data!$A$1:$T$820</definedName>
    <definedName name="Z_116E1FF5_3D45_4477_90AC_6D4AEDC348CD_.wvu.FilterData" localSheetId="0" hidden="1">Test_Data!$A$1:$P$820</definedName>
    <definedName name="Z_11B5EBAD_E3AD_4217_AEC7_0941B5E32AE6_.wvu.FilterData" localSheetId="0" hidden="1">Test_Data!$A$1:$P$820</definedName>
    <definedName name="Z_12C0DCC9_8C1F_4372_BF1A_C221E2A14D2D_.wvu.FilterData" localSheetId="0" hidden="1">Test_Data!$A$1:$P$820</definedName>
    <definedName name="Z_139CC899_8324_48A7_AF09_F2627F05E75A_.wvu.FilterData" localSheetId="0" hidden="1">Test_Data!$A$1:$O$820</definedName>
    <definedName name="Z_151C418C_38F9_4405_954B_2E73968C7E2E_.wvu.FilterData" localSheetId="0" hidden="1">Test_Data!$A$1:$O$820</definedName>
    <definedName name="Z_15BE0DA0_A275_4677_8EB3_2D9AA65AA788_.wvu.FilterData" localSheetId="0" hidden="1">Test_Data!$A$1:$P$820</definedName>
    <definedName name="Z_1647387D_BF4D_45D2_B6C4_CC0DA6F8FFC6_.wvu.FilterData" localSheetId="0" hidden="1">Test_Data!$A$1:$O$820</definedName>
    <definedName name="Z_17E060B7_3C6A_4028_A0A8_BE7857C2FCE4_.wvu.FilterData" localSheetId="0" hidden="1">Test_Data!$A$1:$O$820</definedName>
    <definedName name="Z_194C68D6_A7FF_4E5D_BCE0_3F04A9DEDB80_.wvu.FilterData" localSheetId="0" hidden="1">Test_Data!$A$1:$P$820</definedName>
    <definedName name="Z_194F611C_8C7A_4B5A_830D_0A880EEB1824_.wvu.FilterData" localSheetId="0" hidden="1">Test_Data!$A$1:$P$820</definedName>
    <definedName name="Z_1ACCF78A_B8B4_45E3_A48C_8CCB53791AFF_.wvu.FilterData" localSheetId="0" hidden="1">Test_Data!$A$1:$P$820</definedName>
    <definedName name="Z_1B85FAFD_11E8_44BA_819B_D31749223243_.wvu.FilterData" localSheetId="0" hidden="1">Test_Data!$A$1:$P$820</definedName>
    <definedName name="Z_1D666737_19C0_4A73_B3DF_4BF0067D0717_.wvu.FilterData" localSheetId="0" hidden="1">Test_Data!$A$1:$P$820</definedName>
    <definedName name="Z_1F50465A_BCE0_4007_A1A0_94FC87B79ADA_.wvu.FilterData" localSheetId="0" hidden="1">Test_Data!$A$1:$O$820</definedName>
    <definedName name="Z_2058F6C9_04D6_4300_9C5C_E53638486A41_.wvu.FilterData" localSheetId="0" hidden="1">Test_Data!$A$1:$O$820</definedName>
    <definedName name="Z_20EDCC0F_3067_406C_BC17_6353E65898AB_.wvu.FilterData" localSheetId="0" hidden="1">Test_Data!$A$1:$P$820</definedName>
    <definedName name="Z_212A0D4A_52BD_40D5_8774_37F014C943C4_.wvu.FilterData" localSheetId="0" hidden="1">Test_Data!$A$1:$O$820</definedName>
    <definedName name="Z_2151E688_82F0_445C_9AF8_5CC0B53E792C_.wvu.FilterData" localSheetId="0" hidden="1">Test_Data!$A$1:$O$820</definedName>
    <definedName name="Z_21B7A9F5_656F_4F62_9139_139C00AA43D3_.wvu.FilterData" localSheetId="0" hidden="1">Test_Data!$A$1:$O$820</definedName>
    <definedName name="Z_23DF06F2_88EB_402F_B74E_4E56A2590E5C_.wvu.FilterData" localSheetId="0" hidden="1">Test_Data!$A$1:$O$820</definedName>
    <definedName name="Z_260A3C85_B447_42A9_9477_0E68E17D639C_.wvu.FilterData" localSheetId="0" hidden="1">Test_Data!$A$1:$O$820</definedName>
    <definedName name="Z_28225618_43C4_4C0E_A388_8C6D8622C217_.wvu.FilterData" localSheetId="0" hidden="1">Test_Data!$A$1:$O$820</definedName>
    <definedName name="Z_297895D7_A6DA_4F0F_BF1A_CF129A1A5E0E_.wvu.FilterData" localSheetId="0" hidden="1">Test_Data!$A$1:$O$820</definedName>
    <definedName name="Z_2BABE699_CFE7_4618_91D6_DA432102D0DD_.wvu.FilterData" localSheetId="0" hidden="1">Test_Data!$A$1:$P$820</definedName>
    <definedName name="Z_2C43341F_B541_46C2_91DF_00A533529A2C_.wvu.FilterData" localSheetId="0" hidden="1">Test_Data!$A$1:$O$820</definedName>
    <definedName name="Z_2C5C791C_BE05_4D0C_9219_2E5B340C8567_.wvu.FilterData" localSheetId="0" hidden="1">Test_Data!$A$1:$P$820</definedName>
    <definedName name="Z_2E3639DA_B370_4873_A176_A0954A1DA694_.wvu.FilterData" localSheetId="0" hidden="1">Test_Data!$A$1:$T$820</definedName>
    <definedName name="Z_2F2FED5C_2642_4ADB_964E_490BB3F0532F_.wvu.FilterData" localSheetId="0" hidden="1">Test_Data!$A$1:$T$820</definedName>
    <definedName name="Z_2F4696D3_E927_4924_A499_25F92FA9CDBC_.wvu.Cols" localSheetId="0" hidden="1">Test_Data!$D:$G,Test_Data!$K:$K</definedName>
    <definedName name="Z_2F4696D3_E927_4924_A499_25F92FA9CDBC_.wvu.FilterData" localSheetId="0" hidden="1">Test_Data!$A$1:$P$820</definedName>
    <definedName name="Z_2F78A4BD_5C6C_439C_8B1C_70B50471C778_.wvu.FilterData" localSheetId="0" hidden="1">Test_Data!$A$1:$O$820</definedName>
    <definedName name="Z_2FCA54CF_26A1_4F0C_95D1_89D115568331_.wvu.FilterData" localSheetId="0" hidden="1">Test_Data!$A$1:$P$820</definedName>
    <definedName name="Z_304F0B8F_5896_4380_8DAC_6BA6163A6561_.wvu.Cols" localSheetId="0" hidden="1">Test_Data!$D:$G</definedName>
    <definedName name="Z_304F0B8F_5896_4380_8DAC_6BA6163A6561_.wvu.FilterData" localSheetId="0" hidden="1">Test_Data!$A$1:$P$820</definedName>
    <definedName name="Z_32104F80_FB2E_439B_9BE9_72C7F13D343E_.wvu.FilterData" localSheetId="0" hidden="1">Test_Data!$A$1:$P$820</definedName>
    <definedName name="Z_3235D1D1_55E0_4E5D_B112_ECFD29D3EE8F_.wvu.FilterData" localSheetId="0" hidden="1">Test_Data!$A$1:$P$820</definedName>
    <definedName name="Z_32E30DFE_AB1F_4F01_A307_7195F349F026_.wvu.FilterData" localSheetId="0" hidden="1">Test_Data!$A$1:$O$820</definedName>
    <definedName name="Z_33CB5995_2D52_4A70_9C33_862BD9D05C8B_.wvu.FilterData" localSheetId="0" hidden="1">Test_Data!$A$1:$O$820</definedName>
    <definedName name="Z_33D45792_89F1_48F0_8ED7_32EB1E9C05D5_.wvu.FilterData" localSheetId="0" hidden="1">Test_Data!$A$1:$P$820</definedName>
    <definedName name="Z_341AB15F_AF6B_4CD9_88D0_E66389CB697F_.wvu.FilterData" localSheetId="0" hidden="1">Test_Data!$A$1:$O$820</definedName>
    <definedName name="Z_34FFC1D2_1046_4B1D_A3D5_ECB2EE644145_.wvu.FilterData" localSheetId="0" hidden="1">Test_Data!$A$1:$O$820</definedName>
    <definedName name="Z_355FF911_D310_4AAF_B30B_A478EB29D07D_.wvu.FilterData" localSheetId="0" hidden="1">Test_Data!$A$1:$O$820</definedName>
    <definedName name="Z_363592A4_ABD6_407D_AC8A_8E99B536A346_.wvu.FilterData" localSheetId="0" hidden="1">Test_Data!$A$1:$P$820</definedName>
    <definedName name="Z_373182D0_99A9_4E4A_A989_06C2F08DB9BE_.wvu.FilterData" localSheetId="0" hidden="1">Test_Data!$A$1:$T$820</definedName>
    <definedName name="Z_37DF6BD9_B669_4BBC_B943_8B98986AF5D0_.wvu.FilterData" localSheetId="0" hidden="1">Test_Data!$A$1:$P$820</definedName>
    <definedName name="Z_387BAD3D_D57B_4EA3_BE4D_610297245003_.wvu.FilterData" localSheetId="0" hidden="1">Test_Data!$A$1:$O$820</definedName>
    <definedName name="Z_38A3BB40_561A_4535_AA70_BC09491DE32A_.wvu.FilterData" localSheetId="0" hidden="1">Test_Data!$A$1:$O$820</definedName>
    <definedName name="Z_3BA14CE3_0B57_4214_AD64_B7B96B66CBF2_.wvu.FilterData" localSheetId="0" hidden="1">Test_Data!$A$1:$O$820</definedName>
    <definedName name="Z_3BD69DBD_DC27_4F98_A4C1_78E3BCC6F83F_.wvu.FilterData" localSheetId="0" hidden="1">Test_Data!$A$1:$O$820</definedName>
    <definedName name="Z_3C4A228D_DE87_41B4_973E_033C961013C4_.wvu.FilterData" localSheetId="0" hidden="1">Test_Data!$A$1:$P$820</definedName>
    <definedName name="Z_3E29BB13_94F8_4DAF_8589_95DE96C171F4_.wvu.FilterData" localSheetId="0" hidden="1">Test_Data!$A$1:$O$820</definedName>
    <definedName name="Z_3E5DAF37_5EB5_4A25_836E_273EF22263C7_.wvu.FilterData" localSheetId="0" hidden="1">Test_Data!$A$1:$P$820</definedName>
    <definedName name="Z_3E609C8A_EBA4_469B_B4FA_14AA11CD403F_.wvu.FilterData" localSheetId="0" hidden="1">Test_Data!$A$1:$P$820</definedName>
    <definedName name="Z_3E90A0B2_1B82_4502_862F_9B3C012A59A4_.wvu.FilterData" localSheetId="0" hidden="1">Test_Data!$A$1:$O$820</definedName>
    <definedName name="Z_3F1D784B_0661_416F_9D07_531796DB40AA_.wvu.FilterData" localSheetId="0" hidden="1">Test_Data!$A$1:$P$820</definedName>
    <definedName name="Z_3F4E0B47_82DA_4E02_9C9E_34C2EA8CEB5D_.wvu.FilterData" localSheetId="0" hidden="1">Test_Data!$A$1:$O$820</definedName>
    <definedName name="Z_41808903_8CFD_455A_B7E8_78AEF074B2DE_.wvu.FilterData" localSheetId="0" hidden="1">Test_Data!$A$1:$P$820</definedName>
    <definedName name="Z_42177B43_BB48_4D3D_943C_82D47399DF47_.wvu.FilterData" localSheetId="0" hidden="1">Test_Data!$A$1:$P$820</definedName>
    <definedName name="Z_42750C11_6F90_4F73_BC91_9C23AB154251_.wvu.FilterData" localSheetId="0" hidden="1">Test_Data!$A$1:$T$820</definedName>
    <definedName name="Z_43F43388_BEB5_4FDF_ABA6_82A94EBD4EA0_.wvu.FilterData" localSheetId="0" hidden="1">Test_Data!$A$1:$O$820</definedName>
    <definedName name="Z_4417ED66_D6DC_40D3_B94E_A8C35A3C2353_.wvu.FilterData" localSheetId="0" hidden="1">Test_Data!$A$1:$O$820</definedName>
    <definedName name="Z_442D3225_3416_4589_A1E3_E8426BFBC527_.wvu.Cols" localSheetId="0" hidden="1">Test_Data!$D:$G</definedName>
    <definedName name="Z_442D3225_3416_4589_A1E3_E8426BFBC527_.wvu.FilterData" localSheetId="0" hidden="1">Test_Data!$A$1:$O$820</definedName>
    <definedName name="Z_449226CE_4D42_49B9_9F17_36A99C1D8FA4_.wvu.FilterData" localSheetId="0" hidden="1">Test_Data!$A$1:$O$820</definedName>
    <definedName name="Z_466337A4_7472_4796_AD8C_5B062D0B1453_.wvu.FilterData" localSheetId="0" hidden="1">Test_Data!$A$1:$P$820</definedName>
    <definedName name="Z_46B9C8DC_A6CB_497D_AD71_CB6B6C4E07DC_.wvu.FilterData" localSheetId="0" hidden="1">Test_Data!$A$1:$P$820</definedName>
    <definedName name="Z_4707B079_810C_4097_A9DB_B423B174B3B0_.wvu.FilterData" localSheetId="0" hidden="1">Test_Data!$A$1:$O$820</definedName>
    <definedName name="Z_498D5BC7_41D5_41EF_8E33_E8C544561EE0_.wvu.FilterData" localSheetId="0" hidden="1">Test_Data!$A$1:$O$820</definedName>
    <definedName name="Z_49A2C799_4EB8_4AED_A2A4_915C2AF98BE6_.wvu.FilterData" localSheetId="0" hidden="1">Test_Data!$A$1:$P$820</definedName>
    <definedName name="Z_4A4F3C49_0DD6_4818_80C8_D7542DFEC72B_.wvu.FilterData" localSheetId="0" hidden="1">Test_Data!$A$1:$P$820</definedName>
    <definedName name="Z_4A514975_B243_4D55_A84B_3BFC8469110F_.wvu.FilterData" localSheetId="0" hidden="1">Test_Data!$A$1:$P$820</definedName>
    <definedName name="Z_4D8D5343_D95A_46FD_A347_E32C95E5D0D6_.wvu.FilterData" localSheetId="0" hidden="1">Test_Data!$A$1:$O$820</definedName>
    <definedName name="Z_4E37C1FD_9D67_4107_ADB7_0795DE5D65CF_.wvu.FilterData" localSheetId="0" hidden="1">Test_Data!$A$1:$O$820</definedName>
    <definedName name="Z_4E541FFF_FE3C_431F_85D5_74AB97D0D581_.wvu.FilterData" localSheetId="0" hidden="1">Test_Data!$A$1:$T$820</definedName>
    <definedName name="Z_5022C53F_0E4E_4683_8BBB_6B2144F67E60_.wvu.FilterData" localSheetId="0" hidden="1">Test_Data!$A$1:$P$820</definedName>
    <definedName name="Z_50A09128_CDA6_4DF4_AA09_8A4997C96A93_.wvu.FilterData" localSheetId="0" hidden="1">Test_Data!$A$1:$T$820</definedName>
    <definedName name="Z_51610D32_5331_4C74_8DA1_578265CAA4E0_.wvu.FilterData" localSheetId="0" hidden="1">Test_Data!$A$1:$O$820</definedName>
    <definedName name="Z_51663EDA_2635_44AB_9235_F1F0DA53A25F_.wvu.FilterData" localSheetId="0" hidden="1">Test_Data!$A$1:$O$820</definedName>
    <definedName name="Z_5172665B_CF48_4290_A6B4_001D618F8D42_.wvu.FilterData" localSheetId="0" hidden="1">Test_Data!$A$1:$O$820</definedName>
    <definedName name="Z_52955DEE_C13E_48C8_BFD5_B5572B0C1FE6_.wvu.FilterData" localSheetId="0" hidden="1">Test_Data!$A$1:$P$820</definedName>
    <definedName name="Z_5351E83B_1AA2_4DA4_8F84_ED2B9CA211C2_.wvu.FilterData" localSheetId="0" hidden="1">Test_Data!$A$1:$T$820</definedName>
    <definedName name="Z_53D00B98_DC73_4D18_8E5C_0A4131D824A5_.wvu.FilterData" localSheetId="0" hidden="1">Test_Data!$A$1:$P$820</definedName>
    <definedName name="Z_55B5A6F4_3A99_40D9_BEFB_EC16551CBF6D_.wvu.FilterData" localSheetId="0" hidden="1">Test_Data!$A$1:$O$820</definedName>
    <definedName name="Z_5759BF0D_01CC_4363_B262_CE4DFFC7581C_.wvu.FilterData" localSheetId="0" hidden="1">Test_Data!$A$1:$P$820</definedName>
    <definedName name="Z_57A3AD03_2075_4B24_938E_DC89A606456C_.wvu.FilterData" localSheetId="0" hidden="1">Test_Data!$A$1:$O$820</definedName>
    <definedName name="Z_57F4C8E4_504A_4C87_9162_576C778D0A20_.wvu.FilterData" localSheetId="0" hidden="1">Test_Data!$A$1:$P$820</definedName>
    <definedName name="Z_58AFC4EA_F0C8_41D0_B532_8C4980BDF5C6_.wvu.FilterData" localSheetId="0" hidden="1">Test_Data!$A$1:$P$820</definedName>
    <definedName name="Z_5B2279F7_24CF_46F4_92FC_50E4FD8BED38_.wvu.FilterData" localSheetId="0" hidden="1">Test_Data!$A$1:$O$820</definedName>
    <definedName name="Z_5B8AD2F8_13D1_4340_BD20_CF6E881241C0_.wvu.FilterData" localSheetId="0" hidden="1">Test_Data!$A$1:$O$820</definedName>
    <definedName name="Z_5B8B8AE2_3389_473B_899D_C75C1AA5B45C_.wvu.FilterData" localSheetId="0" hidden="1">Test_Data!$A$1:$O$820</definedName>
    <definedName name="Z_5C56808C_8FB4_4581_8158_C4383F67BC9C_.wvu.FilterData" localSheetId="0" hidden="1">Test_Data!$A$1:$P$820</definedName>
    <definedName name="Z_5D29243C_CD25_4E48_A998_CADA1223DE84_.wvu.FilterData" localSheetId="0" hidden="1">Test_Data!$A$1:$O$820</definedName>
    <definedName name="Z_5DD63333_5B65_4A5C_9249_2609B757078F_.wvu.FilterData" localSheetId="0" hidden="1">Test_Data!$A$1:$O$820</definedName>
    <definedName name="Z_5DF774B4_46CF_4A35_A6C7_83DBC0B5BB92_.wvu.FilterData" localSheetId="0" hidden="1">Test_Data!$A$1:$O$820</definedName>
    <definedName name="Z_5E8FC66B_CD1C_4E63_BCDD_DAA635ACBA22_.wvu.FilterData" localSheetId="0" hidden="1">Test_Data!$A$1:$O$820</definedName>
    <definedName name="Z_5EBF2D41_81F2_4B58_B899_239B88EA14A6_.wvu.FilterData" localSheetId="0" hidden="1">Test_Data!$A$1:$O$820</definedName>
    <definedName name="Z_61840017_5C11_429F_82BB_D6D1310EB598_.wvu.FilterData" localSheetId="0" hidden="1">Test_Data!$A$1:$P$820</definedName>
    <definedName name="Z_6340683C_471F_4480_9D8C_54FC95A3A9DC_.wvu.FilterData" localSheetId="0" hidden="1">Test_Data!$A$1:$P$820</definedName>
    <definedName name="Z_66ABF940_25D5_4C2B_AEDE_E57A9E5D3A4B_.wvu.FilterData" localSheetId="0" hidden="1">Test_Data!$A$1:$O$820</definedName>
    <definedName name="Z_68412311_8F39_4930_8B22_FBE5439BBC06_.wvu.FilterData" localSheetId="0" hidden="1">Test_Data!$A$1:$P$820</definedName>
    <definedName name="Z_6957F13A_1072_454D_899E_1294EE97A195_.wvu.FilterData" localSheetId="0" hidden="1">Test_Data!$A$1:$O$820</definedName>
    <definedName name="Z_69AB6028_4FCF_49BE_A2B2_85ECADFED10E_.wvu.FilterData" localSheetId="0" hidden="1">Test_Data!$A$1:$P$820</definedName>
    <definedName name="Z_6AFBF61E_6C38_4E10_8C16_76CD5A63DB2A_.wvu.FilterData" localSheetId="0" hidden="1">Test_Data!$A$1:$T$820</definedName>
    <definedName name="Z_6B3666D2_9440_4475_9AFB_CE9312FDB4C9_.wvu.FilterData" localSheetId="0" hidden="1">Test_Data!$A$1:$O$820</definedName>
    <definedName name="Z_6B38B172_E6CB_40D9_BA61_6543913EA4B4_.wvu.Cols" localSheetId="0" hidden="1">Test_Data!$D:$G</definedName>
    <definedName name="Z_6B38B172_E6CB_40D9_BA61_6543913EA4B4_.wvu.FilterData" localSheetId="0" hidden="1">Test_Data!$A$1:$P$820</definedName>
    <definedName name="Z_6C8E86EA_6E75_41D5_9FED_42A2416CBA18_.wvu.FilterData" localSheetId="0" hidden="1">Test_Data!$A$1:$O$820</definedName>
    <definedName name="Z_6CF93028_F72D_4350_895A_7CA5258BA9F2_.wvu.FilterData" localSheetId="0" hidden="1">Test_Data!$A$1:$P$820</definedName>
    <definedName name="Z_6D219541_B96B_4AD2_8F02_28638CE0FB83_.wvu.FilterData" localSheetId="0" hidden="1">Test_Data!$A$1:$P$820</definedName>
    <definedName name="Z_6DCFAFCC_A223_4324_88F3_524E522BF683_.wvu.FilterData" localSheetId="0" hidden="1">Test_Data!$A$1:$P$820</definedName>
    <definedName name="Z_6F35DBC7_80E5_4764_8D0B_C0D2EEFED3B0_.wvu.FilterData" localSheetId="0" hidden="1">Test_Data!$A$1:$P$820</definedName>
    <definedName name="Z_6FE63CFD_E2A3_4E18_90A3_16BC66BD58BA_.wvu.FilterData" localSheetId="0" hidden="1">Test_Data!$A$1:$P$820</definedName>
    <definedName name="Z_703E8CBE_2072_4623_A501_98F898587578_.wvu.FilterData" localSheetId="0" hidden="1">Test_Data!$A$1:$P$820</definedName>
    <definedName name="Z_7091A22F_B213_4918_B113_6BD466DC8FD8_.wvu.FilterData" localSheetId="0" hidden="1">Test_Data!$A$1:$P$820</definedName>
    <definedName name="Z_7122A389_B23A_4199_A485_68E5DBED412D_.wvu.FilterData" localSheetId="0" hidden="1">Test_Data!$A$1:$O$820</definedName>
    <definedName name="Z_713241ED_4CC9_4B67_B94F_9762F602541A_.wvu.FilterData" localSheetId="0" hidden="1">Test_Data!$A$1:$O$820</definedName>
    <definedName name="Z_71C3498C_CCAA_42FF_A8A8_1BB72AC5F71F_.wvu.FilterData" localSheetId="0" hidden="1">Test_Data!$A$1:$T$820</definedName>
    <definedName name="Z_720BFE44_7DD3_4463_8D57_CD96AF9FF59A_.wvu.FilterData" localSheetId="0" hidden="1">Test_Data!$A$1:$T$820</definedName>
    <definedName name="Z_725254C5_5D81_418A_B831_64487026ECA7_.wvu.FilterData" localSheetId="0" hidden="1">Test_Data!$A$1:$O$820</definedName>
    <definedName name="Z_7313B978_B2EF_432B_A2D0_E400CB8130E1_.wvu.FilterData" localSheetId="0" hidden="1">Test_Data!$A$1:$P$820</definedName>
    <definedName name="Z_737D4E2E_AEC8_45D5_B5A6_26EAEEDCA817_.wvu.FilterData" localSheetId="0" hidden="1">Test_Data!$A$1:$O$820</definedName>
    <definedName name="Z_73F29E26_E4E1_4D5B_9046_24BA6FA7CC5B_.wvu.FilterData" localSheetId="0" hidden="1">Test_Data!$A$1:$P$820</definedName>
    <definedName name="Z_749C9744_96BF_4E73_AF2F_4F79375F8984_.wvu.FilterData" localSheetId="0" hidden="1">Test_Data!$A$1:$T$820</definedName>
    <definedName name="Z_74C5EE6C_92B1_49B6_B5CA_4A38AF2029AF_.wvu.FilterData" localSheetId="0" hidden="1">Test_Data!$A$1:$O$820</definedName>
    <definedName name="Z_76900085_17FA_4FD6_84F3_45106CBFED41_.wvu.FilterData" localSheetId="0" hidden="1">Test_Data!$A$1:$P$820</definedName>
    <definedName name="Z_7816B471_CF4A_4953_8563_8121E04A1991_.wvu.FilterData" localSheetId="0" hidden="1">Test_Data!$A$1:$O$820</definedName>
    <definedName name="Z_78471876_27A1_4B1C_8842_A711D0A3F776_.wvu.FilterData" localSheetId="0" hidden="1">Test_Data!$A$1:$P$820</definedName>
    <definedName name="Z_78B53FDC_E7F6_4E6E_A4D8_A6FFC6FBFDDD_.wvu.FilterData" localSheetId="0" hidden="1">Test_Data!$A$1:$P$820</definedName>
    <definedName name="Z_79DE7791_1DF5_4E4B_BC26_E2184FEDE8FE_.wvu.FilterData" localSheetId="0" hidden="1">Test_Data!$A$1:$T$820</definedName>
    <definedName name="Z_7A9AF303_1CE0_4D63_8C31_EEA8CA36FD3F_.wvu.FilterData" localSheetId="0" hidden="1">Test_Data!$A$1:$P$820</definedName>
    <definedName name="Z_7AD3CAAC_C8AC_4F83_9B7D_899EA807D7F6_.wvu.FilterData" localSheetId="0" hidden="1">Test_Data!$A$1:$P$820</definedName>
    <definedName name="Z_7B22B8EB_52D4_4A6F_B511_CE5D14906493_.wvu.FilterData" localSheetId="0" hidden="1">Test_Data!$A$1:$O$820</definedName>
    <definedName name="Z_7C8F8B9E_68D5_4D82_ACA7_3B426DF03A5D_.wvu.FilterData" localSheetId="0" hidden="1">Test_Data!$A$1:$P$820</definedName>
    <definedName name="Z_7CC5901A_8B9C_4128_A4E0_B2503AE2A161_.wvu.FilterData" localSheetId="0" hidden="1">Test_Data!$A$1:$O$820</definedName>
    <definedName name="Z_7D50AF9A_553E_447B_BF6B_CB3FBD052BE9_.wvu.FilterData" localSheetId="0" hidden="1">Test_Data!$A$1:$P$820</definedName>
    <definedName name="Z_7D89FCAE_C65B_40EC_B8B1_331D94F6A04B_.wvu.FilterData" localSheetId="0" hidden="1">Test_Data!$A$1:$O$820</definedName>
    <definedName name="Z_7E010725_D1EF_4AE5_978C_1A1F99DA4697_.wvu.Cols" localSheetId="0" hidden="1">Test_Data!$D:$G</definedName>
    <definedName name="Z_7E010725_D1EF_4AE5_978C_1A1F99DA4697_.wvu.FilterData" localSheetId="0" hidden="1">Test_Data!$A$1:$P$820</definedName>
    <definedName name="Z_7E6FAFEF_77DB_4181_A042_28D8F541A1CD_.wvu.FilterData" localSheetId="0" hidden="1">Test_Data!$A$1:$P$820</definedName>
    <definedName name="Z_7FBC9EC7_C546_47C5_95F9_80F2E6D878C3_.wvu.FilterData" localSheetId="0" hidden="1">Test_Data!$A$1:$P$820</definedName>
    <definedName name="Z_7FF0622A_453E_4177_BBD2_802EE4AB216E_.wvu.FilterData" localSheetId="0" hidden="1">Test_Data!$A$1:$O$820</definedName>
    <definedName name="Z_8065ABEB_1319_4ADA_B736_BD29A1CADEAF_.wvu.FilterData" localSheetId="0" hidden="1">Test_Data!$A$1:$O$820</definedName>
    <definedName name="Z_80EAD866_1A2B_46F7_AD82_B1BD350DAE09_.wvu.FilterData" localSheetId="0" hidden="1">Test_Data!$A$1:$O$820</definedName>
    <definedName name="Z_819E75C7_D4B2_4F77_B89B_7E21B2D73B56_.wvu.FilterData" localSheetId="0" hidden="1">Test_Data!$A$1:$P$820</definedName>
    <definedName name="Z_82C41B1A_6680_4249_AE16_75D93D6DA325_.wvu.FilterData" localSheetId="0" hidden="1">Test_Data!$A$1:$O$820</definedName>
    <definedName name="Z_832AB3F9_4261_47C9_97F5_C6C95F73D617_.wvu.FilterData" localSheetId="0" hidden="1">Test_Data!$A$1:$O$820</definedName>
    <definedName name="Z_8340996B_7564_4236_BC8D_E185ACB36702_.wvu.FilterData" localSheetId="0" hidden="1">Test_Data!$A$1:$O$820</definedName>
    <definedName name="Z_845E45F4_71A8_4581_8065_013AF348E5DE_.wvu.FilterData" localSheetId="0" hidden="1">Test_Data!$A$1:$P$820</definedName>
    <definedName name="Z_84EBE571_ACB4_4746_8551_8CF160CADA74_.wvu.Cols" localSheetId="0" hidden="1">Test_Data!$D:$G,Test_Data!$M:$M</definedName>
    <definedName name="Z_84EBE571_ACB4_4746_8551_8CF160CADA74_.wvu.FilterData" localSheetId="0" hidden="1">Test_Data!$A$1:$P$820</definedName>
    <definedName name="Z_85C8EBDB_1485_4707_A45E_9E7705DB70D8_.wvu.FilterData" localSheetId="0" hidden="1">Test_Data!$A$1:$P$820</definedName>
    <definedName name="Z_8768CEF2_B226_4D5B_9730_094B38620D1A_.wvu.FilterData" localSheetId="0" hidden="1">Test_Data!$A$1:$O$820</definedName>
    <definedName name="Z_8798D432_AB6F_4974_AAC9_FD1E55AD5C9E_.wvu.FilterData" localSheetId="0" hidden="1">Test_Data!$A$1:$P$820</definedName>
    <definedName name="Z_8AB4781D_0A7E_465D_9912_CAA6B46DC755_.wvu.FilterData" localSheetId="0" hidden="1">Test_Data!$A$1:$O$820</definedName>
    <definedName name="Z_8BFA1B7B_4274_4835_BE0F_409D1C439FB7_.wvu.FilterData" localSheetId="0" hidden="1">Test_Data!$A$1:$O$820</definedName>
    <definedName name="Z_8C7863DF_BD55_4080_860E_C6E60F3FE883_.wvu.FilterData" localSheetId="0" hidden="1">Test_Data!$A$1:$O$820</definedName>
    <definedName name="Z_8CFF0D23_20FD_4C1C_B7EC_213B301233A0_.wvu.FilterData" localSheetId="0" hidden="1">Test_Data!$A$1:$P$820</definedName>
    <definedName name="Z_8D14C6FA_D9B1_459D_9749_3E1A1323952F_.wvu.FilterData" localSheetId="0" hidden="1">Test_Data!$A$1:$O$820</definedName>
    <definedName name="Z_8DB78DD6_A0EB_4FD0_B1FF_1584CB17124C_.wvu.FilterData" localSheetId="0" hidden="1">Test_Data!$A$1:$P$820</definedName>
    <definedName name="Z_8ED38586_7F41_4FEC_8CA4_91A370184AE5_.wvu.FilterData" localSheetId="0" hidden="1">Test_Data!$A$1:$O$820</definedName>
    <definedName name="Z_8FA4CDD0_81E6_4E9E_A5B6_EC5EBF3E1C67_.wvu.FilterData" localSheetId="0" hidden="1">Test_Data!$A$1:$P$820</definedName>
    <definedName name="Z_90421750_DD08_48FE_AC52_4612045421E7_.wvu.FilterData" localSheetId="0" hidden="1">Test_Data!$A$1:$P$820</definedName>
    <definedName name="Z_90BC38B4_91DA_450F_ADF0_BED283A08FFC_.wvu.FilterData" localSheetId="0" hidden="1">Test_Data!$A$1:$O$820</definedName>
    <definedName name="Z_91E5AD44_F1BC_434F_9311_97447F3F48E6_.wvu.FilterData" localSheetId="0" hidden="1">Test_Data!$A$1:$O$820</definedName>
    <definedName name="Z_91EE7B3E_BE3B_403B_A5FF_F751426D7DD9_.wvu.FilterData" localSheetId="0" hidden="1">Test_Data!$A$1:$P$820</definedName>
    <definedName name="Z_9271DDA4_69A0_4430_BC84_E54D6292BB09_.wvu.FilterData" localSheetId="0" hidden="1">Test_Data!$A$1:$P$820</definedName>
    <definedName name="Z_92AE50BB_B182_400A_86CE_8729FE8AE23D_.wvu.FilterData" localSheetId="0" hidden="1">Test_Data!$A$1:$O$820</definedName>
    <definedName name="Z_9468C9D0_943A_49F5_B2FA_376D476FF790_.wvu.FilterData" localSheetId="0" hidden="1">Test_Data!$A$1:$O$820</definedName>
    <definedName name="Z_94BD3ED5_56B7_4645_9200_31422ECCC236_.wvu.FilterData" localSheetId="0" hidden="1">Test_Data!$A$1:$O$820</definedName>
    <definedName name="Z_95F125D2_2686_45D7_9CE2_1D9E82AB3ECC_.wvu.FilterData" localSheetId="0" hidden="1">Test_Data!$A$1:$T$820</definedName>
    <definedName name="Z_96237389_E392_4A25_A86B_B8B7169C0387_.wvu.FilterData" localSheetId="0" hidden="1">Test_Data!$A$1:$O$820</definedName>
    <definedName name="Z_9723CBC1_DE4F_405C_80D5_F0A60CEE2D2C_.wvu.FilterData" localSheetId="0" hidden="1">Test_Data!$A$1:$P$820</definedName>
    <definedName name="Z_973C8A8D_7A32_40FD_A0F7_2CCB6C24D095_.wvu.FilterData" localSheetId="0" hidden="1">Test_Data!$A$1:$P$820</definedName>
    <definedName name="Z_977F0F0D_9F28_4CB6_A9E6_D77005AE6AA4_.wvu.FilterData" localSheetId="0" hidden="1">Test_Data!$A$1:$O$820</definedName>
    <definedName name="Z_999142E4_5C8B_4ED1_BA83_25C76D59421C_.wvu.FilterData" localSheetId="0" hidden="1">Test_Data!$A$1:$O$820</definedName>
    <definedName name="Z_9A62DFB7_5190_484E_BA47_9FD16B1AE1CD_.wvu.FilterData" localSheetId="0" hidden="1">Test_Data!$A$1:$P$820</definedName>
    <definedName name="Z_9A954231_016D_41FD_B6D0_ECED3BB0FAC8_.wvu.FilterData" localSheetId="0" hidden="1">Test_Data!$A$1:$P$820</definedName>
    <definedName name="Z_9B08AE50_F4D7_4F6B_857C_DF104F16F96C_.wvu.FilterData" localSheetId="0" hidden="1">Test_Data!$A$1:$P$820</definedName>
    <definedName name="Z_9CABABFD_735B_45BA_82F8_15718FF7AE70_.wvu.FilterData" localSheetId="0" hidden="1">Test_Data!$A$1:$P$820</definedName>
    <definedName name="Z_9CE962C1_95BF_49A8_A469_594B53699575_.wvu.FilterData" localSheetId="0" hidden="1">Test_Data!$A$1:$O$820</definedName>
    <definedName name="Z_9E847315_C13B_4C54_B9EB_151B046FEF3E_.wvu.FilterData" localSheetId="0" hidden="1">Test_Data!$A$1:$O$820</definedName>
    <definedName name="Z_A0E82933_0545_4C4F_B5C3_99C7D49CB936_.wvu.FilterData" localSheetId="0" hidden="1">Test_Data!$A$1:$O$820</definedName>
    <definedName name="Z_A11A1D15_7F02_4375_A9A1_C97517FC8953_.wvu.FilterData" localSheetId="0" hidden="1">Test_Data!$A$1:$P$820</definedName>
    <definedName name="Z_A11EA4DE_99DA_4B0A_82DE_70399DD6EB3F_.wvu.FilterData" localSheetId="0" hidden="1">Test_Data!$A$1:$T$820</definedName>
    <definedName name="Z_A1857C5E_B688_44BE_8BA4_CA97C5847AE2_.wvu.FilterData" localSheetId="0" hidden="1">Test_Data!$A$1:$P$820</definedName>
    <definedName name="Z_A20726B4_CA20_45BC_B612_BD7568527731_.wvu.FilterData" localSheetId="0" hidden="1">Test_Data!$A$1:$P$820</definedName>
    <definedName name="Z_A223D972_862A_4950_8212_2687ADF94030_.wvu.FilterData" localSheetId="0" hidden="1">Test_Data!$A$1:$O$820</definedName>
    <definedName name="Z_A3DE44B1_E79A_4F98_A642_49099B18330B_.wvu.FilterData" localSheetId="0" hidden="1">Test_Data!$A$1:$O$820</definedName>
    <definedName name="Z_A3F18593_801F_4B16_8D3E_72941B848F59_.wvu.FilterData" localSheetId="0" hidden="1">Test_Data!$A$1:$P$820</definedName>
    <definedName name="Z_A5878A62_C6FC_43E8_9581_C286004876EF_.wvu.FilterData" localSheetId="0" hidden="1">Test_Data!$A$1:$O$820</definedName>
    <definedName name="Z_A5B40352_0D83_492D_BF46_6ABB9C181009_.wvu.FilterData" localSheetId="0" hidden="1">Test_Data!$A$1:$P$820</definedName>
    <definedName name="Z_A5B531A4_7A68_4288_90E3_0261A319CD07_.wvu.FilterData" localSheetId="0" hidden="1">Test_Data!$A$1:$O$820</definedName>
    <definedName name="Z_A5C89B12_E72F_4E69_A4AF_150109C03398_.wvu.FilterData" localSheetId="0" hidden="1">Test_Data!$A$1:$O$820</definedName>
    <definedName name="Z_A8E7A005_9FED_4CA8_8C4C_BBAADA95B271_.wvu.FilterData" localSheetId="0" hidden="1">Test_Data!$A$1:$P$820</definedName>
    <definedName name="Z_AA33BF85_EA00_4CA1_BF85_5659200A4863_.wvu.FilterData" localSheetId="0" hidden="1">Test_Data!$A$1:$P$820</definedName>
    <definedName name="Z_AC3FBFE6_31E9_4C02_B38D_3F8A3076EFDC_.wvu.FilterData" localSheetId="0" hidden="1">Test_Data!$A$1:$P$820</definedName>
    <definedName name="Z_AD1870B0_6F8B_47BD_B528_FDD90C5F0A82_.wvu.FilterData" localSheetId="0" hidden="1">Test_Data!$A$1:$O$820</definedName>
    <definedName name="Z_AE942A4A_67B9_4F06_94B4_79CF1D4FFF2B_.wvu.FilterData" localSheetId="0" hidden="1">Test_Data!$A$1:$O$820</definedName>
    <definedName name="Z_AED8362C_49C7_4B20_A35E_7AB0A35B87EA_.wvu.FilterData" localSheetId="0" hidden="1">Test_Data!$A$1:$O$820</definedName>
    <definedName name="Z_AFF8E047_C04E_499C_88D2_3E04C623ED53_.wvu.FilterData" localSheetId="0" hidden="1">Test_Data!$A$1:$P$820</definedName>
    <definedName name="Z_B0313BA1_A85A_423F_ABE4_D6771B6E689A_.wvu.FilterData" localSheetId="0" hidden="1">Test_Data!$A$1:$O$820</definedName>
    <definedName name="Z_B1369DB5_61F0_407F_9ADD_6621ABA26B67_.wvu.FilterData" localSheetId="0" hidden="1">Test_Data!$A$1:$O$820</definedName>
    <definedName name="Z_B1705AC9_DA19_43C5_B423_580B90B4B38D_.wvu.FilterData" localSheetId="0" hidden="1">Test_Data!$A$1:$P$820</definedName>
    <definedName name="Z_B4636582_D595_4D46_A8F2_A6D122C863F7_.wvu.FilterData" localSheetId="0" hidden="1">Test_Data!$A$1:$P$820</definedName>
    <definedName name="Z_B4B36268_95A9_4B64_A2DB_65A812D05FD4_.wvu.FilterData" localSheetId="0" hidden="1">Test_Data!$A$1:$P$820</definedName>
    <definedName name="Z_B64AB16F_AAF4_474C_8944_DD274C2FA9D8_.wvu.FilterData" localSheetId="0" hidden="1">Test_Data!$A$1:$P$820</definedName>
    <definedName name="Z_B84AE80A_40F7_4FDA_9EDD_1ACD1CE0CB00_.wvu.FilterData" localSheetId="0" hidden="1">Test_Data!$A$1:$P$820</definedName>
    <definedName name="Z_B92CD907_686F_4B76_BB30_55117308C242_.wvu.FilterData" localSheetId="0" hidden="1">Test_Data!$A$1:$P$820</definedName>
    <definedName name="Z_B9F47D15_642C_41C2_96AE_D8BB623617D3_.wvu.FilterData" localSheetId="0" hidden="1">Test_Data!$A$1:$T$820</definedName>
    <definedName name="Z_BA5DD5E2_6E16_4280_8080_75794B4B683D_.wvu.FilterData" localSheetId="0" hidden="1">Test_Data!$A$1:$P$820</definedName>
    <definedName name="Z_BA779ED1_8E76_417D_85D1_10F9A71C5511_.wvu.FilterData" localSheetId="0" hidden="1">Test_Data!$A$1:$O$820</definedName>
    <definedName name="Z_BAC3EE44_425D_427F_BCE3_E1FA995B2DBB_.wvu.FilterData" localSheetId="0" hidden="1">Test_Data!$A$1:$T$820</definedName>
    <definedName name="Z_BD629CB9_6758_4DB7_9C9E_ACC860FB1AF4_.wvu.FilterData" localSheetId="0" hidden="1">Test_Data!$A$1:$T$820</definedName>
    <definedName name="Z_BDB7DC02_8E4D_47F5_81C6_BB2D6EFA5A64_.wvu.FilterData" localSheetId="0" hidden="1">Test_Data!$A$1:$O$820</definedName>
    <definedName name="Z_BE2A240F_84AF_4AD3_B7D6_760DE49FCDE0_.wvu.FilterData" localSheetId="0" hidden="1">Test_Data!$A$1:$P$820</definedName>
    <definedName name="Z_BE796786_382C_4D12_A739_2A6F7630734C_.wvu.FilterData" localSheetId="0" hidden="1">Test_Data!$A$1:$P$820</definedName>
    <definedName name="Z_C02940DE_481C_4C30_819D_239D6044F238_.wvu.FilterData" localSheetId="0" hidden="1">Test_Data!$A$1:$O$820</definedName>
    <definedName name="Z_C1994749_FE53_4BC9_955A_881EB058F70E_.wvu.FilterData" localSheetId="0" hidden="1">Test_Data!$A$1:$O$820</definedName>
    <definedName name="Z_C368B9F0_D209_419F_AF39_E13F12CA6F9A_.wvu.FilterData" localSheetId="0" hidden="1">Test_Data!$A$1:$O$820</definedName>
    <definedName name="Z_C4158FCA_C061_47B0_859E_2C991E9FAD9F_.wvu.FilterData" localSheetId="0" hidden="1">Test_Data!$A$1:$O$820</definedName>
    <definedName name="Z_C453B46D_4F5E_41D8_BF29_B2D15EEA6807_.wvu.FilterData" localSheetId="0" hidden="1">Test_Data!$A$1:$P$820</definedName>
    <definedName name="Z_C496F95B_E7F0_4BE8_83D0_E0196D446B21_.wvu.FilterData" localSheetId="0" hidden="1">Test_Data!$A$1:$O$820</definedName>
    <definedName name="Z_C5470874_5406_4025_BCF5_FC99F633C456_.wvu.FilterData" localSheetId="0" hidden="1">Test_Data!$A$1:$O$820</definedName>
    <definedName name="Z_C5B73428_F385_4B0E_A07E_8C11D7BD26E8_.wvu.FilterData" localSheetId="0" hidden="1">Test_Data!$A$1:$P$820</definedName>
    <definedName name="Z_C669DB8F_D81C_45B8_A79F_70B6F24C82E0_.wvu.FilterData" localSheetId="0" hidden="1">Test_Data!$A$1:$O$820</definedName>
    <definedName name="Z_C75A4D66_AD05_475C_A039_C91FC2C007ED_.wvu.FilterData" localSheetId="0" hidden="1">Test_Data!$A$1:$P$820</definedName>
    <definedName name="Z_C789FEBA_DD5B_4278_9289_F15CBC9C5991_.wvu.Cols" localSheetId="0" hidden="1">Test_Data!$D:$G</definedName>
    <definedName name="Z_C789FEBA_DD5B_4278_9289_F15CBC9C5991_.wvu.FilterData" localSheetId="0" hidden="1">Test_Data!$A$1:$O$820</definedName>
    <definedName name="Z_C7CD855D_C539_48CF_BAFB_A9039E03CCEA_.wvu.FilterData" localSheetId="0" hidden="1">Test_Data!$A$1:$O$820</definedName>
    <definedName name="Z_C8178F99_58CF_4AE0_87E9_068782F283A6_.wvu.FilterData" localSheetId="0" hidden="1">Test_Data!$A$1:$P$820</definedName>
    <definedName name="Z_C87398FB_B9C5_43CA_A905_8E8C8C273928_.wvu.FilterData" localSheetId="0" hidden="1">Test_Data!$A$1:$O$820</definedName>
    <definedName name="Z_CA40125B_142C_41E3_A427_11F4FB1C6023_.wvu.FilterData" localSheetId="0" hidden="1">Test_Data!$A$1:$P$820</definedName>
    <definedName name="Z_CC1313B7_B847_425B_9CB1_DA1342E64DFA_.wvu.FilterData" localSheetId="0" hidden="1">Test_Data!$A$1:$O$820</definedName>
    <definedName name="Z_CD3D5295_193E_4A63_88AD_742488927494_.wvu.FilterData" localSheetId="0" hidden="1">Test_Data!$A$1:$O$820</definedName>
    <definedName name="Z_CD621B38_BE5A_4767_B90E_CF5B5B972177_.wvu.FilterData" localSheetId="0" hidden="1">Test_Data!$A$1:$O$820</definedName>
    <definedName name="Z_CDEC1F56_BC0C_48B1_A5BB_AD2D761A2879_.wvu.FilterData" localSheetId="0" hidden="1">Test_Data!$A$1:$O$820</definedName>
    <definedName name="Z_CE43876A_F383_4B7F_B20B_39F275252A50_.wvu.FilterData" localSheetId="0" hidden="1">Test_Data!$A$1:$T$820</definedName>
    <definedName name="Z_D0D7A8CF_B7E0_4CD9_996F_E326C152C00D_.wvu.FilterData" localSheetId="0" hidden="1">Test_Data!$A$1:$O$820</definedName>
    <definedName name="Z_D51C4637_D451_4DBC_8E51_6D9ABA4246E7_.wvu.FilterData" localSheetId="0" hidden="1">Test_Data!$A$1:$T$820</definedName>
    <definedName name="Z_D5E2201C_4F7A_40DD_8964_6C3F7DAFC7A0_.wvu.FilterData" localSheetId="0" hidden="1">Test_Data!$A$1:$O$820</definedName>
    <definedName name="Z_D60AFCDF_EAE7_43C0_91F5_A583A450F3C1_.wvu.FilterData" localSheetId="0" hidden="1">Test_Data!$A$1:$P$820</definedName>
    <definedName name="Z_D6637096_AAB8_4396_BC7B_C5E8CA1D5638_.wvu.FilterData" localSheetId="0" hidden="1">Test_Data!$A$1:$P$820</definedName>
    <definedName name="Z_D6D8909C_7D89_451B_BF56_F2134C4F4D88_.wvu.FilterData" localSheetId="0" hidden="1">Test_Data!$A$1:$P$820</definedName>
    <definedName name="Z_D70AE2F6_CFAD_4B66_A6A4_F800025E0146_.wvu.FilterData" localSheetId="0" hidden="1">Test_Data!$A$1:$O$820</definedName>
    <definedName name="Z_D716D69A_5687_43FD_8495_EF8D670F0848_.wvu.FilterData" localSheetId="0" hidden="1">Test_Data!$A$1:$P$820</definedName>
    <definedName name="Z_D75484F9_9CD4_4DB6_8D12_5B868DBB3FD3_.wvu.FilterData" localSheetId="0" hidden="1">Test_Data!$A$1:$O$820</definedName>
    <definedName name="Z_D9AFD2AA_D5F1_4063_B200_B384F1E2652C_.wvu.FilterData" localSheetId="0" hidden="1">Test_Data!$A$1:$O$820</definedName>
    <definedName name="Z_D9C2AD68_2684_493D_A1CB_7186DE8DB505_.wvu.FilterData" localSheetId="0" hidden="1">Test_Data!$A$1:$P$820</definedName>
    <definedName name="Z_DA0265C3_0F0E_4AAA_82CC_4D26DA6B76BB_.wvu.Cols" localSheetId="0" hidden="1">Test_Data!$D:$G</definedName>
    <definedName name="Z_DA0265C3_0F0E_4AAA_82CC_4D26DA6B76BB_.wvu.FilterData" localSheetId="0" hidden="1">Test_Data!$A$1:$P$820</definedName>
    <definedName name="Z_DAE251CD_7A75_4F65_99DD_485D56A3131E_.wvu.FilterData" localSheetId="0" hidden="1">Test_Data!$A$1:$P$820</definedName>
    <definedName name="Z_DC0A3B64_03C4_4C92_9520_370E7C5D45D7_.wvu.FilterData" localSheetId="0" hidden="1">Test_Data!$A$1:$P$820</definedName>
    <definedName name="Z_DC5EB048_9C69_485E_8633_15A8A1B12CB3_.wvu.FilterData" localSheetId="0" hidden="1">Test_Data!$A$1:$O$820</definedName>
    <definedName name="Z_DDC43EFE_ABB1_4D61_B212_F8443D2088E6_.wvu.FilterData" localSheetId="0" hidden="1">Test_Data!$A$1:$P$820</definedName>
    <definedName name="Z_DE5E570C_2460_487C_B59C_66D9B5169F81_.wvu.FilterData" localSheetId="0" hidden="1">Test_Data!$A$1:$P$820</definedName>
    <definedName name="Z_DF6CBB10_1EE7_489E_8CE9_862210BB45BA_.wvu.FilterData" localSheetId="0" hidden="1">Test_Data!$A$1:$O$820</definedName>
    <definedName name="Z_E060E62A_D08D_4654_9506_561B7BDAFD46_.wvu.FilterData" localSheetId="0" hidden="1">Test_Data!$A$1:$P$1</definedName>
    <definedName name="Z_E0BBF7EC_7AB4_418A_9510_1831F0395B09_.wvu.FilterData" localSheetId="0" hidden="1">Test_Data!$A$1:$O$820</definedName>
    <definedName name="Z_E1DEC2A4_567E_46AE_9A23_CC58CDDEC88C_.wvu.FilterData" localSheetId="0" hidden="1">Test_Data!$A$1:$O$820</definedName>
    <definedName name="Z_E1F6644F_7D50_4064_BA66_52D786AB066F_.wvu.FilterData" localSheetId="0" hidden="1">Test_Data!$A$1:$T$820</definedName>
    <definedName name="Z_E2F2B9F1_FAA3_4B36_B81E_E5B4B81914CC_.wvu.FilterData" localSheetId="0" hidden="1">Test_Data!$A$1:$O$820</definedName>
    <definedName name="Z_E3DBA786_E758_409A_A6C4_1519C36F63C0_.wvu.FilterData" localSheetId="0" hidden="1">Test_Data!$A$1:$P$820</definedName>
    <definedName name="Z_E477EC0E_D41D_4A29_9B0E_B6C38479B73E_.wvu.FilterData" localSheetId="0" hidden="1">Test_Data!$A$1:$O$820</definedName>
    <definedName name="Z_E522D9B7_198B_435F_9738_B6AC4D461990_.wvu.FilterData" localSheetId="0" hidden="1">Test_Data!$A$1:$P$820</definedName>
    <definedName name="Z_E63CF86E_5483_4467_AFC6_B05E40DAF8AB_.wvu.FilterData" localSheetId="0" hidden="1">Test_Data!$A$1:$T$820</definedName>
    <definedName name="Z_E6A61ABA_9DEA_4973_9AF3_278C1000F84D_.wvu.FilterData" localSheetId="0" hidden="1">Test_Data!$A$1:$O$820</definedName>
    <definedName name="Z_E8250932_8030_468A_9E78_AA639397E494_.wvu.FilterData" localSheetId="0" hidden="1">Test_Data!$A$1:$T$820</definedName>
    <definedName name="Z_E9A0BDB4_4808_417B_903B_2AAD8911F67A_.wvu.FilterData" localSheetId="0" hidden="1">Test_Data!$A$1:$O$820</definedName>
    <definedName name="Z_EA2F3B98_2A33_4769_AD23_5C219AFE6D57_.wvu.FilterData" localSheetId="0" hidden="1">Test_Data!$A$1:$O$820</definedName>
    <definedName name="Z_EBE63331_3086_4D5B_8BFE_9B47F987791D_.wvu.FilterData" localSheetId="0" hidden="1">Test_Data!$A$1:$P$820</definedName>
    <definedName name="Z_ED0C13F4_8C07_4C94_A397_34BB618C79E7_.wvu.FilterData" localSheetId="0" hidden="1">Test_Data!$A$1:$O$820</definedName>
    <definedName name="Z_EEDB404B_1657_4917_A574_296A56C3EF09_.wvu.FilterData" localSheetId="0" hidden="1">Test_Data!$A$1:$O$820</definedName>
    <definedName name="Z_EF9809E8_23F4_4513_903A_5140A1CE7DA4_.wvu.FilterData" localSheetId="0" hidden="1">Test_Data!$A$1:$O$820</definedName>
    <definedName name="Z_EFEC94C4_F885_4F3B_9687_89A66F657B9E_.wvu.FilterData" localSheetId="0" hidden="1">Test_Data!$A$1:$P$820</definedName>
    <definedName name="Z_F0A58112_3F04_4B0C_83D4_FA6081DBA1ED_.wvu.FilterData" localSheetId="0" hidden="1">Test_Data!$A$1:$O$820</definedName>
    <definedName name="Z_F0B7304F_78BB_4EB3_A490_E5EBEBA11C3B_.wvu.FilterData" localSheetId="0" hidden="1">Test_Data!$A$1:$P$820</definedName>
    <definedName name="Z_F1507F71_6B08_47FE_8C42_B2E249967283_.wvu.FilterData" localSheetId="0" hidden="1">Test_Data!$A$1:$T$820</definedName>
    <definedName name="Z_F1DD7711_DAD5_474A_A407_EE4E589B68A1_.wvu.FilterData" localSheetId="0" hidden="1">Test_Data!$A$1:$O$820</definedName>
    <definedName name="Z_F4DD5353_1B3A_4C67_97B4_F12B971A8A5A_.wvu.FilterData" localSheetId="0" hidden="1">Test_Data!$A$1:$P$820</definedName>
    <definedName name="Z_F66C0629_26D1_47D2_AC77_25766FDE7E05_.wvu.FilterData" localSheetId="0" hidden="1">Test_Data!$A$1:$O$820</definedName>
    <definedName name="Z_F7A98368_C8AE_48D9_AE7B_7DDDDF335426_.wvu.FilterData" localSheetId="0" hidden="1">Test_Data!$A$1:$P$820</definedName>
    <definedName name="Z_F85CCB2B_4ACA_472C_89AA_1BDAFB018BB2_.wvu.FilterData" localSheetId="0" hidden="1">Test_Data!$A$1:$O$820</definedName>
    <definedName name="Z_FA527B68_6523_4AA6_A639_73187FBDC5D7_.wvu.FilterData" localSheetId="0" hidden="1">Test_Data!$A$1:$P$820</definedName>
    <definedName name="Z_FA6AB83C_63AD_4792_A8EE_4767E2042795_.wvu.FilterData" localSheetId="0" hidden="1">Test_Data!$A$1:$O$820</definedName>
    <definedName name="Z_FAA79910_43E9_4E13_BDA1_E099B839D050_.wvu.FilterData" localSheetId="0" hidden="1">Test_Data!$A$1:$T$820</definedName>
    <definedName name="Z_FB93FA54_5EB5_4501_BFC8_12C045187DD1_.wvu.FilterData" localSheetId="0" hidden="1">Test_Data!$A$1:$O$820</definedName>
    <definedName name="Z_FC09C9F0_FB9C_4252_8DA8_BD1735E30810_.wvu.FilterData" localSheetId="0" hidden="1">Test_Data!$A$1:$P$820</definedName>
    <definedName name="Z_FEA0AA17_DC05_41B2_8000_BDCF9D486D85_.wvu.FilterData" localSheetId="0" hidden="1">Test_Data!$A$1:$O$820</definedName>
    <definedName name="Z_FF902523_A8B5_49CC_9EEA_0181B002DA75_.wvu.FilterData" localSheetId="0" hidden="1">Test_Data!$A$1:$O$820</definedName>
    <definedName name="Z_FFCC6029_DC16_46AF_9832_B2324B8DD4E1_.wvu.FilterData" localSheetId="0" hidden="1">Test_Data!$A$1:$O$820</definedName>
  </definedNames>
  <calcPr calcId="191029"/>
  <customWorkbookViews>
    <customWorkbookView name="Zama, MohammedX Faheem - Personal View" guid="{7E010725-D1EF-4AE5-978C-1A1F99DA4697}" mergeInterval="0" personalView="1" maximized="1" xWindow="-9" yWindow="-9" windowWidth="1938" windowHeight="1048" activeSheetId="2"/>
    <customWorkbookView name="Prakash, AbhijithX - Personal View" guid="{73F29E26-E4E1-4D5B-9046-24BA6FA7CC5B}" mergeInterval="0" personalView="1" maximized="1" xWindow="-9" yWindow="-9" windowWidth="1938" windowHeight="1060" activeSheetId="2"/>
    <customWorkbookView name="Tariq, MalikX Raihan - Personal View" guid="{03D3A8E9-9316-472A-9F22-11BBF12EA899}" mergeInterval="0" personalView="1" maximized="1" xWindow="-11" yWindow="-11" windowWidth="1942" windowHeight="1042" activeSheetId="2"/>
    <customWorkbookView name="Rajeswari, GopikaX R - Personal View" guid="{442D3225-3416-4589-A1E3-E8426BFBC527}" mergeInterval="0" personalView="1" maximized="1" xWindow="-9" yWindow="-9" windowWidth="1938" windowHeight="1048" activeSheetId="2"/>
    <customWorkbookView name="Killekar, PrasadX - Personal View" guid="{90BC38B4-91DA-450F-ADF0-BED283A08FFC}" mergeInterval="0" personalView="1" maximized="1" xWindow="-9" yWindow="-9" windowWidth="1938" windowHeight="1048" activeSheetId="2"/>
    <customWorkbookView name="N, SurakshaX - Personal View" guid="{8065ABEB-1319-4ADA-B736-BD29A1CADEAF}" mergeInterval="0" personalView="1" maximized="1" xWindow="-9" yWindow="-9" windowWidth="1938" windowHeight="1048" activeSheetId="2"/>
    <customWorkbookView name="Ns, AbishekX - Personal View" guid="{43F43388-BEB5-4FDF-ABA6-82A94EBD4EA0}" mergeInterval="0" personalView="1" maximized="1" xWindow="-9" yWindow="-9" windowWidth="1938" windowHeight="1048" activeSheetId="2"/>
    <customWorkbookView name="Vs, AnanthareshmaX - Personal View" guid="{55B5A6F4-3A99-40D9-BEFB-EC16551CBF6D}" mergeInterval="0" personalView="1" maximized="1" xWindow="-9" yWindow="-9" windowWidth="1938" windowHeight="1048" activeSheetId="2"/>
    <customWorkbookView name="D, ShwethaX - Personal View" guid="{C789FEBA-DD5B-4278-9289-F15CBC9C5991}" mergeInterval="0" personalView="1" maximized="1" xWindow="-9" yWindow="-9" windowWidth="1938" windowHeight="1048" activeSheetId="2"/>
    <customWorkbookView name="Wilson, JeffyX George - Personal View" guid="{33CB5995-2D52-4A70-9C33-862BD9D05C8B}" mergeInterval="0" personalView="1" maximized="1" xWindow="-8" yWindow="-8" windowWidth="1936" windowHeight="1056" activeSheetId="2"/>
    <customWorkbookView name="Br, RamyaX - Personal View" guid="{304F0B8F-5896-4380-8DAC-6BA6163A6561}" mergeInterval="0" personalView="1" xWindow="14" windowWidth="1918" windowHeight="1028" activeSheetId="2"/>
    <customWorkbookView name="Yamini, ChittepuX - Personal View" guid="{113213E7-FD00-4FA9-8F54-B5E8CCE2AA95}" mergeInterval="0" personalView="1" maximized="1" xWindow="-11" yWindow="-11" windowWidth="1942" windowHeight="1042" activeSheetId="2"/>
    <customWorkbookView name="Rajikumar, DivyaX - Personal View" guid="{78471876-27A1-4B1C-8842-A711D0A3F776}" mergeInterval="0" personalView="1" maximized="1" xWindow="-9" yWindow="-9" windowWidth="1938" windowHeight="1048" activeSheetId="2"/>
    <customWorkbookView name="Pandyala, JijinaX Nellyatt - Personal View" guid="{A20726B4-CA20-45BC-B612-BD7568527731}" mergeInterval="0" personalView="1" maximized="1" xWindow="-9" yWindow="-9" windowWidth="1938" windowHeight="1048" activeSheetId="2"/>
    <customWorkbookView name="Raj, MeenagaX Prudhvi - Personal View" guid="{2F4696D3-E927-4924-A499-25F92FA9CDBC}" mergeInterval="0" personalView="1" maximized="1" xWindow="-9" yWindow="-9" windowWidth="1938" windowHeight="1048" activeSheetId="2"/>
    <customWorkbookView name="Radhakrishnan, SreelaksmiX Mayamandiram - Personal View" guid="{6B38B172-E6CB-40D9-BA61-6543913EA4B4}" mergeInterval="0" personalView="1" maximized="1" xWindow="-11" yWindow="-11" windowWidth="1942" windowHeight="1042" activeSheetId="2"/>
    <customWorkbookView name="Polimera, VishnuX - Personal View" guid="{DA0265C3-0F0E-4AAA-82CC-4D26DA6B76BB}" mergeInterval="0" personalView="1" maximized="1" xWindow="-9" yWindow="-9" windowWidth="1938" windowHeight="1048" activeSheetId="2"/>
    <customWorkbookView name="Vishwanath, PoluruX - Personal View" guid="{84EBE571-ACB4-4746-8551-8CF160CADA74}" mergeInterval="0" personalView="1" maximized="1" xWindow="-11" yWindow="-11" windowWidth="1942" windowHeight="1042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7" i="2" l="1"/>
  <c r="J618" i="2"/>
  <c r="A167" i="2"/>
  <c r="A534" i="2"/>
  <c r="A116" i="2" l="1"/>
  <c r="A19" i="2"/>
  <c r="A260" i="2" l="1"/>
  <c r="A819" i="2" l="1"/>
  <c r="A560" i="2" l="1"/>
  <c r="A173" i="2"/>
  <c r="A21" i="2"/>
  <c r="J622" i="2" l="1"/>
  <c r="J563" i="2"/>
  <c r="J561" i="2"/>
  <c r="J464" i="2"/>
  <c r="J367" i="2"/>
  <c r="J366" i="2"/>
  <c r="J230" i="2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0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8" i="2"/>
  <c r="A169" i="2"/>
  <c r="A170" i="2"/>
  <c r="A171" i="2"/>
  <c r="A172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5" i="2"/>
  <c r="A536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20" i="2"/>
</calcChain>
</file>

<file path=xl/sharedStrings.xml><?xml version="1.0" encoding="utf-8"?>
<sst xmlns="http://schemas.openxmlformats.org/spreadsheetml/2006/main" count="8268" uniqueCount="1733">
  <si>
    <t>owner</t>
  </si>
  <si>
    <t>jama_id</t>
  </si>
  <si>
    <t>test_complexity</t>
  </si>
  <si>
    <t>Validate Type-C USB2.0 Host Mode (Type-C to A) functionality - after S3, device connected when SUT is in S3 state</t>
  </si>
  <si>
    <t>TCSS</t>
  </si>
  <si>
    <t>raghav3x</t>
  </si>
  <si>
    <t>CSS-IVE-50863</t>
  </si>
  <si>
    <t>Medium</t>
  </si>
  <si>
    <t>Verify pop-up message on connect/disconnect devices and concurrent support of onboard audio and usb mass storage over Type-C port</t>
  </si>
  <si>
    <t>CSS-IVE-50868</t>
  </si>
  <si>
    <t>Low</t>
  </si>
  <si>
    <t>Verify the functionality of USB 2.0, 3.0 devices connected to USB Type-A Port along with USB 3.0 device connected to Type-C port</t>
  </si>
  <si>
    <t>CSS-IVE-50870</t>
  </si>
  <si>
    <t>Verify that the CPU details listed in BIOS are present in the OS.</t>
  </si>
  <si>
    <t>Platform Config and Board BOM</t>
  </si>
  <si>
    <t>chassanx</t>
  </si>
  <si>
    <t>CSS-IVE-50876</t>
  </si>
  <si>
    <t>Verify "Disable Prochot# Output signal" is enabled by default in Bios.</t>
  </si>
  <si>
    <t>Thermal Management</t>
  </si>
  <si>
    <t>reddyv5x</t>
  </si>
  <si>
    <t>CSS-IVE-50881</t>
  </si>
  <si>
    <t>Verify fast boot functionality and BIOS setup options</t>
  </si>
  <si>
    <t>Performance and Responsiveness</t>
  </si>
  <si>
    <t>sumith2x</t>
  </si>
  <si>
    <t>CSS-IVE-50906</t>
  </si>
  <si>
    <t>Verify USB 3.0 device functionality over Type-C port after resume from C-MoS when device is plugged in when SUT is in C-MoS</t>
  </si>
  <si>
    <t>CSS-IVE-50918</t>
  </si>
  <si>
    <t>Verify Charging of SUT using USB Type C port via USB Type C adaptor in dead battery condition</t>
  </si>
  <si>
    <t>Embedded controller and Power sources</t>
  </si>
  <si>
    <t>CSS-IVE-50923</t>
  </si>
  <si>
    <t>Verify charging of battery using USB Type C Port after restart</t>
  </si>
  <si>
    <t>CSS-IVE-50924</t>
  </si>
  <si>
    <t>High</t>
  </si>
  <si>
    <t>Verify charging of battery using USB Type C Port in CMS State</t>
  </si>
  <si>
    <t>CSS-IVE-50926</t>
  </si>
  <si>
    <t>Verify USB 3.0 bootable thumb-drive detect in BIOS and initializes</t>
  </si>
  <si>
    <t>Internal and External Storage</t>
  </si>
  <si>
    <t>anaray5x</t>
  </si>
  <si>
    <t>CSS-IVE-50928</t>
  </si>
  <si>
    <t>Verify booting support through USB 3.0 (SS mass storage) connected over USB Type-A port</t>
  </si>
  <si>
    <t>CSS-IVE-50967</t>
  </si>
  <si>
    <t>Verify if system boots in Fast Boot mode from Cold Boot with system hardware configuration unchanged</t>
  </si>
  <si>
    <t>CSS-IVE-50972</t>
  </si>
  <si>
    <t>Verify concurrent support of USB2.0/3.0 mass storage and USB keyboard/mouse device functionality check over USB Type-A port across Sx (S3,S4,S5)_x000D_
 cycles</t>
  </si>
  <si>
    <t>CSS-IVE-50978</t>
  </si>
  <si>
    <t>Verify device manager post sleep cycling with system in AC mode</t>
  </si>
  <si>
    <t>Power Management</t>
  </si>
  <si>
    <t>CSS-IVE-50980</t>
  </si>
  <si>
    <t>Verify system resumes from S4 with FastBoot mode enabled</t>
  </si>
  <si>
    <t>CSS-IVE-50985</t>
  </si>
  <si>
    <t>Verify system enumerates PS2/USB keyboard appropriately with fast boot enabled and PS/2 Console selected as input console</t>
  </si>
  <si>
    <t>CSS-IVE-50992</t>
  </si>
  <si>
    <t>Verify proper screen is displayed when any non-predefined keys/predefined keys is pressed with fastboot enabled.</t>
  </si>
  <si>
    <t>CSS-IVE-51084</t>
  </si>
  <si>
    <t>Verify Boot priority change when USB bootable device connected over USB Type-A port</t>
  </si>
  <si>
    <t>CSS-IVE-51141</t>
  </si>
  <si>
    <t>Verify Splash screen and USB device enumeration are skipped when system fast boots to OS.</t>
  </si>
  <si>
    <t>CSS-IVE-51143</t>
  </si>
  <si>
    <t>Verify BIOS options for HD Audio, Soundwire and I2S Configuration</t>
  </si>
  <si>
    <t>Display, Graphics, Video and Audio</t>
  </si>
  <si>
    <t>CSS-IVE-51162</t>
  </si>
  <si>
    <t>Verify Enable/Disable eMMC controller in BIOS ,respective eMMC boot and file transfer in OS</t>
  </si>
  <si>
    <t>CSS-IVE-51250</t>
  </si>
  <si>
    <t>Verify Fast Boot and Full Boot timings and compare both</t>
  </si>
  <si>
    <t>CSS-IVE-51264</t>
  </si>
  <si>
    <t>Verify BIOS Setup shall display options needed for PCH Thermal reporting and Thermal Throttling (DMI, SATA)</t>
  </si>
  <si>
    <t>CSS-IVE-51373</t>
  </si>
  <si>
    <t>Verify SUT can boot to EFI Shell and SUT resets on Ctrl+Alt+Del</t>
  </si>
  <si>
    <t>System Firmware Builds and bringup</t>
  </si>
  <si>
    <t>CSS-IVE-52371</t>
  </si>
  <si>
    <t>Verify BIOS ID follows the standard format</t>
  </si>
  <si>
    <t>CSS-IVE-52374</t>
  </si>
  <si>
    <t>Verify BIOS detects and boots properly from second boot entry if first device fails to boot</t>
  </si>
  <si>
    <t>CSS-IVE-52376</t>
  </si>
  <si>
    <t>Verify that UEFI Shell works in 64/32 bit Mode while booting a x64/x32 Bit OS</t>
  </si>
  <si>
    <t>Industry Specs and Open source initiatives</t>
  </si>
  <si>
    <t>vhebbarx</t>
  </si>
  <si>
    <t>CSS-IVE-52378</t>
  </si>
  <si>
    <t>Verify that Intel test menu option is enabled by updating Test Menu enabled BIOS</t>
  </si>
  <si>
    <t>CSS-IVE-52381</t>
  </si>
  <si>
    <t>Validate if BIOS settings are getting saved or rolled back as per user selection</t>
  </si>
  <si>
    <t>CSS-IVE-52383</t>
  </si>
  <si>
    <t>Verify working WinRE image must be present on all Win10 Client Systems</t>
  </si>
  <si>
    <t>CSS-IVE-52385</t>
  </si>
  <si>
    <t>Verify AC to DC  transition occurs with Virtual battery switch.</t>
  </si>
  <si>
    <t>CSS-IVE-52488</t>
  </si>
  <si>
    <t>Verify Sx functionality post generating BSOD</t>
  </si>
  <si>
    <t>CSS-IVE-52489</t>
  </si>
  <si>
    <t>Verify touch panel connected through I2C bus are detected and functional in OS.</t>
  </si>
  <si>
    <t>Touch &amp; Sensing</t>
  </si>
  <si>
    <t>CSS-IVE-52494</t>
  </si>
  <si>
    <t>Verify Subsystem IDs programmed by BIOS for all the native devices using self test tool</t>
  </si>
  <si>
    <t>CSS-IVE-52541</t>
  </si>
  <si>
    <t>Verify wakeup event using Touch sensor is successful for multiple iterations(Touch Pad)</t>
  </si>
  <si>
    <t>CSS-IVE-52738</t>
  </si>
  <si>
    <t>Verify that when either charger or battery is connected, the "Power Saver" profile can be changed &amp; implemented in the SUT.</t>
  </si>
  <si>
    <t>CSS-IVE-53739</t>
  </si>
  <si>
    <t>Verify Discrete Bluetooth module functionality after S3 and S4 wake</t>
  </si>
  <si>
    <t>Networking and Connectivity</t>
  </si>
  <si>
    <t>CSS-IVE-53877</t>
  </si>
  <si>
    <t>Verify video playback post sleep cycling</t>
  </si>
  <si>
    <t>CSS-IVE-53879</t>
  </si>
  <si>
    <t>Verify xHCI device detection and USB port configuration</t>
  </si>
  <si>
    <t>CSS-IVE-53883</t>
  </si>
  <si>
    <t>Verify SUT can boot to a HDD and detected under IDE ATA/ATAPI controller with SATA mode set to AHCI</t>
  </si>
  <si>
    <t>CSS-IVE-53886</t>
  </si>
  <si>
    <t>Verify stability of SUT by hot swapping AC/DC power supply</t>
  </si>
  <si>
    <t>CSS-IVE-53889</t>
  </si>
  <si>
    <t>Verify audio playback post Sleep cycling in AC mode</t>
  </si>
  <si>
    <t>CSS-IVE-53890</t>
  </si>
  <si>
    <t>Verify Analog Microphone functionality when Audio DSP enabled/disabled in BIOS</t>
  </si>
  <si>
    <t>CSS-IVE-53971</t>
  </si>
  <si>
    <t>Verify Windows OS presents the Boot repair options on 2 consecutive boot failures</t>
  </si>
  <si>
    <t>CSS-IVE-54042</t>
  </si>
  <si>
    <t>Verifying XHCI Debug Port exposed via ACPI DBGP Table</t>
  </si>
  <si>
    <t>Debug Interfaces and Traces</t>
  </si>
  <si>
    <t>CSS-IVE-54043</t>
  </si>
  <si>
    <t>Verifying functionality of GPIO Pins/INT with Volume Up/Volume Down/Home/ Wireless ON/OFF buttons</t>
  </si>
  <si>
    <t>Flex I/O and Internal Buses</t>
  </si>
  <si>
    <t>CSS-IVE-54056</t>
  </si>
  <si>
    <t>Verify PAVPC Register programming</t>
  </si>
  <si>
    <t>CSS-IVE-54075</t>
  </si>
  <si>
    <t>Verify whether the operation of Windows in safe mode is supported</t>
  </si>
  <si>
    <t>CSS-IVE-54155</t>
  </si>
  <si>
    <t>Verify that system boot with maximum memory populated on Channel 0</t>
  </si>
  <si>
    <t>Memory Technologies and Topologies</t>
  </si>
  <si>
    <t>CSS-IVE-54161</t>
  </si>
  <si>
    <t>Verify Memory details displayed in BIOS Setup Menu is reflecting in the OS</t>
  </si>
  <si>
    <t>CSS-IVE-54162</t>
  </si>
  <si>
    <t>Verify system boots with minimum supported memory populated on both the channels</t>
  </si>
  <si>
    <t>CSS-IVE-54167</t>
  </si>
  <si>
    <t>Verify System goes to S3 (standby)/ S4(hibernate) with single channel maximum memory(8GB)</t>
  </si>
  <si>
    <t>CSS-IVE-54169</t>
  </si>
  <si>
    <t>Verify System goes to S3 (standby) / S4 (hibernate) with dual channel minimum memory</t>
  </si>
  <si>
    <t>CSS-IVE-54172</t>
  </si>
  <si>
    <t>Verify the Memory map table given to OS for S4 Boot shall be same from cold boot</t>
  </si>
  <si>
    <t>CSS-IVE-54173</t>
  </si>
  <si>
    <t>Verify that MRC training is not repeated after the fast boot and force repeated post cold boot.</t>
  </si>
  <si>
    <t>CSS-IVE-54174</t>
  </si>
  <si>
    <t>Verify that system doesn"t boot if memory DIMMS are not properly inserted on board.</t>
  </si>
  <si>
    <t>CSS-IVE-54175</t>
  </si>
  <si>
    <t>Verify correct memory capacity is displayed in EFI shell.</t>
  </si>
  <si>
    <t>CSS-IVE-54177</t>
  </si>
  <si>
    <t>Validate CPU and Memory are stable during 10 minutes execution of Stability Test App</t>
  </si>
  <si>
    <t>CSS-IVE-54180</t>
  </si>
  <si>
    <t>Verify the memory information in Task Manager</t>
  </si>
  <si>
    <t>CSS-IVE-54185</t>
  </si>
  <si>
    <t>Verify that Stolen memory for GFX check</t>
  </si>
  <si>
    <t>CSS-IVE-54186</t>
  </si>
  <si>
    <t>Verify SUT boots fine with all combination of Memory DIMMS</t>
  </si>
  <si>
    <t>CSS-IVE-54189</t>
  </si>
  <si>
    <t>Verify that the BIOS MRC has an option to set "Memory Frequency".</t>
  </si>
  <si>
    <t>CSS-IVE-54190</t>
  </si>
  <si>
    <t>Verify if two memory populated are of different frequency, higher frequency memory should downgrade to the maximum frequency supported.</t>
  </si>
  <si>
    <t>CSS-IVE-54191</t>
  </si>
  <si>
    <t>Verify default value of PL3 is reported Via MSR 615h</t>
  </si>
  <si>
    <t>CSS-IVE-54204</t>
  </si>
  <si>
    <t>Verify Platform PL1 and PL2 status reflection as part of MSR_PLATFORM_POWER_LIMIT MSR</t>
  </si>
  <si>
    <t>CSS-IVE-54205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</si>
  <si>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</si>
  <si>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</si>
  <si>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</si>
  <si>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</si>
  <si>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RTIT(Run Time Instruction Trace) feature for Processor Trace</t>
  </si>
  <si>
    <t>CSS-IVE-54212</t>
  </si>
  <si>
    <t>Verify options provided for PCI Express Configuration in BIOS</t>
  </si>
  <si>
    <t>CSS-IVE-54250</t>
  </si>
  <si>
    <t>Verify system stability post Warm and Cold reset cycles from EFI shell</t>
  </si>
  <si>
    <t>CSS-IVE-54317</t>
  </si>
  <si>
    <t>Validate Type-C USB2.0 Host Mode (Type-C to A) functionality - after S5 and G3 Cycles</t>
  </si>
  <si>
    <t>CSS-IVE-61672</t>
  </si>
  <si>
    <t>Validate Type-C USB2.0 Host Mode (Type-C to A) functionality - before and after CS Cycles</t>
  </si>
  <si>
    <t>CSS-IVE-61673</t>
  </si>
  <si>
    <t>Validate Type-C USB3.0 Host Mode (Type-C to A) functionality - hot plug device before and in Sx state</t>
  </si>
  <si>
    <t>CSS-IVE-61674</t>
  </si>
  <si>
    <t>Validate Type-C USB3.0 Host Mode (Type-C to A) functionality - after S5 and G3 Cycles</t>
  </si>
  <si>
    <t>CSS-IVE-61675</t>
  </si>
  <si>
    <t>Validate Type-C USB3.0 Host Mode (Type-C to A) functionality - after CS, S4, S5, G3 Cycles</t>
  </si>
  <si>
    <t>CSS-IVE-61676</t>
  </si>
  <si>
    <t>Verify DP-display and Keyboard functionality over USB Type-C port before and after S4,S5 and G3 state</t>
  </si>
  <si>
    <t>CSS-IVE-61679</t>
  </si>
  <si>
    <t>Verify concurrent use of USB device functionality over USB Type A and Type-C Port</t>
  </si>
  <si>
    <t>CSS-IVE-61680</t>
  </si>
  <si>
    <t>Verify SUT can power up with power button after shut down from OS (S0-S5-S0 transition)</t>
  </si>
  <si>
    <t>CSS-IVE-61819</t>
  </si>
  <si>
    <t>Verify _DSD method for D3 with NVMe connected to M.2 CPU slot  in AHCI mode</t>
  </si>
  <si>
    <t>CSS-IVE-145820</t>
  </si>
  <si>
    <t>Verify Sx cycles with SATA HDD connected when Windbg &amp; Hyper V enabled.</t>
  </si>
  <si>
    <t>CSS-IVE-147124</t>
  </si>
  <si>
    <t>Verify Socket Information in SMBIOS Type4 Table</t>
  </si>
  <si>
    <t>CSS-IVE-147224</t>
  </si>
  <si>
    <t>Verify BIOS supports Virtual SPI over USB Device</t>
  </si>
  <si>
    <t>CSS-IVE-147236</t>
  </si>
  <si>
    <t>Verify PMC send IPC command to collect Crash Log on every reset</t>
  </si>
  <si>
    <t>CSS-IVE-133794</t>
  </si>
  <si>
    <t>Verify CPU Frequency throttle when core temperature exceeds passive trip point with DPTF Enabled in BIOS</t>
  </si>
  <si>
    <t>CSS-IVE-118601</t>
  </si>
  <si>
    <t>Verify ACPI CPPC objects from SSDT and DSDT</t>
  </si>
  <si>
    <t>CSS-IVE-50726</t>
  </si>
  <si>
    <t>Verify CPU Frequency throttle when core temperature exceeds passive trip point with DTS SMM enabled and DPTF Enabled in BIOS after Sx( S4/S5)</t>
  </si>
  <si>
    <t>CSS-IVE-118602</t>
  </si>
  <si>
    <t>Verify participant and policies wont load when DPTF option is disabled in BIOS.</t>
  </si>
  <si>
    <t>CSS-IVE-50805</t>
  </si>
  <si>
    <t>Verify CPU FAN rotate when core temperature exceeds Active trip point with DTS SMM enabled and DPTF Enabled in BIOS</t>
  </si>
  <si>
    <t>CSS-IVE-118603</t>
  </si>
  <si>
    <t>Verify P-State transitions of CPU based on Turbo mode</t>
  </si>
  <si>
    <t>CSS-IVE-50809</t>
  </si>
  <si>
    <t>Verify CPU FAN rotate when core temperature exceeds Active trip point with DTS SMM enabled and DPTF Enabled in BIOS after Sx (S4/S5)</t>
  </si>
  <si>
    <t>CSS-IVE-118604</t>
  </si>
  <si>
    <t>Verify Power Limit 3 Lock status via PL3_CONTROL MSR based on Value set in BIOS setup option</t>
  </si>
  <si>
    <t>CSS-IVE-50811</t>
  </si>
  <si>
    <t>Verify System shutdown when core temperature exceeds Critical trip point with DTS SMM enabled and DPTF Enabled in BIOS</t>
  </si>
  <si>
    <t>CSS-IVE-118605</t>
  </si>
  <si>
    <t>Verify DPTF driver cannot be installed when DPTF option is disabled in Bios setup</t>
  </si>
  <si>
    <t>CSS-IVE-50812</t>
  </si>
  <si>
    <t>Verify System shutdown when core temperature exceeds Critical trip point with DTS SMM enabled and DPTF Enabled in BIOS after Sx (S4/S5)</t>
  </si>
  <si>
    <t>CSS-IVE-118606</t>
  </si>
  <si>
    <t>Verify "Intel(R) Speed Shift Technology" reflection via IA32_PM_ENABLE MSR</t>
  </si>
  <si>
    <t>CSS-IVE-50815</t>
  </si>
  <si>
    <t>Verify Critical/Active/Passive trip point with DTS SMM enabled and DPTF Enabled in BIOS after S3</t>
  </si>
  <si>
    <t>CSS-IVE-118607</t>
  </si>
  <si>
    <t>Verify Platform supports " Intel(R) Speed Shift Technology" via MISC_PWR_MGMT MSR</t>
  </si>
  <si>
    <t>CSS-IVE-50816</t>
  </si>
  <si>
    <t>Validate "Power Limit 2" BIOS options</t>
  </si>
  <si>
    <t>CSS-IVE-64117</t>
  </si>
  <si>
    <t>Validate Processor Brand String under Bios Page and OS</t>
  </si>
  <si>
    <t>CSS-IVE-44278</t>
  </si>
  <si>
    <t>Validate Processor Frequency Under Bios page and OS (Turbo Mode Enable)</t>
  </si>
  <si>
    <t>CSS-IVE-44281</t>
  </si>
  <si>
    <t>Verify package C-states support with system in AC mode</t>
  </si>
  <si>
    <t>CSS-IVE-44355</t>
  </si>
  <si>
    <t>Verify "C-states" is enabled by default in BIOS</t>
  </si>
  <si>
    <t>CSS-IVE-44356</t>
  </si>
  <si>
    <t>Verify system support of Monitor/MWait extensions with Enabled / Disabled</t>
  </si>
  <si>
    <t>CSS-IVE-46084</t>
  </si>
  <si>
    <t>Machine Check Architecture Support</t>
  </si>
  <si>
    <t>CSS-IVE-44358</t>
  </si>
  <si>
    <t>Verify BIOS control of Intel(R) Speed Shift Technology (HWP) via MISC_PWR_MGMT MSR</t>
  </si>
  <si>
    <t>CSS-IVE-65799</t>
  </si>
  <si>
    <t>Verify C8 residency pre and post  hibernate state with USB 3.0 Mass Storage device connected to system</t>
  </si>
  <si>
    <t>CSS-IVE-65794</t>
  </si>
  <si>
    <t>Verify C1E should get disabled on disabling C-states</t>
  </si>
  <si>
    <t>CSS-IVE-50701</t>
  </si>
  <si>
    <t>Verify package C-state won"t be available on disabling C-states in Bios</t>
  </si>
  <si>
    <t>CSS-IVE-47419</t>
  </si>
  <si>
    <t>Verify the CPU reaches its rated turbo speed when all cores are active.</t>
  </si>
  <si>
    <t>CSS-IVE-50712</t>
  </si>
  <si>
    <t>Verify Bios gives an option to change CPU Custom critical trip point below TjMax and to set TCC Activation offSet</t>
  </si>
  <si>
    <t>CSS-IVE-50696</t>
  </si>
  <si>
    <t>Verify All DPTF participants are loaded in DPTF Monitor</t>
  </si>
  <si>
    <t>CSS-IVE-50814</t>
  </si>
  <si>
    <t>Verify Tcc Activation offset should be set and  Critical Trip Point should be functional</t>
  </si>
  <si>
    <t>CSS-IVE-50828</t>
  </si>
  <si>
    <t>Verify TURBO_POWER_LIMIT via PACKAGE_RAPL_LIMIT MSR</t>
  </si>
  <si>
    <t>CSS-IVE-50708</t>
  </si>
  <si>
    <t>Verify core C6 residency with system in S0 state</t>
  </si>
  <si>
    <t>CSS-IVE-64415</t>
  </si>
  <si>
    <t>Verify Intel(R) Speed Shift Technology Interrupt Notification status via MISC_PWR_MGMT MSR</t>
  </si>
  <si>
    <t>CSS-IVE-50717</t>
  </si>
  <si>
    <t>Verify that Package PL2 value is 1.25 times higher than PL1 value</t>
  </si>
  <si>
    <t>CSS-IVE-70925</t>
  </si>
  <si>
    <t>Verify PL4 lock via VR_CURRENT_CONFIG MSR</t>
  </si>
  <si>
    <t>CSS-IVE-70932</t>
  </si>
  <si>
    <t>Verify TCC clamp via TEMPERATURE_TARGET MSR</t>
  </si>
  <si>
    <t>CSS-IVE-71017</t>
  </si>
  <si>
    <t>Verify "TCC offset time window" configuration in Bios</t>
  </si>
  <si>
    <t>CSS-IVE-71089</t>
  </si>
  <si>
    <t>Verify Package PL1 and PL2 enablement from CPU</t>
  </si>
  <si>
    <t>CSS-IVE-71150</t>
  </si>
  <si>
    <t>Verify CPU supports for PSYS feature</t>
  </si>
  <si>
    <t>CSS-IVE-71186</t>
  </si>
  <si>
    <t>Verify Power Limit 3 via PL3_CONTROL MSR</t>
  </si>
  <si>
    <t>CSS-IVE-80989</t>
  </si>
  <si>
    <t>Verify Bios has an option to change the PL3 Time window Value</t>
  </si>
  <si>
    <t>CSS-IVE-81018</t>
  </si>
  <si>
    <t>Verify default bios option for "Package C State Limit"</t>
  </si>
  <si>
    <t>CSS-IVE-80329</t>
  </si>
  <si>
    <t>Verify T-state enablement and disablement as part of Setup</t>
  </si>
  <si>
    <t>CSS-IVE-75912</t>
  </si>
  <si>
    <t>Verify user should be able to read the maximum temperature that the processor can function in OS</t>
  </si>
  <si>
    <t>CSS-IVE-75360</t>
  </si>
  <si>
    <t>Verify platform information via PLATFORM_INFO MSR</t>
  </si>
  <si>
    <t>CSS-IVE-92959</t>
  </si>
  <si>
    <t>Polling Period for Power/Battery participant should be by default in interrupt mode</t>
  </si>
  <si>
    <t>CSS-IVE-98894</t>
  </si>
  <si>
    <t>Dynamic Thermal Platform framework should allow upto 6 OEM variables to be defined in order to support Power Boss policy</t>
  </si>
  <si>
    <t>CSS-IVE-98897</t>
  </si>
  <si>
    <t>LPM Policy should not be present under DPTF policies in BIOS</t>
  </si>
  <si>
    <t>CSS-IVE-99279</t>
  </si>
  <si>
    <t>Cooling Mode Policy should not be present under DPTF policies in BIOS</t>
  </si>
  <si>
    <t>CSS-IVE-99280</t>
  </si>
  <si>
    <t>Hardware Duty Cycling Policy should not be present under DPTF policies in BIOS</t>
  </si>
  <si>
    <t>CSS-IVE-99282</t>
  </si>
  <si>
    <t>Set Cooling policy (_SCP and DSCP) methods should not be get enumerated in OS</t>
  </si>
  <si>
    <t>CSS-IVE-99302</t>
  </si>
  <si>
    <t>Verify Timed MWait status via PKG_CST_CONFIG_CONTROL MSR</t>
  </si>
  <si>
    <t>CSS-IVE-99968</t>
  </si>
  <si>
    <t>Verify Platform support "Timed MWait" Feature via PLATFORM_INFO MSR</t>
  </si>
  <si>
    <t>CSS-IVE-100039</t>
  </si>
  <si>
    <t>Verify P-state Cycling when Active processor cores are disabled</t>
  </si>
  <si>
    <t>CSS-IVE-101309</t>
  </si>
  <si>
    <t>Verify CPU C10 residency when system connected to Wi-Fi Network</t>
  </si>
  <si>
    <t>CSS-IVE-101394</t>
  </si>
  <si>
    <t>Verify DPTF Processor participant does not get enumerated in device manager when it is disabled in BIOS</t>
  </si>
  <si>
    <t>CSS-IVE-102222</t>
  </si>
  <si>
    <t>Validate PTYP (Participant Device Type) method is defined for Display and Fan participants</t>
  </si>
  <si>
    <t>CSS-IVE-102235</t>
  </si>
  <si>
    <t>Validate PBOK method is defined for Power Participant</t>
  </si>
  <si>
    <t>CSS-IVE-102265</t>
  </si>
  <si>
    <t>BIOS should have option to enable or disable graphics turbo technology</t>
  </si>
  <si>
    <t>CSS-IVE-92936</t>
  </si>
  <si>
    <t>Validate Active trip points for DPTF CPU participant</t>
  </si>
  <si>
    <t>CSS-IVE-105595</t>
  </si>
  <si>
    <t>Verify Platform supports SoC crash by checking ACPI BERT table</t>
  </si>
  <si>
    <t>CSS-IVE-100152</t>
  </si>
  <si>
    <t>Validate ACPI methods required by DPTF to notify BIOS regarding the current DPTF status</t>
  </si>
  <si>
    <t>CSS-IVE-111656</t>
  </si>
  <si>
    <t>Validate DPTF support for PCH FIVR participant</t>
  </si>
  <si>
    <t>CSS-IVE-100086</t>
  </si>
  <si>
    <t>Validate methods required by Fan device participant are enumerated as part of ACPI DPTF table</t>
  </si>
  <si>
    <t>CSS-IVE-114278</t>
  </si>
  <si>
    <t>Verify CPU interrupt storm routine(ISR) check</t>
  </si>
  <si>
    <t>CSS-IVE-115822</t>
  </si>
  <si>
    <t>Verify platform support "Energy Efficient Turbo" using MSR 1FC [19]</t>
  </si>
  <si>
    <t>CSS-IVE-117779</t>
  </si>
  <si>
    <t>Verify PL4 values via VR_CURRENT_CONFIG MSR</t>
  </si>
  <si>
    <t>CSS-IVE-117833</t>
  </si>
  <si>
    <t>Verify DPTF Power &amp; Processor participants in ACPI dump</t>
  </si>
  <si>
    <t>CSS-IVE-117076</t>
  </si>
  <si>
    <t>Verify Bios gives an option to configure energy efficient P-states and energy efficient turbo</t>
  </si>
  <si>
    <t>CSS-IVE-114909</t>
  </si>
  <si>
    <t>Verify TDC values gets displayed as part of Setup and it is configured correctly based on form factor</t>
  </si>
  <si>
    <t>CSS-IVE-114911</t>
  </si>
  <si>
    <t>Verify Bios displays current IMON Slope/Offset default value being used by SKU</t>
  </si>
  <si>
    <t>CSS-IVE-118056</t>
  </si>
  <si>
    <t>Verify default fused values for PL1,PL2,PL3 and PL4</t>
  </si>
  <si>
    <t>CSS-IVE-118448</t>
  </si>
  <si>
    <t>Validate DPTF support for Battery participant</t>
  </si>
  <si>
    <t>CSS-IVE-118598</t>
  </si>
  <si>
    <t>Validate DPTF support for Charger participant</t>
  </si>
  <si>
    <t>CSS-IVE-118599</t>
  </si>
  <si>
    <t>Validate DPTF Battery participant functionality</t>
  </si>
  <si>
    <t>CSS-IVE-118609</t>
  </si>
  <si>
    <t>Verify DPTF IETM _OSC ACPI method handle dynamic policies properly</t>
  </si>
  <si>
    <t>CSS-IVE-118654</t>
  </si>
  <si>
    <t>Verify IPCS method gets exposed as part of ACPI dump</t>
  </si>
  <si>
    <t>CSS-IVE-119294</t>
  </si>
  <si>
    <t>Verify Iccmax gets displayed as part of Setup and it is configured correctly based on form factor</t>
  </si>
  <si>
    <t>CSS-IVE-119488</t>
  </si>
  <si>
    <t>Verify system switches to Max performance mode (HFM) prior to Memory Initialization with Turbo mode in disabled state</t>
  </si>
  <si>
    <t>CSS-IVE-119501</t>
  </si>
  <si>
    <t>Verify VR voltage limit gets displayed as part of Setup and it is configured correctly based on form factor</t>
  </si>
  <si>
    <t>CSS-IVE-120144</t>
  </si>
  <si>
    <t>Verify Power Limit 1 and Power Limit 2 values gets displayed as part of Setup and it is configured correctly based on form factor</t>
  </si>
  <si>
    <t>CSS-IVE-120149</t>
  </si>
  <si>
    <t>Verify non POR options have been removed as part of Acoustic Noise Settings</t>
  </si>
  <si>
    <t>CSS-IVE-120302</t>
  </si>
  <si>
    <t>Verify power state settings are configured correctly</t>
  </si>
  <si>
    <t>CSS-IVE-120304</t>
  </si>
  <si>
    <t>Verify SUT enters Pkg C10 when OS power policy with Lid Close settings set to DO Nothing (legacy S3 Config)</t>
  </si>
  <si>
    <t>CSS-IVE-130047</t>
  </si>
  <si>
    <t>Verify SUT enters Pkg C10 when OS power policy with Lid Close settings set to DO Nothing (MS Config)</t>
  </si>
  <si>
    <t>CSS-IVE-130048</t>
  </si>
  <si>
    <t>Validate GET ACPI methods in PCH ACPI device for DPTF PCH FIVR participant</t>
  </si>
  <si>
    <t>CSS-IVE-132617</t>
  </si>
  <si>
    <t>Verify CPUID and FMS  For DT/mobile SKU</t>
  </si>
  <si>
    <t>CSS-IVE-135500</t>
  </si>
  <si>
    <t>Verify BIOS support for AVX3 ratio offset with and without ATOM cores enabled</t>
  </si>
  <si>
    <t>Performance Tuning and overclocking</t>
  </si>
  <si>
    <t>CSS-IVE-145267</t>
  </si>
  <si>
    <t>Verify Re-arm command before and after disabling Re-arm BIOS knob</t>
  </si>
  <si>
    <t>CSS-IVE-145806</t>
  </si>
  <si>
    <t>Verify BIOS support for new Device PMAX</t>
  </si>
  <si>
    <t>CSS-IVE-145808</t>
  </si>
  <si>
    <t>Verify Bios programs CPPM_CG_POL1B.TNTE_FORCE_ON register correctly</t>
  </si>
  <si>
    <t>CSS-IVE-145817</t>
  </si>
  <si>
    <t>Verify No device yellow bangs post warm boot cycles with all device connected as per config planned ( Golden, delta, 5, 4, 3 STAR )</t>
  </si>
  <si>
    <t>CSS-IVE-50604</t>
  </si>
  <si>
    <t>Verify ACPI implementation to control WIFI 6 11AX support based on _DSM Method</t>
  </si>
  <si>
    <t>CSS-IVE-133051</t>
  </si>
  <si>
    <t>Verify system stability post Sx/S0ix-cycling via Cycling Tools</t>
  </si>
  <si>
    <t>CSS-IVE-50603</t>
  </si>
  <si>
    <t>Verify system stability post Sx cycles with Keyboard as wake source</t>
  </si>
  <si>
    <t>CSS-IVE-65923</t>
  </si>
  <si>
    <t>Verify System stability on staying in idle state for 12 hours with Display ON</t>
  </si>
  <si>
    <t>Verify that GPIO devices are enumerated properly on the SUT</t>
  </si>
  <si>
    <t>CSS-IVE-50609</t>
  </si>
  <si>
    <t>Stress S5-G3-S5 and verify that there is no break in functionality</t>
  </si>
  <si>
    <t>CSS-IVE-65920</t>
  </si>
  <si>
    <t>Verify Front and Rear camera functionality Pre and Post S3,S4,S5 Cycles</t>
  </si>
  <si>
    <t>CSS-IVE-65967</t>
  </si>
  <si>
    <t>Validate Type-C USB2.0 Host Mode (Type-C to A) functionality - after CMS, device connected when SUT is in CMS state</t>
  </si>
  <si>
    <t>CSS-IVE-66055</t>
  </si>
  <si>
    <t>Validate Type-C USB2.0 Host Mode (Type-C to A) functionality - after Sx, device connected when SUT is in S3,S4 state</t>
  </si>
  <si>
    <t>CSS-IVE-66059</t>
  </si>
  <si>
    <t>Validate Type-C USB3.0 Host Mode (Type-C to A) functionality - before and after Sx cycles</t>
  </si>
  <si>
    <t>CSS-IVE-66060</t>
  </si>
  <si>
    <t>[Type-c]Verify RTD3 support for USB3.0 device (Pendrive)</t>
  </si>
  <si>
    <t>CSS-IVE-66100</t>
  </si>
  <si>
    <t>Verify RTD3 support for USB2.0 Device</t>
  </si>
  <si>
    <t>CSS-IVE-66099</t>
  </si>
  <si>
    <t>Install OS from external USB Flash Disk to UFS</t>
  </si>
  <si>
    <t>CSS-IVE-67699</t>
  </si>
  <si>
    <t>Verify UART function test on OS - Debug logs generation</t>
  </si>
  <si>
    <t>CSS-IVE-69495</t>
  </si>
  <si>
    <t>Validate Virtual keyboard can be functional in BIOS and OS</t>
  </si>
  <si>
    <t>CSS-IVE-69889</t>
  </si>
  <si>
    <t>Verify whether system is able to complete S5 (Shutdown) cycles after disabling fast boot in Performance BIOS</t>
  </si>
  <si>
    <t>CSS-IVE-69897</t>
  </si>
  <si>
    <t>Verify Dual display is working in Clone mode (onboard eDP+HDMI) with S4, S5, warm and cold reset cycles</t>
  </si>
  <si>
    <t>CSS-IVE-70040</t>
  </si>
  <si>
    <t>Verify Dual display is working in Clone mode with (onboard eDP+HDMI) S3 cycles</t>
  </si>
  <si>
    <t>CSS-IVE-70340</t>
  </si>
  <si>
    <t>Validate SUT can login using Finger Print Password after waking from CS.</t>
  </si>
  <si>
    <t>CSS-IVE-70819</t>
  </si>
  <si>
    <t>Verify that ACPI tables have proper revision ID"s as per the ACPI spec.</t>
  </si>
  <si>
    <t>CSS-IVE-70961</t>
  </si>
  <si>
    <t>Verify system wakes from CMS/S0i3 state via Finger Print Sensor.</t>
  </si>
  <si>
    <t>CSS-IVE-70966</t>
  </si>
  <si>
    <t>Verify that WWAN enter D3 when SUT is in CMS</t>
  </si>
  <si>
    <t>CSS-IVE-70970</t>
  </si>
  <si>
    <t>Verify devices (M.2 SATA SSD, WiFi, BT, Camera, Touch Panel) are entering to RTD3 cold state</t>
  </si>
  <si>
    <t>CSS-IVE-70971</t>
  </si>
  <si>
    <t>Verify SUT wakes from Connected Standby using Touchpad</t>
  </si>
  <si>
    <t>CSS-IVE-16697</t>
  </si>
  <si>
    <t>BIOS-CS: Verify Battery Charging/ Discharging happening in connected Standby</t>
  </si>
  <si>
    <t>CSS-IVE-71012</t>
  </si>
  <si>
    <t>Verify system enters S5 state irrespective of fast startup option in OS with system in AC mode</t>
  </si>
  <si>
    <t>CSS-IVE-72694</t>
  </si>
  <si>
    <t>Verify concurrent functionality of USB-C PD and USB-C Data Transfer ports for dual port RVP</t>
  </si>
  <si>
    <t>CSS-IVE-84963</t>
  </si>
  <si>
    <t>Verify basic Power Button Functionality in   DC  mode</t>
  </si>
  <si>
    <t>CSS-IVE-85621</t>
  </si>
  <si>
    <t>Validate system wakes up from Sx states via USB devices</t>
  </si>
  <si>
    <t>CSS-IVE-80238</t>
  </si>
  <si>
    <t>Verify SATA HDD data transfer at OS and EFI Shell</t>
  </si>
  <si>
    <t>CSS-IVE-81062</t>
  </si>
  <si>
    <t>Verify RTD3/ACPI D3cold Support can be enabled/disabled from Setup and SUT remains intact across Sx cycles</t>
  </si>
  <si>
    <t>CSS-IVE-80982</t>
  </si>
  <si>
    <t>Verify different power states (Active/IDLE, partial and slumber) for SATA Phy layer</t>
  </si>
  <si>
    <t>CSS-IVE-88927</t>
  </si>
  <si>
    <t>Verify that ACPI supports Low Power Idle Table (LPIT) to support Modern Standby</t>
  </si>
  <si>
    <t>CSS-IVE-78644</t>
  </si>
  <si>
    <t>Verify "Package c-state residency" with system in DC mode during CMS with "Package C state" limited to deeper C-states</t>
  </si>
  <si>
    <t>CSS-IVE-91929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</si>
  <si>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</si>
  <si>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</si>
  <si>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</si>
  <si>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</si>
  <si>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Verify Max C State support with system in DC power mode</t>
  </si>
  <si>
    <t>CSS-IVE-92250</t>
  </si>
  <si>
    <t>Verify system stability post Connected Modern Standby cycling</t>
  </si>
  <si>
    <t>CSS-IVE-92265</t>
  </si>
  <si>
    <t>Verify System trace Via BSSB interface over Type-C port</t>
  </si>
  <si>
    <t>CSS-IVE-76118</t>
  </si>
  <si>
    <t>Verify System stays in S5 when power button is pressed while in Bios page (Negative Test )</t>
  </si>
  <si>
    <t>CSS-IVE-92277</t>
  </si>
  <si>
    <t>Validate Type-C USB2.0 Host Mode (Type-C to A) functionality after Deep S5, Cable connected at Deep S5 State</t>
  </si>
  <si>
    <t>CSS-IVE-92311</t>
  </si>
  <si>
    <t>Validate Type-C USB3.0 Host Mode (Type-C to A) functionality after Deep S5, Cable connected at Deep S5 State</t>
  </si>
  <si>
    <t>CSS-IVE-92312</t>
  </si>
  <si>
    <t>Validate HDMI Display functionality over Type-C port in Pre/Post Sx and reboot cycles</t>
  </si>
  <si>
    <t>CSS-IVE-92747</t>
  </si>
  <si>
    <t>Verify Bluetooth power management profile for Mobile SKU through ACPI table</t>
  </si>
  <si>
    <t>CSS-IVE-79892</t>
  </si>
  <si>
    <t>Validate NVMe-SSD(NAND Storage) devices for RTD3</t>
  </si>
  <si>
    <t>CSS-IVE-80341</t>
  </si>
  <si>
    <t>Verify Hardware Identifiers of DPTF participant devices in device manager</t>
  </si>
  <si>
    <t>CSS-IVE-92964</t>
  </si>
  <si>
    <t>Validate DPTF ACPI objects required for DPTF Manager device are getting enumerated in ACPI dump</t>
  </si>
  <si>
    <t>CSS-IVE-92987</t>
  </si>
  <si>
    <t>Validate Thermal objects required for DPTF Participant devices are getting enumerated in ACPI dump</t>
  </si>
  <si>
    <t>CSS-IVE-93070</t>
  </si>
  <si>
    <t>Validate Power objects required for DPTF Participant devices are getting enumerated in ACPI dump</t>
  </si>
  <si>
    <t>CSS-IVE-93071</t>
  </si>
  <si>
    <t>Verify USB3.1 Gen2 device functionality with pre and post Sx (S3,S4,S5) cycles over Type-C port</t>
  </si>
  <si>
    <t>CSS-IVE-94312</t>
  </si>
  <si>
    <t>Verify USB3.1 gen2 device functionality before/after C-MoS state over Type-C port</t>
  </si>
  <si>
    <t>CSS-IVE-94315</t>
  </si>
  <si>
    <t>Verify USB Camera functionality over Type-C port with pre and post Sx (S3,S4,S5) cycles</t>
  </si>
  <si>
    <t>CSS-IVE-94316</t>
  </si>
  <si>
    <t>Verify Install OS and Booting from Type-C USB 3.1 gen2 device</t>
  </si>
  <si>
    <t>CSS-IVE-94317</t>
  </si>
  <si>
    <t>Verify OS debug support using Windbg debugging over Type-C port</t>
  </si>
  <si>
    <t>CSS-IVE-94318</t>
  </si>
  <si>
    <t>Verify Type-C Docking with 2XLANE DP and Super Speed functionality before/after Sx Cycles(S3,S4,S5)</t>
  </si>
  <si>
    <t>CSS-IVE-94320</t>
  </si>
  <si>
    <t>Verify Type-C Docking hot plug functionality with 2XLANE DP and USB 3.1 devices</t>
  </si>
  <si>
    <t>CSS-IVE-94321</t>
  </si>
  <si>
    <t>Verify Type-C Docking with 4XLANE DP and High Speed functionality before/after Sx (S3,S4,S5) Cycles</t>
  </si>
  <si>
    <t>CSS-IVE-94322</t>
  </si>
  <si>
    <t>Verify Type-C Docking hot plug functionality with 4XLANE DP and USB2.0 devices</t>
  </si>
  <si>
    <t>CSS-IVE-94323</t>
  </si>
  <si>
    <t>Verify Type-C Docking with 2XLANE DP and Super Speed functionality before/after Sx(S3,S4,S5) Cycles</t>
  </si>
  <si>
    <t>CSS-IVE-94324</t>
  </si>
  <si>
    <t>Verify Type-C Docking hot plug functionality with 2XLANE DP and USB 3.0 devices</t>
  </si>
  <si>
    <t>CSS-IVE-94325</t>
  </si>
  <si>
    <t>Verify SUT gets charged via Type-C Docking along with 2K DP and USB 3.0 devices connected</t>
  </si>
  <si>
    <t>CSS-IVE-94326</t>
  </si>
  <si>
    <t>Verify SUT gets charged via Type-C Docking during Sx (S3,S4 and S5 ) states</t>
  </si>
  <si>
    <t>CSS-IVE-94327</t>
  </si>
  <si>
    <t>Verify SUT gets charged via Type-C Docking during Connected MoS state</t>
  </si>
  <si>
    <t>CSS-IVE-94328</t>
  </si>
  <si>
    <t>Verify Type-C multi port - USB only functionality before/after Sx Cycle</t>
  </si>
  <si>
    <t>CSS-IVE-94330</t>
  </si>
  <si>
    <t>Verify Type-C multi port - USB only functionality before/after CMS state</t>
  </si>
  <si>
    <t>CSS-IVE-94331</t>
  </si>
  <si>
    <t>Verify Type-C multi port functionality - Display and USB</t>
  </si>
  <si>
    <t>CSS-IVE-94337</t>
  </si>
  <si>
    <t>Verify Type-C multi port functionality - Display and USB before/after Sx Cycles</t>
  </si>
  <si>
    <t>CSS-IVE-94338</t>
  </si>
  <si>
    <t>Verify Type-C multi port functionality - Display and USB before/after CMS state</t>
  </si>
  <si>
    <t>CSS-IVE-94339</t>
  </si>
  <si>
    <t>Verify Discrete Wi-Fi Functionality with CNVi option Disabled in BIOS</t>
  </si>
  <si>
    <t>CSS-IVE-95322</t>
  </si>
  <si>
    <t>Verify Discrete BT Functionality with CNVi option Disabled in BIOS</t>
  </si>
  <si>
    <t>CSS-IVE-95354</t>
  </si>
  <si>
    <t>Verify RTD3 residency for SATA SSD during CS and Idle states</t>
  </si>
  <si>
    <t>CSS-IVE-95782</t>
  </si>
  <si>
    <t>Verify no errors gets registered as part of configuration registers post Sx cycles</t>
  </si>
  <si>
    <t>CSS-IVE-97229</t>
  </si>
  <si>
    <t>Verify Touch Host Controller"s BDF to enable iTouch</t>
  </si>
  <si>
    <t>CSS-IVE-97231</t>
  </si>
  <si>
    <t>Verify ISH device ID"s are displayed in EFI Log</t>
  </si>
  <si>
    <t>CSS-IVE-84951</t>
  </si>
  <si>
    <t>Verify System won"t wake from S3 when HDMI display hot plug-in and hot plug-out</t>
  </si>
  <si>
    <t>CSS-IVE-98898</t>
  </si>
  <si>
    <t>Verify PC10 Residency with system in CMS mode with AHCI/NVMe PCIe device is connected</t>
  </si>
  <si>
    <t>CSS-IVE-86890</t>
  </si>
  <si>
    <t>Verify state after G3 functionality based on BIOS options (S0 state, S5 state)</t>
  </si>
  <si>
    <t>CSS-IVE-99275</t>
  </si>
  <si>
    <t>Verify System trace via BSSB interface over Type-A port</t>
  </si>
  <si>
    <t>CSS-IVE-99314</t>
  </si>
  <si>
    <t>Verify system stability on performing Sx cycles with "Driver Verifier Options" enabled in OS</t>
  </si>
  <si>
    <t>CSS-IVE-99403</t>
  </si>
  <si>
    <t>Verify SUT wake from S3,S4 using Type-C dock connected over Discrete Type-C port</t>
  </si>
  <si>
    <t>CSS-IVE-99963</t>
  </si>
  <si>
    <t>Verify display turns off post reaching RTC time limit</t>
  </si>
  <si>
    <t>CSS-IVE-99965</t>
  </si>
  <si>
    <t>Verify IO Mwait Redirection status via PKG_CST_CONFIG_CONTROL MSR</t>
  </si>
  <si>
    <t>CSS-IVE-99967</t>
  </si>
  <si>
    <t>Verify "Thermal Monitor" Enable/Disable via MSR 1A0 [3]</t>
  </si>
  <si>
    <t>CSS-IVE-99969</t>
  </si>
  <si>
    <t>Verify SUT gets charged via Type-C Docking along with 4K Display and USB2.0 devices connected</t>
  </si>
  <si>
    <t>CSS-IVE-100095</t>
  </si>
  <si>
    <t>Verify Concurrent functionality of Legacy USB and DP Display over Type-C and device connected when SUT is in Sx (S3,S4,S5)_x000D_
 state</t>
  </si>
  <si>
    <t>CSS-IVE-100961</t>
  </si>
  <si>
    <t>Verify Concurrent functionality of Legacy USB and HDMI Display over Type-C and device connected when SUT is in Sx (S3,S4,S5)_x000D_
 state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</si>
  <si>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</si>
  <si>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</si>
  <si>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</si>
  <si>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</si>
  <si>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CSS-IVE-100969</t>
  </si>
  <si>
    <t>Verify system performs Sx cycle successfully irrespective of EC Low power mode option in Bios</t>
  </si>
  <si>
    <t>CSS-IVE-100997</t>
  </si>
  <si>
    <t>Verify S3 and S4 Cycle with Keyboard and mouse connected to USB external HUB in AC mode</t>
  </si>
  <si>
    <t>CSS-IVE-101027</t>
  </si>
  <si>
    <t>Verify Type-C Concurrent support of Consumer, HDMI Display and USB2, device connected when SUT is in Connected Modern Standby states</t>
  </si>
  <si>
    <t>CSS-IVE-101136</t>
  </si>
  <si>
    <t>Verify Type-C Concurrent support of x2 DP and USB3 on hot-plug after Connected Modern Standby states</t>
  </si>
  <si>
    <t>CSS-IVE-101069</t>
  </si>
  <si>
    <t>Verify Type-C Concurrent support of Consumer, x4 DP and High Speed on hot-plug after Connected Modern Standby states</t>
  </si>
  <si>
    <t>CSS-IVE-101089</t>
  </si>
  <si>
    <t>Verify Type-C Concurrent support of HDMI Display and USB2, device connected when SUT is in Connected Modern Standby states</t>
  </si>
  <si>
    <t>CSS-IVE-101106</t>
  </si>
  <si>
    <t>Verify Type-C Concurrent support of x4 DP and High Speed before/after Sx and Reboot Cycles(S3,S4,S5)</t>
  </si>
  <si>
    <t>CSS-IVE-101051</t>
  </si>
  <si>
    <t>Verify Type-C Concurrent support of x2 DP and Super Speed Functionality on Clod-plug</t>
  </si>
  <si>
    <t>CSS-IVE-101062</t>
  </si>
  <si>
    <t>Verify Type-C Concurrent support of Consumer,x4 DP and High Speed  device Functionality connected when SUT is in Sx (S3,S4,S5) State</t>
  </si>
  <si>
    <t>CSS-IVE-101086</t>
  </si>
  <si>
    <t>Verify Type-C Concurrent support of Consumer, HDMI Display, USB3 on Clod-plug</t>
  </si>
  <si>
    <t>CSS-IVE-101118</t>
  </si>
  <si>
    <t>Verify Type-C Concurrent support of Consumer,HDMI Display and USB2, device connected when SUT is in Sx (S3,S4,S5) state</t>
  </si>
  <si>
    <t>CSS-IVE-101132</t>
  </si>
  <si>
    <t>Verify Type-C Concurrent support of x2 DP and USB3, device connected when SUT is in Deep Sx state</t>
  </si>
  <si>
    <t>CSS-IVE-101067</t>
  </si>
  <si>
    <t>Verify Type-C Concurrent support of HDMI Display and USB3, device connected when SUT is in Deep Sx state</t>
  </si>
  <si>
    <t>CSS-IVE-101113</t>
  </si>
  <si>
    <t>Verify Type-C Concurrent support of x4 DP and High Speed Device Functionality before and after Connected Modern Standby states</t>
  </si>
  <si>
    <t>CSS-IVE-101056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</si>
  <si>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</si>
  <si>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</si>
  <si>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</si>
  <si>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</si>
  <si>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Consumer, x4 DP and High Speed device connected when SUT is in Connected Modern Standby states</t>
  </si>
  <si>
    <t>CSS-IVE-101090</t>
  </si>
  <si>
    <t>Verify Type-C Concurrent support of HDMI Display and USB3 before and after Connected Modern Standby states</t>
  </si>
  <si>
    <t>CSS-IVE-101114</t>
  </si>
  <si>
    <t>Verify Type-C Concurrent support of Consumer, HDMI Display and USB3, device connected when SUT is in Connected Modern Standby states</t>
  </si>
  <si>
    <t>CSS-IVE-101126</t>
  </si>
  <si>
    <t>Verify x4 DP display over Type-C on multiple hot plugs + secondary screen mode</t>
  </si>
  <si>
    <t>CSS-IVE-101045</t>
  </si>
  <si>
    <t>Verify Type-C Concurrent support of x2 DP and USB3 before/after Sx (S3,S4,S5) and Reboot Cycles</t>
  </si>
  <si>
    <t>CSS-IVE-101063</t>
  </si>
  <si>
    <t>Verify Type-C Concurrent support of Consumer, x2 DP and USB3 on Hot-Plug device after Sx (S3,S4,S5) and Reboot Cycles</t>
  </si>
  <si>
    <t>CSS-IVE-101075</t>
  </si>
  <si>
    <t>Verify Type-C HDMI Display multiple hot plugs + secondary screen mode</t>
  </si>
  <si>
    <t>CSS-IVE-101095</t>
  </si>
  <si>
    <t>Verify Type-C Concurrent support of HDMI Display and USB2, device connected when SUT is in Sx (S3,S4,S5) state</t>
  </si>
  <si>
    <t>CSS-IVE-101102</t>
  </si>
  <si>
    <t>Verify Type-C Concurrent support of HDMI Display and USB3 before/after Sx (S3,S4,S5) and Reboot Cycles</t>
  </si>
  <si>
    <t>CSS-IVE-101109</t>
  </si>
  <si>
    <t>Verify Type-C Concurrent support of HDMI Display and USB2 before and after Connected Modern Standby states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</si>
  <si>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</si>
  <si>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</si>
  <si>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</si>
  <si>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Consumer, HDMI Display and USB2 before and after Connected Modern Standby states</t>
  </si>
  <si>
    <t>CSS-IVE-101134</t>
  </si>
  <si>
    <t>Verify Type-C Concurrent support of x4 DP and High Speed device connected when SUT is in Connected Modern Standby states</t>
  </si>
  <si>
    <t>CSS-IVE-101058</t>
  </si>
  <si>
    <t>Verify Type-C Concurrent support of Consumer, x2 DP and USB3 on hot-plug after Connected Modern Standby states</t>
  </si>
  <si>
    <t>CSS-IVE-101079</t>
  </si>
  <si>
    <t>Verify x4 DP display over Type-C in clone/duplicate mode after cold and warm boot</t>
  </si>
  <si>
    <t>CSS-IVE-101042</t>
  </si>
  <si>
    <t>Verify Type-C Concurrent support of x4 DP ( clone mode ) and High Speed on Hot-plug</t>
  </si>
  <si>
    <t>CSS-IVE-101047</t>
  </si>
  <si>
    <t>Verify Type-C Concurrent support of x4 DP and High Speed on Hot-Plug device after Sx (S3,S4,S5) and Reboot Cycles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</si>
  <si>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</si>
  <si>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</si>
  <si>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</si>
  <si>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</si>
  <si>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CSS-IVE-101065</t>
  </si>
  <si>
    <t>Verify Type-C Concurrent support of Consumer, x2 DP, USB3 on Clod-plug</t>
  </si>
  <si>
    <t>CSS-IVE-101072</t>
  </si>
  <si>
    <t>Verify Type-C Concurrent support of HDMI Display and USB2 before/after Sx (S3,S4,S5)
 and Reboot Cycles</t>
  </si>
  <si>
    <t>CSS-IVE-101099</t>
  </si>
  <si>
    <t>Verify Type-C Concurrent support of Consumer, HDMI Display, USB2 on Clod-plug</t>
  </si>
  <si>
    <t>CSS-IVE-101128</t>
  </si>
  <si>
    <t>Verify Type-C Concurrent support of x4 DP and High Speed on hot-plug after Connected Modern Standby states</t>
  </si>
  <si>
    <t>CSS-IVE-101057</t>
  </si>
  <si>
    <t>Verify Type-C Concurrent support of Consumer, x4 DP and High Speed Device Functionality before and after Connected Modern Standby states</t>
  </si>
  <si>
    <t>CSS-IVE-101088</t>
  </si>
  <si>
    <t>Verify Type-C Concurrent support of x4 DP and High Speed Device functionality before/after Deep Sx and Reboot Cycles</t>
  </si>
  <si>
    <t>CSS-IVE-101052</t>
  </si>
  <si>
    <t>Verify Type-C Concurrent support of x2 DP and USB3 before/after Deep Sx and Reboot Cycles</t>
  </si>
  <si>
    <t>CSS-IVE-101064</t>
  </si>
  <si>
    <t>Verify Type-C Concurrent support of HDMI Display and USB2, device connected when SUT is in Deep Sx state</t>
  </si>
  <si>
    <t>CSS-IVE-101103</t>
  </si>
  <si>
    <t>Verify Type-C Concurrent support of HDMI Display and USB3 before/after Deep Sx and Reboot Cycles</t>
  </si>
  <si>
    <t>CSS-IVE-101110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</si>
  <si>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</si>
  <si>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</si>
  <si>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</si>
  <si>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</si>
  <si>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</si>
  <si>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</si>
  <si>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Consumer, x2 DP, USB3 on Hot-plug</t>
  </si>
  <si>
    <t>CSS-IVE-101071</t>
  </si>
  <si>
    <t>Verify Type-C Concurrent support of Consumer, x4 DP and High Speed Device Functionality before/after Sx (S3,S4,S5) and Reboot Cycles</t>
  </si>
  <si>
    <t>CSS-IVE-101083</t>
  </si>
  <si>
    <t>Verify Type-C Concurrent support of HDMI Display and USB3 on Clod-plug</t>
  </si>
  <si>
    <t>CSS-IVE-101108</t>
  </si>
  <si>
    <t>Verify Type-C Concurrent support of Consumer,HDMI Display and USB3, device connected when SUT is in Sx (S3,S4,S5)
 state</t>
  </si>
  <si>
    <t>CSS-IVE-101122</t>
  </si>
  <si>
    <t>Verify Type-C Concurrent support of Consumer, HDMI Display and USB2 before/after Sx (S3,S4,S5)_x000D_
 and Reboot Cycles</t>
  </si>
  <si>
    <t>CSS-IVE-101129</t>
  </si>
  <si>
    <t>Verify Type-C Concurrent support of Consumer, x2 DP and USB3 before and after Connected Modern Standby states</t>
  </si>
  <si>
    <t>CSS-IVE-101078</t>
  </si>
  <si>
    <t>Verify Type-C Concurrent support of Consumer, x2 DP and USB3, device connected when SUT is in Connected Modern Standby states</t>
  </si>
  <si>
    <t>CSS-IVE-101080</t>
  </si>
  <si>
    <t>Verify Type-C Concurrent support of Consumer, HDMI Display and USB3 before and after Connected Modern Standby states</t>
  </si>
  <si>
    <t>CSS-IVE-101124</t>
  </si>
  <si>
    <t>Verify Type-C Concurrent support of HDMI Display and USB2 before/after Deep Sx and Reboot Cycles</t>
  </si>
  <si>
    <t>CSS-IVE-101100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</si>
  <si>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</si>
  <si>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</si>
  <si>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</si>
  <si>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</si>
  <si>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</si>
  <si>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</si>
  <si>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</si>
  <si>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</si>
  <si>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</si>
  <si>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</si>
  <si>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</si>
  <si>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CSS-IVE-101066</t>
  </si>
  <si>
    <t>Verify Type-C Concurrent support of Consumer, x2 DP and USB3 before/after Sx (S3,S4,S5) and Reboot Cycles</t>
  </si>
  <si>
    <t>CSS-IVE-101073</t>
  </si>
  <si>
    <t>Verify Type-C Concurrent support of Consumer, x4 DP and High Speed on Hot-Plug device after Sx (S3,S4,S5) and Reboot Cycles</t>
  </si>
  <si>
    <t>CSS-IVE-101085</t>
  </si>
  <si>
    <t>Verify Type-C Concurrent support of HDMI Display and USB2 on Clod-plug</t>
  </si>
  <si>
    <t>CSS-IVE-101098</t>
  </si>
  <si>
    <t>Verify Type-C Concurrent support of HDMI Display and USB3, device connected when SUT is in Sx (S3,S4,S5) state</t>
  </si>
  <si>
    <t>CSS-IVE-101112</t>
  </si>
  <si>
    <t>Verify Type-C Concurrent support of Consumer, HDMI Display and USB3 before/after Sx (S3,S4,S5) and Reboot Cycles</t>
  </si>
  <si>
    <t>CSS-IVE-101119</t>
  </si>
  <si>
    <t>Verify RTD3 flow for CNVi BT Device</t>
  </si>
  <si>
    <t>CSS-IVE-101183</t>
  </si>
  <si>
    <t>Validate Discrete BT device for RTD3 support</t>
  </si>
  <si>
    <t>CSS-IVE-101247</t>
  </si>
  <si>
    <t>Verify CNVi Wi-Fi/BT do not enumerate in OS with CNVi option Disabled in BIOS</t>
  </si>
  <si>
    <t>CSS-IVE-101273</t>
  </si>
  <si>
    <t>Verify AET trace log capture through NPK</t>
  </si>
  <si>
    <t>CSS-IVE-101301</t>
  </si>
  <si>
    <t>Validate RTD3 for IPU Camera</t>
  </si>
  <si>
    <t>CSS-IVE-101342</t>
  </si>
  <si>
    <t>Verify Deep Sx LED Status</t>
  </si>
  <si>
    <t>CSS-IVE-101353</t>
  </si>
  <si>
    <t>Verify Package C10 Residency post Hibernation</t>
  </si>
  <si>
    <t>CSS-IVE-101379</t>
  </si>
  <si>
    <t>Verify Package C10 Residency post G3 with system in DC mode</t>
  </si>
  <si>
    <t>CSS-IVE-101381</t>
  </si>
  <si>
    <t>Verify USB2 DbC Functionality in low power state</t>
  </si>
  <si>
    <t>CSS-IVE-101317</t>
  </si>
  <si>
    <t>Verify Discrete Wi-Fi Functionality with CNVi option Enabled in BIOS</t>
  </si>
  <si>
    <t>CSS-IVE-101552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</si>
  <si>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</si>
  <si>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</si>
  <si>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</si>
  <si>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</si>
  <si>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Verify the Wake-up Type under SMBIOS Type 1</t>
  </si>
  <si>
    <t>CSS-IVE-101598</t>
  </si>
  <si>
    <t>BIOS should update the changes for Physical Memory Array (Type 16)</t>
  </si>
  <si>
    <t>CSS-IVE-102142</t>
  </si>
  <si>
    <t>BIOS should update the changes for Memory Array Mapped Address (Type 19)</t>
  </si>
  <si>
    <t>CSS-IVE-102143</t>
  </si>
  <si>
    <t>Verify availability of USB Devices when USB 2.0/3.0 options are disabled at the USB Configuration page (ULT/ULX)</t>
  </si>
  <si>
    <t>CSS-IVE-102184</t>
  </si>
  <si>
    <t>Verify Battery-Charging during S3 and after S3 using Type-C Power Bank</t>
  </si>
  <si>
    <t>CSS-IVE-102296</t>
  </si>
  <si>
    <t>Verify Charging Priority after S3</t>
  </si>
  <si>
    <t>CSS-IVE-102309</t>
  </si>
  <si>
    <t>Verify RTD3 flow support for USB pendrive connected over USB3.0 port</t>
  </si>
  <si>
    <t>CSS-IVE-102442</t>
  </si>
  <si>
    <t>Verify Connect/Disconnect Wi-Fi Hotspot in OS</t>
  </si>
  <si>
    <t>CSS-IVE-102506</t>
  </si>
  <si>
    <t>Verify SUT support Debug Trace log capture - Route traces to System Memory</t>
  </si>
  <si>
    <t>CSS-IVE-103720</t>
  </si>
  <si>
    <t>Verify System trace - Route traces to USB Type-C in low power mode</t>
  </si>
  <si>
    <t>CSS-IVE-103777</t>
  </si>
  <si>
    <t>Verify USB3.1 DbC Functionality during and after BIOS boot</t>
  </si>
  <si>
    <t>CSS-IVE-103778</t>
  </si>
  <si>
    <t>ISH Sensor Functionality pre and post Connected Standby (CMS) cycle - Ambient Light Sensor (ALS)</t>
  </si>
  <si>
    <t>CSS-IVE-105396</t>
  </si>
  <si>
    <t>ISH Sensor Functionality pre and post Connected Standby (CMS) cycle - Gyro</t>
  </si>
  <si>
    <t>CSS-IVE-105397</t>
  </si>
  <si>
    <t>ISH Sensor Functionality pre and post Connected Standby (CMS) cycle- Barometric Pressure</t>
  </si>
  <si>
    <t>CSS-IVE-105402</t>
  </si>
  <si>
    <t>Verify Discrete Bluetooth device function test on OS pre and post Connected Standby (CMS) cycle</t>
  </si>
  <si>
    <t>CSS-IVE-105404</t>
  </si>
  <si>
    <t>Verify CNVi Bluetooth Enumeration in OS before / after Connected Standby (CMS) cycle</t>
  </si>
  <si>
    <t>CSS-IVE-105405</t>
  </si>
  <si>
    <t>Verify CNVi Bluetooth Functionality in OS before / after Connected Standby (CMS) cycle</t>
  </si>
  <si>
    <t>CSS-IVE-105406</t>
  </si>
  <si>
    <t>Verify CNVi WLAN Functionality in OS before / after Connected Standby (CMS) cycle</t>
  </si>
  <si>
    <t>CSS-IVE-105408</t>
  </si>
  <si>
    <t>Verify Touchpad functionality pre and post Connected Standby (CMS) cycle</t>
  </si>
  <si>
    <t>CSS-IVE-105417</t>
  </si>
  <si>
    <t>Verify Discrete Wi-Fi functionality test pre and post Connected Standby (CMS) cycle</t>
  </si>
  <si>
    <t>CSS-IVE-105418</t>
  </si>
  <si>
    <t>Verify WWAN functionality pre and post Connected Standby (CMS) cycle</t>
  </si>
  <si>
    <t>CSS-IVE-105422</t>
  </si>
  <si>
    <t>ISH Sensor Functionality post Connected Standby (CMS) cycle - Magnetometer</t>
  </si>
  <si>
    <t>CSS-IVE-105426</t>
  </si>
  <si>
    <t>Validate concurrent support of Windbg debug and data transfer over Type-C port</t>
  </si>
  <si>
    <t>CSS-IVE-105530</t>
  </si>
  <si>
    <t>Validate concurrent support of Windbg and DbC debug trace over same Type-C port</t>
  </si>
  <si>
    <t>CSS-IVE-105532</t>
  </si>
  <si>
    <t>Validate concurrent support of USB3.0 DbC and data transfer over Type-C port</t>
  </si>
  <si>
    <t>CSS-IVE-105533</t>
  </si>
  <si>
    <t>Verify concurrent support of debug and USB data transfer over Type-C port</t>
  </si>
  <si>
    <t>CSS-IVE-105534</t>
  </si>
  <si>
    <t>Verify concurrent support of onboard HD audio and charging SUT via Type-C port</t>
  </si>
  <si>
    <t>CSS-IVE-105543</t>
  </si>
  <si>
    <t>Verify system shutdown/reboot via Hardware buttons on Modern standby enabled system</t>
  </si>
  <si>
    <t>CSS-IVE-105544</t>
  </si>
  <si>
    <t>Verify enable/disable USB controller in device manager</t>
  </si>
  <si>
    <t>CSS-IVE-105546</t>
  </si>
  <si>
    <t>Verify USB device functionality by disable/enable USB Overcurrent option in BIOS across Sx (S3,S4,S5) and warm reboot cycle</t>
  </si>
  <si>
    <t>CSS-IVE-105551</t>
  </si>
  <si>
    <t>Verify TCSS D3Cold support when System is in AC and DC</t>
  </si>
  <si>
    <t>CSS-IVE-105568</t>
  </si>
  <si>
    <t>Verify firmware Version Info (FVI) for Reference Code - CPU</t>
  </si>
  <si>
    <t>CSS-IVE-105596</t>
  </si>
  <si>
    <t>BIOS shall hide the Intel MEI #4(HECI 4) prior to OS boot.</t>
  </si>
  <si>
    <t>Manageability Support</t>
  </si>
  <si>
    <t>CSS-IVE-105697</t>
  </si>
  <si>
    <t>Verify System wakes from C-MoS using USB-Mouse connected to USB Type-C port</t>
  </si>
  <si>
    <t>CSS-IVE-105831</t>
  </si>
  <si>
    <t>Verify BIOS should provide the options to enable/disable for PEP CSME PCI device and should pass all PEP Constraints</t>
  </si>
  <si>
    <t>CSS-IVE-105859</t>
  </si>
  <si>
    <t>Verify SUT wakes from S3 using Bluetooth (BT Devices)</t>
  </si>
  <si>
    <t>CSS-IVE-105757</t>
  </si>
  <si>
    <t>Verify RTD3 support for NVME SSD</t>
  </si>
  <si>
    <t>CSS-IVE-108360</t>
  </si>
  <si>
    <t>Verify Memory-DDR5_SODIMM_3200Mhz_2_RANK_1DPC_CH0_8GB is functioning</t>
  </si>
  <si>
    <t>CSS-IVE-113633</t>
  </si>
  <si>
    <t>Verify finger print sensor(FPS) Functionality Pre and Post Sx Cycle</t>
  </si>
  <si>
    <t>CSS-IVE-113693</t>
  </si>
  <si>
    <t>Verify functionality of finger print sensor after warm reboot cycles</t>
  </si>
  <si>
    <t>CSS-IVE-113695</t>
  </si>
  <si>
    <t>Verify functionality of finger print sensor after CMS</t>
  </si>
  <si>
    <t>CSS-IVE-113712</t>
  </si>
  <si>
    <t>Verify BIOS construct BERT ACPI table through SST tool</t>
  </si>
  <si>
    <t>CSS-IVE-113717</t>
  </si>
  <si>
    <t>Verify USB2 DbC Functionality over Type-C Port in low power state</t>
  </si>
  <si>
    <t>CSS-IVE-113643</t>
  </si>
  <si>
    <t>Verify USB3 DbC Functionality during and after BIOS boot using Type C</t>
  </si>
  <si>
    <t>CSS-IVE-113645</t>
  </si>
  <si>
    <t>Verify if SUT boots to UEFI when no other boot options available</t>
  </si>
  <si>
    <t>CSS-IVE-113839</t>
  </si>
  <si>
    <t>Verify Bios have option to Enable/Disable DAM</t>
  </si>
  <si>
    <t>CSS-IVE-113725</t>
  </si>
  <si>
    <t>Verify WWAN enter D3 and achieve L1.2 ASPM substates</t>
  </si>
  <si>
    <t>CSS-IVE-114270</t>
  </si>
  <si>
    <t>Verify SUT wakes from S4 using Bluetooth (BT Devices)</t>
  </si>
  <si>
    <t>CSS-IVE-114273</t>
  </si>
  <si>
    <t>Verify Sx (S3,S4,S5) functionality after enabling External V1P05 Rail in BIOS (FIVR Settings)</t>
  </si>
  <si>
    <t>CSS-IVE-114559</t>
  </si>
  <si>
    <t>Verify Sx (S3,S4,S5) functionality after enabling External Vnn Rail in BIOS (FIVR Settings)</t>
  </si>
  <si>
    <t>CSS-IVE-114601</t>
  </si>
  <si>
    <t>Verify Sx (S3,S4,S5) functionality after enabling "Override External Vnn Rail settings in Sx settings" in BIOS (FIVR Settings)</t>
  </si>
  <si>
    <t>CSS-IVE-114612</t>
  </si>
  <si>
    <t>Verify Sx (S3,S4,S5) functionality after enabling "PCH FIVR dynamic power management" in BIOS (FIVR Settings)</t>
  </si>
  <si>
    <t>CSS-IVE-114613</t>
  </si>
  <si>
    <t>BIOS should update the changes for SMBIOS type 3 [System Enclosure or Chassis]</t>
  </si>
  <si>
    <t>CSS-IVE-114944</t>
  </si>
  <si>
    <t>Validate SUT wake from S0i3 Using USB-LAN</t>
  </si>
  <si>
    <t>CSS-IVE-114799</t>
  </si>
  <si>
    <t>Verify SUT wake from Sx states (S3, S4) using discrete WLAN module</t>
  </si>
  <si>
    <t>CSS-IVE-115058</t>
  </si>
  <si>
    <t>Verify SUT wake from Sx states (S3, S4,) using CNVi WLAN module</t>
  </si>
  <si>
    <t>CSS-IVE-115059</t>
  </si>
  <si>
    <t>Validate Discrete Wi-Fi for RTD3</t>
  </si>
  <si>
    <t>CSS-IVE-115061</t>
  </si>
  <si>
    <t>Verify Sx and reboot cycles with ISH disabled</t>
  </si>
  <si>
    <t>CSS-IVE-114796</t>
  </si>
  <si>
    <t>Verify USB3 DbC enumeration over Type-C by Enable/Disable USB Overcurrent option in BIOS</t>
  </si>
  <si>
    <t>CSS-IVE-115194</t>
  </si>
  <si>
    <t>Verify BIOS ACPI debug messages capture during TBT device hot-plug/un-plug events</t>
  </si>
  <si>
    <t>CSS-IVE-105588</t>
  </si>
  <si>
    <t>Verify System trace - Route traces to USB Type-C in S0ix</t>
  </si>
  <si>
    <t>CSS-IVE-114366</t>
  </si>
  <si>
    <t>Verify Sensor Device Temperature value in BIOS and OS</t>
  </si>
  <si>
    <t>CSS-IVE-115306</t>
  </si>
  <si>
    <t>Verify system enter to Adaptive hibernate when system is in CMS (StandbyBudgetPercent)</t>
  </si>
  <si>
    <t>CSS-IVE-115583</t>
  </si>
  <si>
    <t>Verify if BIOS displays Firmware Status 1, Status 2 values</t>
  </si>
  <si>
    <t>CSS-IVE-115612</t>
  </si>
  <si>
    <t>Verify PSMI Configuration through control register using PythonSV tool</t>
  </si>
  <si>
    <t>CSS-IVE-114276</t>
  </si>
  <si>
    <t>Verify Bios an option to Enable/Disable INT3400 Device participants</t>
  </si>
  <si>
    <t>CSS-IVE-116719</t>
  </si>
  <si>
    <t>Verify OS does not have Sleep (S3) option after disabling "ACPI S3 Support" in bios</t>
  </si>
  <si>
    <t>CSS-IVE-116727</t>
  </si>
  <si>
    <t>Verify Support of USPL ACPI methods for Power Participant</t>
  </si>
  <si>
    <t>CSS-IVE-116753</t>
  </si>
  <si>
    <t>Verify memory Reservation for Trace Regions and PSMI handler</t>
  </si>
  <si>
    <t>CSS-IVE-113714</t>
  </si>
  <si>
    <t>Validate CNVi Wi-Fi for RTD3 support</t>
  </si>
  <si>
    <t>CSS-IVE-115565</t>
  </si>
  <si>
    <t>Verify BIOS have ability to enable and disable Wake on WLAN</t>
  </si>
  <si>
    <t>CSS-IVE-115601</t>
  </si>
  <si>
    <t>Verify BIOS have ability to enable and disable Wake on Bluetooth</t>
  </si>
  <si>
    <t>CSS-IVE-115602</t>
  </si>
  <si>
    <t>Verify Coexistence of Discrete Wi-Fi and Bluetooth functionality in OS after S3, S4, S5, Warm and cold reboot cycles</t>
  </si>
  <si>
    <t>CSS-IVE-117091</t>
  </si>
  <si>
    <t>Verify Coexistence of Discrete Wi-Fi and Bluetooth functionality in OS after Connected Modern Standby cycles</t>
  </si>
  <si>
    <t>CSS-IVE-117092</t>
  </si>
  <si>
    <t>Verify Coexistence of WiFi,Bluetooth and WWAN enumeration and functionality in OS after S3, S4, S5, Warm and cold reboot cycles</t>
  </si>
  <si>
    <t>CSS-IVE-117094</t>
  </si>
  <si>
    <t>Verify Coexistence of WiFi,Bluetooth and WWAN enumeration and functionality in OS after connected modern standby state</t>
  </si>
  <si>
    <t>CSS-IVE-117096</t>
  </si>
  <si>
    <t>Verify PSMI handler memory Reservation and configuring trace regions as WC/WB memory in BIOS</t>
  </si>
  <si>
    <t>CSS-IVE-117465</t>
  </si>
  <si>
    <t>Verify PSMI handler memory Reservation and configuring trace regions as don"t care in BIOS</t>
  </si>
  <si>
    <t>CSS-IVE-117466</t>
  </si>
  <si>
    <t>Verify memory Reservation for PSMI handler and not Trace Regions</t>
  </si>
  <si>
    <t>CSS-IVE-117321</t>
  </si>
  <si>
    <t>Verify Power Consumption by SoC, PCH and Memory using "Power Meter" tool</t>
  </si>
  <si>
    <t>CSS-IVE-114727</t>
  </si>
  <si>
    <t>Verify WWAN functionality pre and post reboot cycles</t>
  </si>
  <si>
    <t>CSS-IVE-117676</t>
  </si>
  <si>
    <t>Verify Bios has separate options to enable Deep S4 and Deep S5</t>
  </si>
  <si>
    <t>CSS-IVE-115841</t>
  </si>
  <si>
    <t>Verify new audio Offload ACPI table/indication for CNV's Bluetooth</t>
  </si>
  <si>
    <t>CSS-IVE-117952</t>
  </si>
  <si>
    <t>Verify NPK Trace log generated with SVENTX events when Release BIOS flashed</t>
  </si>
  <si>
    <t>CSS-IVE-117992</t>
  </si>
  <si>
    <t>Verify CPU frequency throttles when core temperature exceeds passive trip point with DTS SMM enabled and DTT disabled post Sx</t>
  </si>
  <si>
    <t>CSS-IVE-117981</t>
  </si>
  <si>
    <t>Verify system shutdowns when core temperature exceeds Critical trip point with DTS SMM enabled and DTT disabled in BIOS post Sx</t>
  </si>
  <si>
    <t>CSS-IVE-117985</t>
  </si>
  <si>
    <t>Verify GUID of ACPI &amp; SMBIOS table</t>
  </si>
  <si>
    <t>CSS-IVE-105604</t>
  </si>
  <si>
    <t>Verify Bluetooth Regulatory Updates in BIOS</t>
  </si>
  <si>
    <t>CSS-IVE-117956</t>
  </si>
  <si>
    <t>Verify SMBIOS 3.2 Support</t>
  </si>
  <si>
    <t>CSS-IVE-118243</t>
  </si>
  <si>
    <t>Verify Discrete WLAN and Bluetooth functionality in OS with RF Kill switch enabled on board</t>
  </si>
  <si>
    <t>CSS-IVE-118282</t>
  </si>
  <si>
    <t>Verify stability of Wi-Fi and BT functionality after S3, S4, S5, Warm and cold reboot cycles with PPAG (Per Platform Antenna Gain) option enabled in BIOS</t>
  </si>
  <si>
    <t>CSS-IVE-118411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</si>
  <si>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</si>
  <si>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</si>
  <si>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</si>
  <si>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</si>
  <si>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</si>
  <si>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</si>
  <si>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Verify "Wake system from S5 " bios option functionality</t>
  </si>
  <si>
    <t>CSS-IVE-118719</t>
  </si>
  <si>
    <t>Verify DPTF Power Boss policy are enumerated to OS by Bios via ACPI table</t>
  </si>
  <si>
    <t>CSS-IVE-118757</t>
  </si>
  <si>
    <t>Verify RTC Date &amp; Time can be retrieved without Coin battery support and it remains intact after Sx Cycle</t>
  </si>
  <si>
    <t>CSS-IVE-118765</t>
  </si>
  <si>
    <t>Verify system stability on performing Sleep cycle on freshly preloaded OS post flashing Performance BIOS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</si>
  <si>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</si>
  <si>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</si>
  <si>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</si>
  <si>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</si>
  <si>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</si>
  <si>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Modern Standby cycle on freshly preloaded OS post flashing Performance BIOS</t>
  </si>
  <si>
    <t>CSS-IVE-122087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</si>
  <si>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</si>
  <si>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</si>
  <si>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</si>
  <si>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</si>
  <si>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</si>
  <si>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</si>
  <si>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system stability on performing Modern Standby cycle on freshly preloaded OS post flashing Debug BIOS</t>
  </si>
  <si>
    <t>CSS-IVE-122091</t>
  </si>
  <si>
    <t>Verify Bios flash support on RVP using FFT</t>
  </si>
  <si>
    <t>CSS-IVE-122126</t>
  </si>
  <si>
    <t>Verify Device Swap during S4 with all Type-C ports - DP and USB(3.0)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</si>
  <si>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</si>
  <si>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</si>
  <si>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</si>
  <si>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</si>
  <si>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CSS-IVE-122480</t>
  </si>
  <si>
    <t>Verify Device Swap during S4 with all Type-C ports - HDMI and USB(3.0)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</si>
  <si>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</si>
  <si>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</si>
  <si>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</si>
  <si>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</si>
  <si>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</si>
  <si>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</si>
  <si>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</si>
  <si>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</si>
  <si>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</si>
  <si>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</si>
  <si>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</si>
  <si>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</si>
  <si>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</si>
  <si>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</si>
  <si>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</si>
  <si>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</si>
  <si>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</si>
  <si>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</si>
  <si>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CSS-IVE-129548</t>
  </si>
  <si>
    <t>Verify 16K HEVC (H.265) video playback in OS</t>
  </si>
  <si>
    <t>CSS-IVE-129746</t>
  </si>
  <si>
    <t>Verify ECKPWRCTL disable when DCI is disabled</t>
  </si>
  <si>
    <t>CSS-IVE-129750</t>
  </si>
  <si>
    <t>Verify the BIOS size using FFT Tool</t>
  </si>
  <si>
    <t>CSS-IVE-132613</t>
  </si>
  <si>
    <t>Verify PCH /CSE/CPU bootstall unlock via USB2DbC</t>
  </si>
  <si>
    <t>CSS-IVE-132950</t>
  </si>
  <si>
    <t>Verify cold boot with USB3.1 Gen2 mass storage device connected across all the Type C ports</t>
  </si>
  <si>
    <t>CSS-IVE-133024</t>
  </si>
  <si>
    <t>Verify System trace via 2-Wire BSSB interface</t>
  </si>
  <si>
    <t>CSS-IVE-132994</t>
  </si>
  <si>
    <t>Validate concurrent support of USB2.0 DbC and data transfer over Type-C port</t>
  </si>
  <si>
    <t>CSS-IVE-133035</t>
  </si>
  <si>
    <t>Verify ACPI table Support for S5</t>
  </si>
  <si>
    <t>CSS-IVE-133061</t>
  </si>
  <si>
    <t>Verify BIOS is configuring the NPK bar and size on S3 exit</t>
  </si>
  <si>
    <t>CSS-IVE-133311</t>
  </si>
  <si>
    <t>Validate Type-C USB3.0 enumeration over Type-C port  with PCIE tunneling enabled and disabled</t>
  </si>
  <si>
    <t>CSS-IVE-133673</t>
  </si>
  <si>
    <t>Verify BIOS provides information related to LPM registers from iPC1 interface via buffers</t>
  </si>
  <si>
    <t>CSS-IVE-133682</t>
  </si>
  <si>
    <t>Verify S0i3 residency when system connected to Wi-Fi Network</t>
  </si>
  <si>
    <t>CSS-IVE-133709</t>
  </si>
  <si>
    <t>Validate RTD3 for Touch Panel</t>
  </si>
  <si>
    <t>CSS-IVE-134023</t>
  </si>
  <si>
    <t>Verify USB2 PMCTRL bit is enabled</t>
  </si>
  <si>
    <t>CSS-IVE-134042</t>
  </si>
  <si>
    <t>Verify system wakes from Connected Modern Standby (CMS ) state via iTouch panel</t>
  </si>
  <si>
    <t>CSS-IVE-135354</t>
  </si>
  <si>
    <t>Verify system wakes from Connected Modern Standby (CMS ) state via Touch Panel(I2C)</t>
  </si>
  <si>
    <t>CSS-IVE-135352</t>
  </si>
  <si>
    <t>Verify BIOS setup options for RFI Spread Spectrum control (SSC) range</t>
  </si>
  <si>
    <t>CSS-IVE-135386</t>
  </si>
  <si>
    <t>Verify Discrete Wi-Fi functional test pre and post warm reset cycle</t>
  </si>
  <si>
    <t>CSS-IVE-135470</t>
  </si>
  <si>
    <t>Verify CNVi Bluetooth Functionality in OS before/after warm reset cycle</t>
  </si>
  <si>
    <t>CSS-IVE-135471</t>
  </si>
  <si>
    <t>Verify Discrete Bluetooth device function test on OS pre and post Warm reset cycle</t>
  </si>
  <si>
    <t>CSS-IVE-135490</t>
  </si>
  <si>
    <t>Verify BIOS  Debug settings passed as part of a Debug Token Via Dnx Mode</t>
  </si>
  <si>
    <t>CSS-IVE-135705</t>
  </si>
  <si>
    <t>Verify if RFI Spread Spectrum control (SSC) option can be disabled from BIOS menu</t>
  </si>
  <si>
    <t>CSS-IVE-135748</t>
  </si>
  <si>
    <t>Verify OS debug  support with DMA Pre-boot  Protection in enabled state</t>
  </si>
  <si>
    <t>CSS-IVE-138269</t>
  </si>
  <si>
    <t>Verify Wi-Fi Device Entry in ACPI table</t>
  </si>
  <si>
    <t>CSS-IVE-144717</t>
  </si>
  <si>
    <t>Verify Concurrent Type-C Display functionality over Type-C port after S4,S5,warm and cold boot cycles</t>
  </si>
  <si>
    <t>CSS-IVE-145009</t>
  </si>
  <si>
    <t>Verify Concurrent Type-C Display functionality over Type-C port, Display connected when SUT is in S4 and S5 state</t>
  </si>
  <si>
    <t>CSS-IVE-145010</t>
  </si>
  <si>
    <t>Verify Xml Cli should not expose Test Menu options for External Bios</t>
  </si>
  <si>
    <t>CSS-IVE-145017</t>
  </si>
  <si>
    <t>Verify Concurrent DP Display functionality over Type-C port after S4,S5,warm and cold boot cycles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</si>
  <si>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</si>
  <si>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</si>
  <si>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</si>
  <si>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</si>
  <si>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</si>
  <si>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</si>
  <si>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</si>
  <si>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</si>
  <si>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</si>
  <si>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</si>
  <si>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</si>
  <si>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</si>
  <si>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</si>
  <si>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</si>
  <si>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</si>
  <si>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</si>
  <si>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</si>
  <si>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</si>
  <si>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</si>
  <si>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</si>
  <si>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</si>
  <si>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</si>
  <si>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</si>
  <si>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Concurrent DP Display functionality over Type-C port after S3 Cycles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</si>
  <si>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</si>
  <si>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</si>
  <si>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</si>
  <si>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</si>
  <si>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</si>
  <si>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</si>
  <si>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</si>
  <si>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</si>
  <si>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</si>
  <si>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</si>
  <si>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</si>
  <si>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</si>
  <si>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</si>
  <si>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</si>
  <si>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</si>
  <si>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</si>
  <si>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</si>
  <si>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</si>
  <si>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</si>
  <si>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</si>
  <si>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</si>
  <si>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</si>
  <si>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</si>
  <si>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</si>
  <si>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</si>
  <si>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</si>
  <si>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</si>
  <si>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</si>
  <si>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CSS-IVE-145653</t>
  </si>
  <si>
    <t>Verify Concurrent Type-C Display functionality over Type-C port, Device connected when SUT is in CMS State</t>
  </si>
  <si>
    <t>CSS-IVE-145654</t>
  </si>
  <si>
    <t>Verify new ACPI ID implementation for I2C ELAN Touch controller Support</t>
  </si>
  <si>
    <t>CSS-IVE-145811</t>
  </si>
  <si>
    <t>Verify ACPI _DSM method implementation to Add ISH based Dynamic SAR support in BIOS</t>
  </si>
  <si>
    <t>CSS-IVE-145819</t>
  </si>
  <si>
    <t>Verify VPD SPCD enabling Via Patch file using SBC TOOL</t>
  </si>
  <si>
    <t>CSS-IVE-145878</t>
  </si>
  <si>
    <t>Verify BIOS programs for enablement of Power well2 register</t>
  </si>
  <si>
    <t>CSS-IVE-146066</t>
  </si>
  <si>
    <t>Verify PRR should return MRST with WWAN enable/disable in BIOS</t>
  </si>
  <si>
    <t>CSS-IVE-147235</t>
  </si>
  <si>
    <t>Verify BIOS S3 resume and suspend delta times are inline with responsiveness metrics</t>
  </si>
  <si>
    <t>CSS-IVE-69084</t>
  </si>
  <si>
    <t>Verify BIOS gives user an option to change Memory frequencies</t>
  </si>
  <si>
    <t>CSS-IVE-71099</t>
  </si>
  <si>
    <t>Verify bios has options to change memory timings and they are reflected at OS level</t>
  </si>
  <si>
    <t>CSS-IVE-71226</t>
  </si>
  <si>
    <t>Validate Boot flow with different GT frequency bins as per BIOS menu</t>
  </si>
  <si>
    <t>CSS-IVE-90637</t>
  </si>
  <si>
    <t>System should support Multi-Monitor with fast boot mode enabled</t>
  </si>
  <si>
    <t>CSS-IVE-80242</t>
  </si>
  <si>
    <t>System should perform full boot when it is shut down using 4 second Power button override (Type 2 exception) with fast boot mode enabled</t>
  </si>
  <si>
    <t>CSS-IVE-80255</t>
  </si>
  <si>
    <t>Verify that system falls back to full boot mode when Intel RST Premium and OROM UI &amp; banner are enabled even with fast boot enabled</t>
  </si>
  <si>
    <t>CSS-IVE-80273</t>
  </si>
  <si>
    <t>Verify BIOS fast boots from second bootable device, if first bootable device fails to load when fast boot mode is enabled</t>
  </si>
  <si>
    <t>CSS-IVE-80288</t>
  </si>
  <si>
    <t>System should continue to boot in fast boot mode even after output console is changed</t>
  </si>
  <si>
    <t>CSS-IVE-80300</t>
  </si>
  <si>
    <t>System should continue to boot in fast boot mode even after input console is changed</t>
  </si>
  <si>
    <t>CSS-IVE-80302</t>
  </si>
  <si>
    <t>Verify system skips fast boot when memory configuration change is detected</t>
  </si>
  <si>
    <t>CSS-IVE-75860</t>
  </si>
  <si>
    <t>Verify BIOS enumerates all the "Reconnect Last Good Input Consoles" with fast boot enabled</t>
  </si>
  <si>
    <t>CSS-IVE-78744</t>
  </si>
  <si>
    <t>Verify BEEP sound is not heard during boot with fast boot enabled.</t>
  </si>
  <si>
    <t>CSS-IVE-80272</t>
  </si>
  <si>
    <t>Verify POST or Splash Screen is not displayed with "Fast Boot" enabled in BIOS</t>
  </si>
  <si>
    <t>CSS-IVE-80277</t>
  </si>
  <si>
    <t>Full boot should move successful boot target to front of boot list for subsequent fast boots when fast boot is enabled</t>
  </si>
  <si>
    <t>CSS-IVE-80327</t>
  </si>
  <si>
    <t>Validate Sx Cycles with Performance Bios</t>
  </si>
  <si>
    <t>CSS-IVE-80328</t>
  </si>
  <si>
    <t>BIOS should skip OPROM code during fast boot if device associated with OPROM is not present</t>
  </si>
  <si>
    <t>CSS-IVE-80331</t>
  </si>
  <si>
    <t>Verify that system boots in fast boot mode with Silent boot enabled</t>
  </si>
  <si>
    <t>CSS-IVE-80333</t>
  </si>
  <si>
    <t>System should fall back to full boot from fast boot when it detects CPU replacement</t>
  </si>
  <si>
    <t>CSS-IVE-80241</t>
  </si>
  <si>
    <t>BIOS should skip Optional ROM code during fast boot if device associated with Optional ROM is not present</t>
  </si>
  <si>
    <t>CSS-IVE-99235</t>
  </si>
  <si>
    <t>Verify system boots in Fast Boot mode when legacy device are connected</t>
  </si>
  <si>
    <t>CSS-IVE-117479</t>
  </si>
  <si>
    <t>Verify responsiveness metrics are attained by system flashed with  Pre_Prod IFWI + Internal BIOS and with IOMMU enabled with exception list</t>
  </si>
  <si>
    <t>CSS-IVE-118824</t>
  </si>
  <si>
    <t>Verify responsiveness metrics are attained by system flashed with ((Pre_Prod IFWI) or (Prod IFWI)) + External BIOS and with IOMMU disabled</t>
  </si>
  <si>
    <t>CSS-IVE-118825</t>
  </si>
  <si>
    <t>Verify responsiveness metrics are attained by system flashed with ((Pre_Prod IFWI) or (Prod IFWI))  + External BIOS and with IOMMU enabled with exception list</t>
  </si>
  <si>
    <t>CSS-IVE-118826</t>
  </si>
  <si>
    <t>Verify responsiveness metrics are attained by system flashed with  Pre_Prod IFWI + External BIOS and with IOMMU enabled with exception list</t>
  </si>
  <si>
    <t>CSS-IVE-118889</t>
  </si>
  <si>
    <t>Verify BIOS detects and initializes the correct number of Memory DIMMS: 1 DIMM</t>
  </si>
  <si>
    <t>CSS-IVE-71023</t>
  </si>
  <si>
    <t>Verify that all Memory related options are available under "Memory Configuration" page.</t>
  </si>
  <si>
    <t>CSS-IVE-71254</t>
  </si>
  <si>
    <t>Verify S3/S0i3 cycles after enabling SAGV option</t>
  </si>
  <si>
    <t>CSS-IVE-71054</t>
  </si>
  <si>
    <t>Verify that "Enable/Disable/Fixed High/Fixed Low" values are present in SAGV feature.</t>
  </si>
  <si>
    <t>CSS-IVE-71055</t>
  </si>
  <si>
    <t>Verify unsupported DIMM configuration</t>
  </si>
  <si>
    <t>CSS-IVE-75416</t>
  </si>
  <si>
    <t>Verify Enable / Disable DIMM per channel.</t>
  </si>
  <si>
    <t>CSS-IVE-75403</t>
  </si>
  <si>
    <t>Verify Enable/Disable Memory Scrambler Option in BIOS</t>
  </si>
  <si>
    <t>CSS-IVE-80054</t>
  </si>
  <si>
    <t>Verify dual channel memory SODIMM DDR5 3733Mhz-2x8GB is functioning</t>
  </si>
  <si>
    <t>CSS-IVE-114564</t>
  </si>
  <si>
    <t>Verify  SUT boot with DDR5_UDIMM_2DPC_memory configuration at 3733 MHz</t>
  </si>
  <si>
    <t>CSS-IVE-114596</t>
  </si>
  <si>
    <t>Verify Memory LPDDR5 8GB Memory Down configuration functionality</t>
  </si>
  <si>
    <t>CSS-IVE-115220</t>
  </si>
  <si>
    <t>Verify Memory LPDDR5 16GB Memory Down configuration functionality</t>
  </si>
  <si>
    <t>CSS-IVE-115222</t>
  </si>
  <si>
    <t>Verify Single channel memory DDR4_SODIMM 64 GB is functioning</t>
  </si>
  <si>
    <t>CSS-IVE-117859</t>
  </si>
  <si>
    <t>Verify Memory LPDDR4/LPDDR4x 16GB Memory Down configuration functionality</t>
  </si>
  <si>
    <t>CSS-IVE-118084</t>
  </si>
  <si>
    <t>Verify Platform supported memory sizes &amp; combinations using the MTRR tool</t>
  </si>
  <si>
    <t>CSS-IVE-118699</t>
  </si>
  <si>
    <t>Verify that MRC training  Gear 1 with Gear 2</t>
  </si>
  <si>
    <t>CSS-IVE-133640</t>
  </si>
  <si>
    <t>Verify System memory using Windows Memory Diagnostics tool (Extended)</t>
  </si>
  <si>
    <t>CSS-IVE-135381</t>
  </si>
  <si>
    <t>Verify System memory using Windows Memory Diagnostics tool (Basic) before S3</t>
  </si>
  <si>
    <t>CSS-IVE-135459</t>
  </si>
  <si>
    <t>Verify System memory using Windows Memory Diagnostics tool (Basic) After S3</t>
  </si>
  <si>
    <t>CSS-IVE-135460</t>
  </si>
  <si>
    <t>Verify System memory using Windows Memory Diagnostics tool (Basic) After S4</t>
  </si>
  <si>
    <t>CSS-IVE-135461</t>
  </si>
  <si>
    <t>Verify System memory using Windows Memory Diagnostics tool (Basic) Before S4</t>
  </si>
  <si>
    <t>CSS-IVE-135462</t>
  </si>
  <si>
    <t>Verify Enable/Disable MRC In-Band ECC  Option in BIOS</t>
  </si>
  <si>
    <t>CSS-IVE-145016</t>
  </si>
  <si>
    <t>Verify Host serial port communications in OS and EDK Shell</t>
  </si>
  <si>
    <t>CSS-IVE-61847</t>
  </si>
  <si>
    <t>Verify if SUT is able to communicate with another SUT through Serial port(capture debug log)</t>
  </si>
  <si>
    <t>CSS-IVE-61848</t>
  </si>
  <si>
    <t>Verify SUT shutdown (S5) when the Power Button is held in EDK Shell with only   AC  is plugged-in</t>
  </si>
  <si>
    <t>CSS-IVE-119473</t>
  </si>
  <si>
    <t>Verify SUT shutdown (S5) when the Power Button is held in EDK Shell with only USB Charger plugged-in</t>
  </si>
  <si>
    <t>CSS-IVE-119474</t>
  </si>
  <si>
    <t>Verify SUT shutdown (S5) when the Power Button is held in BIOS Setup with only USB Charger plugged-in</t>
  </si>
  <si>
    <t>CSS-IVE-119475</t>
  </si>
  <si>
    <t>Verify SUT shutdown (S5) when the Power Button is held in BIOS Setup with only   AC  plugged-in</t>
  </si>
  <si>
    <t>CSS-IVE-119476</t>
  </si>
  <si>
    <t>Verify SUT shutdown (S5) when the Power Button is held during POWER_ON_TIME with only USB Charger plugged-in</t>
  </si>
  <si>
    <t>CSS-IVE-119477</t>
  </si>
  <si>
    <t>Validate Type-C USB3.0 Host Mode (Type-C to A) functionality - on hot unplug/plug and after Sx Cycles</t>
  </si>
  <si>
    <t>CSS-IVE-70350</t>
  </si>
  <si>
    <t>Verify USB Type-C device Connector reversibility functionality after Sx (S3,S4,S5)and reboot cycles</t>
  </si>
  <si>
    <t>CSS-IVE-99709</t>
  </si>
  <si>
    <t>Validate booting SUT with USB Type-C power adapter and without battery connected</t>
  </si>
  <si>
    <t>CSS-IVE-102263</t>
  </si>
  <si>
    <t>Verify if SUT wakes from Connected Modern Standby on plug/unplug of Type-C Dock over Type-C port</t>
  </si>
  <si>
    <t>CSS-IVE-101188</t>
  </si>
  <si>
    <t>Verify if SUT wakes from Connected Modern Standby on plug/unplug of Display monitor over Type-C port</t>
  </si>
  <si>
    <t>CSS-IVE-101189</t>
  </si>
  <si>
    <t>Validate system able to perform CMS cycle with USB Type-C power adapter and without battery connected</t>
  </si>
  <si>
    <t>CSS-IVE-144566</t>
  </si>
  <si>
    <t>Verify battery charging is proper even after system crash -  AC  brick</t>
  </si>
  <si>
    <t>CSS-IVE-94237</t>
  </si>
  <si>
    <t>Verify EC detects the Sx transitions and configure the GPIOs without failure</t>
  </si>
  <si>
    <t>CSS-IVE-145302</t>
  </si>
  <si>
    <t>Validate concurrent support of keyboard and mouse functionality in OS over USB Type-A port</t>
  </si>
  <si>
    <t>CSS-IVE-71508</t>
  </si>
  <si>
    <t>Verify Brightness display Level can be changed via hotkeys on Scan Matrix Keyboard</t>
  </si>
  <si>
    <t>CSS-IVE-71697</t>
  </si>
  <si>
    <t>Verify Scroll Lock/Num/caps Lock on-board LED Functionality using Scan Matrix Keyboard</t>
  </si>
  <si>
    <t>CSS-IVE-72294</t>
  </si>
  <si>
    <t>[Golden Config] Verify CPU package C10 residence in AC and DC</t>
  </si>
  <si>
    <t>CSS-IVE-71594</t>
  </si>
  <si>
    <t>Verify if BIOS provides option to enable/disable PCH energy reporting</t>
  </si>
  <si>
    <t>CSS-IVE-94262</t>
  </si>
  <si>
    <t>Verify SUT enters to S5 state at 10sec power button press with "Power Button Override=enable" option in BIOS</t>
  </si>
  <si>
    <t>CSS-IVE-100059</t>
  </si>
  <si>
    <t>Verify SUT enters to S5 state with legacy 4 seconds power button press functionality</t>
  </si>
  <si>
    <t>CSS-IVE-100057</t>
  </si>
  <si>
    <t>Verify that ALS and brightness control should work properly on Battery Power</t>
  </si>
  <si>
    <t>CSS-IVE-71466</t>
  </si>
  <si>
    <t>Verify current PECI access mode can be configured from BIOS menu</t>
  </si>
  <si>
    <t>CSS-IVE-147208</t>
  </si>
  <si>
    <t>Verify SUT wake from Pseudo G3 via TAD Alarm</t>
  </si>
  <si>
    <t>CSS-IVE-147129</t>
  </si>
  <si>
    <t>Verify SUT enters to Pseudo G3 state only when SUT is on battery power source</t>
  </si>
  <si>
    <t>CSS-IVE-147112</t>
  </si>
  <si>
    <t>[FSP2.0]: Verify FSP_SMBIOS_MEMORY_INFO_HOB table</t>
  </si>
  <si>
    <t>CSS-IVE-79821</t>
  </si>
  <si>
    <t>[FSP] Boot mode Check (Full Configuration,S3 Resume &amp; S4 Resume)</t>
  </si>
  <si>
    <t>CSS-IVE-78919</t>
  </si>
  <si>
    <t>[FSP2.0]: Verify FSP_SMBIOS_PROCESSOR_INFO HOB table</t>
  </si>
  <si>
    <t>CSS-IVE-79902</t>
  </si>
  <si>
    <t>[FSP2.0]: Verify FSP_SMBIOS_CACHE_INFO HOB table</t>
  </si>
  <si>
    <t>CSS-IVE-79905</t>
  </si>
  <si>
    <t>[FSP2.1]: Verify FSP_ERROR_INFO_HOB table</t>
  </si>
  <si>
    <t>CSS-IVE-122364</t>
  </si>
  <si>
    <t>[FSP] [GCC]:Boot mode Check (Full Configuration,S3 Resume &amp; S4 Resume)</t>
  </si>
  <si>
    <t>CSS-IVE-132859</t>
  </si>
  <si>
    <t>[FSP][GCC]: Verify FSP_SMBIOS_MEMORY_INFO_HOB table</t>
  </si>
  <si>
    <t>CSS-IVE-132858</t>
  </si>
  <si>
    <t>[FSP][GCC]: Verify FSP_SMBIOS_PROCESSOR_INFO HOB table</t>
  </si>
  <si>
    <t>CSS-IVE-132860</t>
  </si>
  <si>
    <t>[FSP][GCC]: Verify FSP_SMBIOS_CACHE_INFO HOB table</t>
  </si>
  <si>
    <t>CSS-IVE-132861</t>
  </si>
  <si>
    <t>[FSP2.1][GCC]: Verify FSP_ERROR_INFO_HOB table</t>
  </si>
  <si>
    <t>CSS-IVE-132897</t>
  </si>
  <si>
    <t>Verify Onboard eDP display on post S3 and S4 cycle</t>
  </si>
  <si>
    <t>CSS-IVE-50451</t>
  </si>
  <si>
    <t>Verify Dual display in Extended mode with eDP+HDMI with supported max and min resolutions</t>
  </si>
  <si>
    <t>CSS-IVE-70022</t>
  </si>
  <si>
    <t>Verify IMGU Initialization - Check for IMGU/IPU Controller Lockable Registers before and after S3(Expect LKF),S0i3,S4 Cycles</t>
  </si>
  <si>
    <t>CSS-IVE-70918</t>
  </si>
  <si>
    <t>Check for Unique ID of AVStream Enumerated as GFX child device</t>
  </si>
  <si>
    <t>CSS-IVE-70920</t>
  </si>
  <si>
    <t>Verify onboard graphics driver can be Installed/uninstalled without issue in single display mode for eDP</t>
  </si>
  <si>
    <t>CSS-IVE-70952</t>
  </si>
  <si>
    <t>Verify BIOS shall display setup option to enable or disabled Force GT Wake</t>
  </si>
  <si>
    <t>CSS-IVE-70953</t>
  </si>
  <si>
    <t>Verify onboard graphics driver can be Installed/uninstalled without issue in single display mode for DP</t>
  </si>
  <si>
    <t>CSS-IVE-70954</t>
  </si>
  <si>
    <t>Verify onboard graphics driver can be Installed/uninstalled without issue in single display mode for HDMI</t>
  </si>
  <si>
    <t>CSS-IVE-70955</t>
  </si>
  <si>
    <t>Check if BIOS supports the multiple DVMT option</t>
  </si>
  <si>
    <t>CSS-IVE-92231</t>
  </si>
  <si>
    <t>Verify ISP camera device enumeration when GFX driver uninstalled using USB Camera</t>
  </si>
  <si>
    <t>CSS-IVE-86899</t>
  </si>
  <si>
    <t>Check Audio DSP state in BIOS during CMS</t>
  </si>
  <si>
    <t>CSS-IVE-80320</t>
  </si>
  <si>
    <t>Verify Audio offload While in Connected MOS</t>
  </si>
  <si>
    <t>CSS-IVE-95211</t>
  </si>
  <si>
    <t>Verify C10 and Slp-S0 is achieved in Connected MOS during video play back</t>
  </si>
  <si>
    <t>CSS-IVE-95308</t>
  </si>
  <si>
    <t>Verify CD Clock menu options in BIOS &amp; its functionality in OS</t>
  </si>
  <si>
    <t>CSS-IVE-97227</t>
  </si>
  <si>
    <t>Verify PlayReady3 functionality before &amp; after S3</t>
  </si>
  <si>
    <t>CSS-IVE-97319</t>
  </si>
  <si>
    <t>Verify PlayReady3 functionality before &amp; after S4</t>
  </si>
  <si>
    <t>CSS-IVE-97320</t>
  </si>
  <si>
    <t>Verify PlayReady3 functionality before &amp; after S5</t>
  </si>
  <si>
    <t>CSS-IVE-97321</t>
  </si>
  <si>
    <t>Verify CD Clock menu settings in BIOS and its functionality in OS before &amp; after S3</t>
  </si>
  <si>
    <t>CSS-IVE-97322</t>
  </si>
  <si>
    <t>Verify timeout errors should not get registered in Event Viewer during AV Stress testing over WIFI connectivity</t>
  </si>
  <si>
    <t>CSS-IVE-97332</t>
  </si>
  <si>
    <t>Verify Front Camera functionality in OS with taking video for 15mins</t>
  </si>
  <si>
    <t>CSS-IVE-99406</t>
  </si>
  <si>
    <t>Verify 5K Display Panel enumeration in Device Manager</t>
  </si>
  <si>
    <t>CSS-IVE-99446</t>
  </si>
  <si>
    <t>Verify Display Audio Driver enumeration with 5K Panel</t>
  </si>
  <si>
    <t>CSS-IVE-99453</t>
  </si>
  <si>
    <t>Verify Audio Play back on 5K Display Panel</t>
  </si>
  <si>
    <t>CSS-IVE-99454</t>
  </si>
  <si>
    <t>Verify HEVC (H.265) video playback in OS</t>
  </si>
  <si>
    <t>CSS-IVE-99716</t>
  </si>
  <si>
    <t>Verify display behaviour with HDMI Plug\Unplug HDMI during Video play back</t>
  </si>
  <si>
    <t>CSS-IVE-99731</t>
  </si>
  <si>
    <t>Verify video playback in OS using 3.5mm-Jack-Headset connected (Headset connected during play back)</t>
  </si>
  <si>
    <t>CSS-IVE-100025</t>
  </si>
  <si>
    <t>Verify 8K Display Panel enumeration in Device Manager with S3 cycles</t>
  </si>
  <si>
    <t>CSS-IVE-100921</t>
  </si>
  <si>
    <t>Verify 8K Display Panel enumeration in Device Manager with S4,S5, cold and warm reset cycles</t>
  </si>
  <si>
    <t>CSS-IVE-100966</t>
  </si>
  <si>
    <t>Verify 5K Display Panel enumeration in Device Manager before and after S3 cycle</t>
  </si>
  <si>
    <t>CSS-IVE-100978</t>
  </si>
  <si>
    <t>Verify Dual display functionality in Extended mode (onboard eDP+HDMI) Post S3 cycle</t>
  </si>
  <si>
    <t>CSS-IVE-101248</t>
  </si>
  <si>
    <t>Verify Dual display functionality in Extended mode (onboard eDP+HDMI) Post Connected MOS cycle</t>
  </si>
  <si>
    <t>CSS-IVE-101251</t>
  </si>
  <si>
    <t>Verify Dual display functionality in clone mode (onboard eDP+HDMI) Post Connected MOS cycle</t>
  </si>
  <si>
    <t>CSS-IVE-101252</t>
  </si>
  <si>
    <t>Verify 4K HDMI Display Panel enumeration in Device Manager</t>
  </si>
  <si>
    <t>CSS-IVE-101921</t>
  </si>
  <si>
    <t>Verify Display Audio Driver enumeration with 4K Panel</t>
  </si>
  <si>
    <t>CSS-IVE-101923</t>
  </si>
  <si>
    <t>Verify 4K Display Panel enumeration in Device Manager before and after S3 cycle</t>
  </si>
  <si>
    <t>CSS-IVE-101927</t>
  </si>
  <si>
    <t>Verify Audio recording and playback over 3.5mm-Jack-Headset (via Soundwire), pre and post S0i3 cycle</t>
  </si>
  <si>
    <t>CSS-IVE-114673</t>
  </si>
  <si>
    <t>Verify Audio recording and playback over 3.5mm-Jack-Headset (via Soundwire), pre and post S3 cycle</t>
  </si>
  <si>
    <t>CSS-IVE-114676</t>
  </si>
  <si>
    <t>Verify independent update support of GOP Binary</t>
  </si>
  <si>
    <t>CSS-IVE-115114</t>
  </si>
  <si>
    <t>Verify Dual display functionality in OS (onboard eDP+DP) Pre and Post CMS/S0i3 (Modern Standby) cycle</t>
  </si>
  <si>
    <t>CSS-IVE-115307</t>
  </si>
  <si>
    <t>Verify PlayReady3 functionality on external display pre and post S3 cycle</t>
  </si>
  <si>
    <t>CSS-IVE-114696</t>
  </si>
  <si>
    <t>Verify USB-Audio offload when System in CMS</t>
  </si>
  <si>
    <t>CSS-IVE-115585</t>
  </si>
  <si>
    <t>Verify Audio Play back on 8K DP Monitor Pre and Post S3,S4,S5 cycles</t>
  </si>
  <si>
    <t>CSS-IVE-116765</t>
  </si>
  <si>
    <t>Verify Audio Play back on 8K DP Monitor Pre and Post CMS cycles</t>
  </si>
  <si>
    <t>CSS-IVE-116766</t>
  </si>
  <si>
    <t>Verify Audio Play back on 8K DP Monitor Pre and Post DMS cycles</t>
  </si>
  <si>
    <t>CSS-IVE-116767</t>
  </si>
  <si>
    <t>Verify Video Play back on 8K DP Monitor</t>
  </si>
  <si>
    <t>CSS-IVE-116768</t>
  </si>
  <si>
    <t>Verify Video Play back on 8K DP Monitor Pre and Post S3,S4,S5 cycles</t>
  </si>
  <si>
    <t>CSS-IVE-116769</t>
  </si>
  <si>
    <t>Verify Video Play back on 8K DP Monitor Pre and Post CMS cycles</t>
  </si>
  <si>
    <t>CSS-IVE-116770</t>
  </si>
  <si>
    <t>Verify Video Play back on 8K DP Monitor Pre and Post DMS cycles</t>
  </si>
  <si>
    <t>CSS-IVE-116771</t>
  </si>
  <si>
    <t>Verify that all VT-d units are Disabled on Disabling VT-d in BIOS</t>
  </si>
  <si>
    <t>CSS-IVE-50457</t>
  </si>
  <si>
    <t>Verify DMAR Table is not populated on Disabling VT-D in Intel test menu enabled BIOS</t>
  </si>
  <si>
    <t>CSS-IVE-50459</t>
  </si>
  <si>
    <t>Verify GT PSMI Support in BIOS</t>
  </si>
  <si>
    <t>CSS-IVE-105610</t>
  </si>
  <si>
    <t>Verify 4K HDR Display Panel enumeration in OS over onboard HDMI and DP port</t>
  </si>
  <si>
    <t>CSS-IVE-133114</t>
  </si>
  <si>
    <t>Negative test: Verify there is no support for SAIPUIMR Configuration in BIOS</t>
  </si>
  <si>
    <t>CSS-IVE-135818</t>
  </si>
  <si>
    <t>Verify HD/FHD USB camera is functioning properly for capturing images &amp; video with pre and post S3 cycles</t>
  </si>
  <si>
    <t>CSS-IVE-145020</t>
  </si>
  <si>
    <t>Verify HD/FHD USB camera is functioning properly for capturing images &amp; video with pre and post CMS cycles</t>
  </si>
  <si>
    <t>CSS-IVE-145167</t>
  </si>
  <si>
    <t>Verify Dual display functionality in Extended mode (onboard eDP+HDMI) Post S4, S5, warm and cold reset cycles</t>
  </si>
  <si>
    <t>CSS-IVE-145174</t>
  </si>
  <si>
    <t>Verify PlayReady3 functionality on external display pre and post S4 and S5 cycle</t>
  </si>
  <si>
    <t>CSS-IVE-145190</t>
  </si>
  <si>
    <t>Verify APIC table under ACPI table</t>
  </si>
  <si>
    <t>CSS-IVE-44544</t>
  </si>
  <si>
    <t>Verify system can boot to EDK shell from BIOS page with external USB drive connected</t>
  </si>
  <si>
    <t>CSS-IVE-46095</t>
  </si>
  <si>
    <t>Verify the post code value and the sequence while booting to OS</t>
  </si>
  <si>
    <t>CSS-IVE-44421</t>
  </si>
  <si>
    <t>Validate EFI reset Cycle (5 times)</t>
  </si>
  <si>
    <t>CSS-IVE-44344</t>
  </si>
  <si>
    <t>Verify if system can display debug messages on Debug BIOS and does not display debug messages on Release BIOS</t>
  </si>
  <si>
    <t>CSS-IVE-44396</t>
  </si>
  <si>
    <t>Verify BIOS reports OEM ID "INTEL" via ACPI Table</t>
  </si>
  <si>
    <t>CSS-IVE-50534</t>
  </si>
  <si>
    <t>Verify booting support through USB 2.0 (HS mass storage) connected over USB Type-A port</t>
  </si>
  <si>
    <t>CSS-IVE-65791</t>
  </si>
  <si>
    <t>Verification of PEP ACPI device enablement</t>
  </si>
  <si>
    <t>CSS-IVE-62138</t>
  </si>
  <si>
    <t>Verification of HPET (High Precision Event Timer) initialization</t>
  </si>
  <si>
    <t>CSS-IVE-62139</t>
  </si>
  <si>
    <t>Verify OS preload to eMMC through USB pendrive  and check system boot &amp; Device detection</t>
  </si>
  <si>
    <t>CSS-IVE-62150</t>
  </si>
  <si>
    <t>verify CLKREQ to Root Port Mapping</t>
  </si>
  <si>
    <t>CSS-IVE-62163</t>
  </si>
  <si>
    <t>Verify staggered Spin up feature in SATA configuration after S3 and S4 cycle</t>
  </si>
  <si>
    <t>CSS-IVE-64365</t>
  </si>
  <si>
    <t>Verify that all SATA (direct connect) ports are functional without issue</t>
  </si>
  <si>
    <t>CSS-IVE-64368</t>
  </si>
  <si>
    <t>Verify  HDA\iDisplay link frequency set  after S3/S4</t>
  </si>
  <si>
    <t>CSS-IVE-64369</t>
  </si>
  <si>
    <t>Verify USB Type-C device is reported as an ACPI device under OS Device Manager</t>
  </si>
  <si>
    <t>CSS-IVE-64383</t>
  </si>
  <si>
    <t>Verify data transfer functionality over Type C port after Cold Boot , S3, S4, S5 Cycles</t>
  </si>
  <si>
    <t>CSS-IVE-64384</t>
  </si>
  <si>
    <t>Verify Blu-Ray 2.2 playback support using HDMI 2.2</t>
  </si>
  <si>
    <t>CSS-IVE-79886</t>
  </si>
  <si>
    <t>Verify BT power state control through S0W or PR3 method</t>
  </si>
  <si>
    <t>CSS-IVE-79890</t>
  </si>
  <si>
    <t>Verify USB3.0 Hub detection &amp; functionality in OS, EFI, BIOS over USB Type-A and Type-C port</t>
  </si>
  <si>
    <t>CSS-IVE-67806</t>
  </si>
  <si>
    <t>Verifying Driver Enable/ Disable from OS device manager for I2C/UART/SPI</t>
  </si>
  <si>
    <t>CSS-IVE-69877</t>
  </si>
  <si>
    <t>Verify Hot plugging of SATA-HDD during Sx mode, resume and check enumeration in Device manager</t>
  </si>
  <si>
    <t>CSS-IVE-85700</t>
  </si>
  <si>
    <t>Verify Intel Smart Sound Technology &amp; DMIC Hardware ID in OS after multiple S3 &amp; S4 cycles</t>
  </si>
  <si>
    <t>CSS-IVE-70895</t>
  </si>
  <si>
    <t>Verify HDA PCI offset 0Ah [7:0] is set to 1 if DSP/Smart Sound Technology is enabled in BIOS</t>
  </si>
  <si>
    <t>CSS-IVE-70896</t>
  </si>
  <si>
    <t>Verify "PCIe Speed" options for PCI Express Root Port</t>
  </si>
  <si>
    <t>CSS-IVE-71063</t>
  </si>
  <si>
    <t>Verify status of USB type C device connected to USB hub /DP for single S3/S0iX and S4 cycle</t>
  </si>
  <si>
    <t>CSS-IVE-71073</t>
  </si>
  <si>
    <t>Verify strap lanes 14-17 of SPTH are programmed to be DMI in the CommonLane section of ChipsetInit</t>
  </si>
  <si>
    <t>CSS-IVE-71377</t>
  </si>
  <si>
    <t>Verifying Speaker/ Audio jack detection and audio switching from Inbuilt speakers to Headphones and vice versa</t>
  </si>
  <si>
    <t>CSS-IVE-72701</t>
  </si>
  <si>
    <t>Verify BIOS display an option to enable or disable ASPM on Root port links</t>
  </si>
  <si>
    <t>CSS-IVE-80008</t>
  </si>
  <si>
    <t>Verify BIOS can support enumerating PUIS (Power-up In Standby) enabled disk</t>
  </si>
  <si>
    <t>CSS-IVE-84971</t>
  </si>
  <si>
    <t>Verify Audio Codec details are present in ACPI tables</t>
  </si>
  <si>
    <t>CSS-IVE-86413</t>
  </si>
  <si>
    <t>Verify Touch Panel should be enumerated as a PCI device</t>
  </si>
  <si>
    <t>CSS-IVE-86487</t>
  </si>
  <si>
    <t>BIOS should configure necessary registry entries which are required for Audio Configuration</t>
  </si>
  <si>
    <t>CSS-IVE-86467</t>
  </si>
  <si>
    <t>Verification of Audio PEP device ID after resuming from CMS</t>
  </si>
  <si>
    <t>CSS-IVE-78898</t>
  </si>
  <si>
    <t>Verify SUT wake from S0i3 using PCIE LAN devices (WOL)</t>
  </si>
  <si>
    <t>CSS-IVE-76027</t>
  </si>
  <si>
    <t>Verify that BIOS shall provide verb tables and program Onboard codecs as per spec</t>
  </si>
  <si>
    <t>CSS-IVE-77374</t>
  </si>
  <si>
    <t>Verify eMMC device detection in EFI and OS by enabling &amp; disabling eMMC HS400 mode</t>
  </si>
  <si>
    <t>CSS-IVE-88377</t>
  </si>
  <si>
    <t>Verify default Critical Trip point value in BIOS</t>
  </si>
  <si>
    <t>CSS-IVE-91089</t>
  </si>
  <si>
    <t>Verify GPIO device ID</t>
  </si>
  <si>
    <t>CSS-IVE-91897</t>
  </si>
  <si>
    <t>Verify system exposes LPSS UART as Legacy UART Device</t>
  </si>
  <si>
    <t>CSS-IVE-71062</t>
  </si>
  <si>
    <t>Verify BIOS provides an option to enable/disable enumeration of the SATA Controller</t>
  </si>
  <si>
    <t>CSS-IVE-84716</t>
  </si>
  <si>
    <t>Verify BIOS provides an option to set the SATA Controller in AHCI or Intel RST Premium</t>
  </si>
  <si>
    <t>CSS-IVE-84764</t>
  </si>
  <si>
    <t>Verify "PCH Trace Hub Memory Region 0 Buffer Size" BIOS policy/option for NPK Support</t>
  </si>
  <si>
    <t>CSS-IVE-84939</t>
  </si>
  <si>
    <t>Verify "PCH TH Mem Buffer Size 1" BIOS policy/option for NPK Support</t>
  </si>
  <si>
    <t>CSS-IVE-84942</t>
  </si>
  <si>
    <t>Validate eMMC speed mode - HS400</t>
  </si>
  <si>
    <t>CSS-IVE-92912</t>
  </si>
  <si>
    <t>Verify Bios page and its sub pages interface load in Bios setup</t>
  </si>
  <si>
    <t>CSS-IVE-76125</t>
  </si>
  <si>
    <t>Verify Intel HDA Power/Clock gating setup option in BIOS</t>
  </si>
  <si>
    <t>CSS-IVE-78781</t>
  </si>
  <si>
    <t>Verify all supported Device ID"s are ported correctly</t>
  </si>
  <si>
    <t>CSS-IVE-85630</t>
  </si>
  <si>
    <t>Verify SUT support Debug Trace log capture via TAP over JTAG when SUT is in Sleep state (Route traces to PTI)</t>
  </si>
  <si>
    <t>CSS-IVE-99697</t>
  </si>
  <si>
    <t>Verify NVMe SSD achieve SLP_S0 residency during 12 hours of CS-idle</t>
  </si>
  <si>
    <t>CSS-IVE-101338</t>
  </si>
  <si>
    <t>Verify BIOS support for eMMC RTD3</t>
  </si>
  <si>
    <t>CSS-IVE-101378</t>
  </si>
  <si>
    <t>Verify PCIe SD Card detection after multiple cycles of plug and play media file with Sx cycles</t>
  </si>
  <si>
    <t>CSS-IVE-101603</t>
  </si>
  <si>
    <t>Verify Clear LPP_CTL.LPMEN bit before initializing Trace Hub</t>
  </si>
  <si>
    <t>CSS-IVE-102188</t>
  </si>
  <si>
    <t>Verify BIOS support for multiple PCI segments</t>
  </si>
  <si>
    <t>CSS-IVE-102195</t>
  </si>
  <si>
    <t>Verify Initialize system memory as trace buffers for CPU Trace Hub</t>
  </si>
  <si>
    <t>CSS-IVE-102403</t>
  </si>
  <si>
    <t>Verify Initialize system memory as trace buffers for PCH Trace Hub</t>
  </si>
  <si>
    <t>CSS-IVE-102404</t>
  </si>
  <si>
    <t>Verify System exposes debug interface that complies with Debug Port Specification</t>
  </si>
  <si>
    <t>CSS-IVE-102444</t>
  </si>
  <si>
    <t>Verify "Unlock USB Overcurrent Pins for NOA usage" BIOS policy/option</t>
  </si>
  <si>
    <t>CSS-IVE-102447</t>
  </si>
  <si>
    <t>Verify USB3 DbC enumeration by Enable/Disable USB Overcurrent option in BIOS</t>
  </si>
  <si>
    <t>CSS-IVE-102449</t>
  </si>
  <si>
    <t>Verify SATA Thermal Throttling support for each port with SATA SSD</t>
  </si>
  <si>
    <t>CSS-IVE-102157</t>
  </si>
  <si>
    <t>Verify LPSS I2C need to be on PCI mode by default</t>
  </si>
  <si>
    <t>CSS-IVE-105571</t>
  </si>
  <si>
    <t>Verifying PCIe-USB add-on card support post Sx Cycle</t>
  </si>
  <si>
    <t>CSS-IVE-105705</t>
  </si>
  <si>
    <t>Verify BIOS setup user interface option for changing the EXT_V1p05 voltage and EXT_V1p05 current values</t>
  </si>
  <si>
    <t>CSS-IVE-113612</t>
  </si>
  <si>
    <t>Verify BIOS setup user interface option for changing the EXT_VNN voltage and EXT_VNN current max values</t>
  </si>
  <si>
    <t>CSS-IVE-113613</t>
  </si>
  <si>
    <t>Verify PMC Read Disable BIOS SETUP option and its default value</t>
  </si>
  <si>
    <t>CSS-IVE-113856</t>
  </si>
  <si>
    <t>Verify BIOS support for Early Hard disk Spin up</t>
  </si>
  <si>
    <t>CSS-IVE-114237</t>
  </si>
  <si>
    <t>Verify device ID of Integrated Error Handler</t>
  </si>
  <si>
    <t>CSS-IVE-117483</t>
  </si>
  <si>
    <t>Verify different boot mode of Integrated Error Handler</t>
  </si>
  <si>
    <t>CSS-IVE-117485</t>
  </si>
  <si>
    <t>Verify setup gives S0i2.x and 3.x configuration options</t>
  </si>
  <si>
    <t>CSS-IVE-122386</t>
  </si>
  <si>
    <t>Verify BT audio Offload Bios policy for CNVi and discrete Module</t>
  </si>
  <si>
    <t>CSS-IVE-129967</t>
  </si>
  <si>
    <t>Verify ITH connection establishment via TAP over JTAG</t>
  </si>
  <si>
    <t>CSS-IVE-132986</t>
  </si>
  <si>
    <t>Verify CMS functionality after enabling External V1P05 Rail in BIOS (FIVR Settings)</t>
  </si>
  <si>
    <t>CSS-IVE-133310</t>
  </si>
  <si>
    <t>Verify system enter  and exit CMS  after enabling FIVR  External Vnn Rail in BIOS</t>
  </si>
  <si>
    <t>CSS-IVE-133314</t>
  </si>
  <si>
    <t>Verify Touch Panel(I2C) enumeration and functionality in OS pre and post Sx cycles</t>
  </si>
  <si>
    <t>CSS-IVE-133612</t>
  </si>
  <si>
    <t>Verify NHLT Table with internal and external BIOS in ACPI dump</t>
  </si>
  <si>
    <t>CSS-IVE-135373</t>
  </si>
  <si>
    <t>CSS-IVE-135690</t>
  </si>
  <si>
    <t>Verify PCI_CFG_DIS bit is set in the Private configuration space</t>
  </si>
  <si>
    <t>CSS-IVE-135697</t>
  </si>
  <si>
    <t>Verify  BIOS should provide the options to Enable/Disable PEP devices</t>
  </si>
  <si>
    <t>CSS-IVE-144706</t>
  </si>
  <si>
    <t>Verify ModPHY core power gating should be enabled for "unassigned" lanes</t>
  </si>
  <si>
    <t>CSS-IVE-145486</t>
  </si>
  <si>
    <t>Verify BIOS support for [CNV][WIFI] New ACPI table WTAS - Wi-Fi time Average SAR</t>
  </si>
  <si>
    <t>CSS-IVE-145681</t>
  </si>
  <si>
    <t>Verify DMIC basic functionality test with Soundwire Codec, pre and post S4, S5 and warm and cold reset cycles</t>
  </si>
  <si>
    <t>CSS-IVE-145509</t>
  </si>
  <si>
    <t>Verify Audio Play back after S0i3(Modern Standby) cycles with USB headset in AC mode</t>
  </si>
  <si>
    <t>CSS-IVE-63701</t>
  </si>
  <si>
    <t>Verify CNVi Bluetooth functionality in OS pre and post S4 , S5 , warm and cold reboot cycles</t>
  </si>
  <si>
    <t>CSS-IVE-145038</t>
  </si>
  <si>
    <t>Verify CNVi WLAN Functionality in OS  pre and post S4 , S5 , warm and cold reboot cycles</t>
  </si>
  <si>
    <t>CSS-IVE-145041</t>
  </si>
  <si>
    <t>Verify display check on HDMI when connected via DP 1.2 to HDMI dongle</t>
  </si>
  <si>
    <t>CSS-IVE-71258</t>
  </si>
  <si>
    <t>Verify Discrete BT/WLAN functionality before and after Deep Sx states</t>
  </si>
  <si>
    <t>CSS-IVE-145022</t>
  </si>
  <si>
    <t>Verify Discrete Wi-Fi functional test in OS pre and post S4 , S5 , warm and cold reboot cycles</t>
  </si>
  <si>
    <t>CSS-IVE-145050</t>
  </si>
  <si>
    <t>SD card  functionality check connected to PCIe slot</t>
  </si>
  <si>
    <t>CSS-IVE-71240</t>
  </si>
  <si>
    <t>Verify the Dual Display functionality (onboard eDP+DP) in OS pre and Post S4, S5, warm and cold reboot cycles</t>
  </si>
  <si>
    <t>CSS-IVE-145175</t>
  </si>
  <si>
    <t>Verify Audio recording and playback over 3.5mm-Jack-Headset (via Soundwire), pre and post S4, S5, warm and cold reset cycles</t>
  </si>
  <si>
    <t>CSS-IVE-145187</t>
  </si>
  <si>
    <t>Verify charging of dead battery on SUT through USB Type-C PD adapter</t>
  </si>
  <si>
    <t>CSS-IVE-63567</t>
  </si>
  <si>
    <t>Verify "Wake on Voice" functionality when System in SLP_S0 state, pre and post S4 and S5 cycles</t>
  </si>
  <si>
    <t>CSS-IVE-145224</t>
  </si>
  <si>
    <t>Verify USB2.0/3.0 device functionality on cold plug over USB2.0 and USB3.0 Type-A port before and after S3,S4 state</t>
  </si>
  <si>
    <t>CSS-IVE-62689</t>
  </si>
  <si>
    <t>Validate Type-C USB3.0 Host Mode (Type-C to A) functionality - device connected to Hub, Cable connected when SUT is in Sx state</t>
  </si>
  <si>
    <t>CSS-IVE-63571</t>
  </si>
  <si>
    <t>Verify Device Specific Method(_DSM) support  in the ACPI dump for Bluetooth device</t>
  </si>
  <si>
    <t>CSS-IVE-145804</t>
  </si>
  <si>
    <t>Verify BIOS support for [CNV][BLUETOOTH] ACPI table BTLC   Bluetooth Tile Configuration</t>
  </si>
  <si>
    <t>CSS-IVE-145805</t>
  </si>
  <si>
    <t>Verify USB 2.0 devices functionality check over USB Type-C along with Sx cycles</t>
  </si>
  <si>
    <t>CSS-IVE-63568</t>
  </si>
  <si>
    <t>Verify if BIOS defaults can be saved and restored back in setup menu by configuring CMOS battery</t>
  </si>
  <si>
    <t>CSS-IVE-62405</t>
  </si>
  <si>
    <t>Verify Discrete BT functionality after idle and sleep states</t>
  </si>
  <si>
    <t>CSS-IVE-62169</t>
  </si>
  <si>
    <t>Verify platform can be able to send and receive data over serial port(capture windbg)</t>
  </si>
  <si>
    <t>CSS-IVE-97330</t>
  </si>
  <si>
    <t>Verify OS debug support using Windbg via native serial UART during SUT resume from S4,S5 state</t>
  </si>
  <si>
    <t>CSS-IVE-101504</t>
  </si>
  <si>
    <t>Verify discrete Wi-Fi wake event from S0i3</t>
  </si>
  <si>
    <t>CSS-IVE-71105</t>
  </si>
  <si>
    <t>Verify SUT wake from S0i3 by CNVi Wi-Fi wake event</t>
  </si>
  <si>
    <t>CSS-IVE-113684</t>
  </si>
  <si>
    <t>Verify CNVi WLAN and Bluetooth functionality in Pre-OS with RF Kill switch enabled on board</t>
  </si>
  <si>
    <t>CSS-IVE-113961</t>
  </si>
  <si>
    <t>DPTF participant devices should be listed only with DPTF enabled in BIOS</t>
  </si>
  <si>
    <t>CSS-IVE-65451</t>
  </si>
  <si>
    <t>Legacy thermal options should get absolute when Dynamic Platform Thermal Framework is enabled on the system</t>
  </si>
  <si>
    <t>CSS-IVE-118447</t>
  </si>
  <si>
    <t>Verify Intel(R) SpeedStep(TM) support and P-state cycling</t>
  </si>
  <si>
    <t>CSS-IVE-63680</t>
  </si>
  <si>
    <t>Verify C-States residency on switching between AC and DC modes post Sleep</t>
  </si>
  <si>
    <t>CSS-IVE-63684</t>
  </si>
  <si>
    <t>Verify SUT wakes from S0i3/C-MoS using Bluetooth (BT Devices)</t>
  </si>
  <si>
    <t>CSS-IVE-65480</t>
  </si>
  <si>
    <t>Verify Package C-states support</t>
  </si>
  <si>
    <t>CSS-IVE-65501</t>
  </si>
  <si>
    <t>Verify SUT waking up from Connected Modern standby when it hits low battery event</t>
  </si>
  <si>
    <t>CSS-IVE-71145</t>
  </si>
  <si>
    <t>BIOS should provide option to enable or disable Serial debug messages.</t>
  </si>
  <si>
    <t>CSS-IVE-81030</t>
  </si>
  <si>
    <t>Processor ID and PCH stepping should be enumerated in BIOS</t>
  </si>
  <si>
    <t>CSS-IVE-84582</t>
  </si>
  <si>
    <t>BIOS should have an option to enable or disable HMRFPO MEI message to Intel ME</t>
  </si>
  <si>
    <t>CSS-IVE-80343</t>
  </si>
  <si>
    <t>Bios should send End of POST (EOP) MEI message to ME and wait for response prior to OS load</t>
  </si>
  <si>
    <t>CSS-IVE-80345</t>
  </si>
  <si>
    <t>Bios should not send End of POST (EOP) MEI message during ME Recovery/Error/Disabled state</t>
  </si>
  <si>
    <t>CSS-IVE-80344</t>
  </si>
  <si>
    <t>BIOS shall initialize Intel MEI #1 (HECI 1)prior to the system memory initialization.</t>
  </si>
  <si>
    <t>CSS-IVE-80346</t>
  </si>
  <si>
    <t>DRAM Initialization done message should be sent by BIOS post System Transition from G3,S4 and S5 to S0 state</t>
  </si>
  <si>
    <t>CSS-IVE-145021</t>
  </si>
  <si>
    <t>[Ingredient NIC] - Alpha - Verify system can perform 100 S3 cycles</t>
  </si>
  <si>
    <t>CSS-IVE-99365</t>
  </si>
  <si>
    <t>[Ingredient NIC] - Alpha - Verify system can perform 100 S4 cycles</t>
  </si>
  <si>
    <t>CSS-IVE-99366</t>
  </si>
  <si>
    <t>[Ingredient NIC] - Alpha - Verify system can perform 100 S5 (Warm Reboot) cycles</t>
  </si>
  <si>
    <t>CSS-IVE-99367</t>
  </si>
  <si>
    <t>[Ingredient NIC] - Alpha - Verify system can perform 100 S5 (Cold Reboot) cycles</t>
  </si>
  <si>
    <t>CSS-IVE-99368</t>
  </si>
  <si>
    <t>[Ingredient NIC] - Alpha - Verify system can perform 100 "Connected MOS" cycles</t>
  </si>
  <si>
    <t>CSS-IVE-99369</t>
  </si>
  <si>
    <t>[Ingredient NIC] - Beta - Verify system can perform 500 S3 cycles</t>
  </si>
  <si>
    <t>CSS-IVE-99375</t>
  </si>
  <si>
    <t>[Ingredient NIC] - Beta - Verify system can perform 500 S4 cycles</t>
  </si>
  <si>
    <t>CSS-IVE-99376</t>
  </si>
  <si>
    <t>[Ingredient NIC] - Beta - Verify system can perform 500 S5 (Warm Reboot) cycles</t>
  </si>
  <si>
    <t>CSS-IVE-99377</t>
  </si>
  <si>
    <t>[Ingredient NIC] - Beta - Verify system can perform 500 S5 (Cold Reboot) cycles</t>
  </si>
  <si>
    <t>CSS-IVE-99378</t>
  </si>
  <si>
    <t>[Ingredient NIC] - Beta - Verify system can perform 500 "Connected MOS" cycles</t>
  </si>
  <si>
    <t>CSS-IVE-99379</t>
  </si>
  <si>
    <t>[Ingredient NIC] - PV - Verify system can perform 1500 S3 cycles</t>
  </si>
  <si>
    <t>CSS-IVE-99385</t>
  </si>
  <si>
    <t>[Ingredient NIC] - PV - Verify system can perform 1500 S4 cycles</t>
  </si>
  <si>
    <t>CSS-IVE-99386</t>
  </si>
  <si>
    <t>[Ingredient NIC] - PV - Verify system can perform 1500 S5 (Warm Reboot) cycles</t>
  </si>
  <si>
    <t>CSS-IVE-99387</t>
  </si>
  <si>
    <t>[Ingredient NIC] - PV - Verify system can perform 1500 S5 (Cold Reboot) cycles</t>
  </si>
  <si>
    <t>CSS-IVE-99388</t>
  </si>
  <si>
    <t>[Ingredient NIC] - PV - Verify system can perform 1500 "Connected MOS" cycles</t>
  </si>
  <si>
    <t>CSS-IVE-99389</t>
  </si>
  <si>
    <t>Verify GPS/GNSS functionality check post S4 cycle</t>
  </si>
  <si>
    <t>CSS-IVE-76189</t>
  </si>
  <si>
    <t>Verify GPS/GNSS functionality check post S5 cycle</t>
  </si>
  <si>
    <t>CSS-IVE-76190</t>
  </si>
  <si>
    <t>Validate Type-C USB2.0 Host Mode (Type-C to A) functionality - after S5, device connected when SUT is in S5 State</t>
  </si>
  <si>
    <t>CSS-IVE-76578</t>
  </si>
  <si>
    <t>Validate Type-C USB3.0 Host Mode (Type-C to A) functionality after S4, Cable connected at S4 State</t>
  </si>
  <si>
    <t>CSS-IVE-76579</t>
  </si>
  <si>
    <t>Validate Type-C USB3.0 Host Mode (Type-C to A) functionality after S5, Cable connected at S5 State</t>
  </si>
  <si>
    <t>CSS-IVE-76580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</si>
  <si>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</si>
  <si>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</si>
  <si>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</si>
  <si>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</si>
  <si>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</si>
  <si>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</si>
  <si>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Verify Discrete Wi-Fi functional test post S3 cycle</t>
  </si>
  <si>
    <t>CSS-IVE-77306</t>
  </si>
  <si>
    <t>Validate Cold Reboot Cycles with Online Video Streaming</t>
  </si>
  <si>
    <t>CSS-IVE-86579</t>
  </si>
  <si>
    <t>Validate Sleep Cycles with online video streaming</t>
  </si>
  <si>
    <t>CSS-IVE-86582</t>
  </si>
  <si>
    <t>Validate Hybrid Sleep Cycles with online video streaming</t>
  </si>
  <si>
    <t>CSS-IVE-86583</t>
  </si>
  <si>
    <t>Verify WWAN functionality pre and post S3 cycle</t>
  </si>
  <si>
    <t>CSS-IVE-89432</t>
  </si>
  <si>
    <t>Validate CMS/S0i3 cycles with online video streaming</t>
  </si>
  <si>
    <t>CSS-IVE-89996</t>
  </si>
  <si>
    <t>Validate Graphics turbo frequency is achieved by system pre and post DMS/S0i3 cycle</t>
  </si>
  <si>
    <t>CSS-IVE-90979</t>
  </si>
  <si>
    <t>System stability test while performing CMS/S0i3 cycles with ongoing video playback</t>
  </si>
  <si>
    <t>CSS-IVE-90983</t>
  </si>
  <si>
    <t>Verify system attains responsiveness metrics with PTT disabled Consumer IFWI with dTPM connected</t>
  </si>
  <si>
    <t>CSS-IVE-91104</t>
  </si>
  <si>
    <t>Verify SUT switches to Sx state from Pseudo-G3 upon connecting Type-C adapter in Pseudo-G3 and battery also charges</t>
  </si>
  <si>
    <t>Verify Bios options removal for ADL-N non POR items</t>
  </si>
  <si>
    <t>CSS-IVE-122522</t>
  </si>
  <si>
    <t>Verify No Full MRC training, If Capsule update does not have MRC changes</t>
  </si>
  <si>
    <t>rkyashax</t>
  </si>
  <si>
    <t>Verify CMS cycle with ACPI D3 cold option enabled/disabled in BIOS</t>
  </si>
  <si>
    <t>Verify DP-display and Keyboard functionality over USB Type-C port before and after S3 state</t>
  </si>
  <si>
    <t>Verify DP-display and Keyboard functionality over USB Type-C port before and after CMS state</t>
  </si>
  <si>
    <t>[TBT] Verify wake from S3 using USB Keyboard/Mouse connected over TBT-Daisy chain device</t>
  </si>
  <si>
    <t>CSS-IVE-118894</t>
  </si>
  <si>
    <t>Validate Type-C USB3.2 gen2 Host Mode functionality - after G3 and Warm reboot cycles</t>
  </si>
  <si>
    <t>CSS-IVE-113751</t>
  </si>
  <si>
    <t>Verify USB3.2 gen2 device enumeration as SuperSpeed+ device over USB3.0 Type-A port</t>
  </si>
  <si>
    <t>CSS-IVE-113777</t>
  </si>
  <si>
    <t>Verify TCSS FW version are updated in FVI table</t>
  </si>
  <si>
    <t>CSS-IVE-119266</t>
  </si>
  <si>
    <t>Domain</t>
  </si>
  <si>
    <t>Is_Auto</t>
  </si>
  <si>
    <t>IFWI_Short_Name</t>
  </si>
  <si>
    <t>IFWI_Full_Name</t>
  </si>
  <si>
    <t>IFWI_Ingredient</t>
  </si>
  <si>
    <t>Status</t>
  </si>
  <si>
    <t>Assignee</t>
  </si>
  <si>
    <t>HSD_ID</t>
  </si>
  <si>
    <t>Comments</t>
  </si>
  <si>
    <t>Date</t>
  </si>
  <si>
    <t>Abhijith</t>
  </si>
  <si>
    <t>Lakshmi</t>
  </si>
  <si>
    <t>Faheem</t>
  </si>
  <si>
    <t>NA</t>
  </si>
  <si>
    <t>skip tbt bios option</t>
  </si>
  <si>
    <t>debug</t>
  </si>
  <si>
    <t xml:space="preserve">SATA ODD  is not  available </t>
  </si>
  <si>
    <t>Vishnu needs to share the SSD toolbox</t>
  </si>
  <si>
    <t>inventory block (HDMI to DP dongle Not available)</t>
  </si>
  <si>
    <t>`</t>
  </si>
  <si>
    <t>verified with  INTELAUDIO\CTLR_DEV_54c8</t>
  </si>
  <si>
    <t>checked with root port 9 till gen3</t>
  </si>
  <si>
    <t>Y</t>
  </si>
  <si>
    <t>N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</si>
  <si>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</si>
  <si>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</si>
  <si>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ADL-N</t>
  </si>
  <si>
    <r>
      <t>TEST_TYPE</t>
    </r>
    <r>
      <rPr>
        <b/>
        <sz val="10"/>
        <color rgb="FFFF0000"/>
        <rFont val="Calibri"/>
        <family val="2"/>
      </rPr>
      <t>*</t>
    </r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</si>
  <si>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</si>
  <si>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</si>
  <si>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</si>
  <si>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</si>
  <si>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</si>
  <si>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</si>
  <si>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</si>
  <si>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{"CPU":"A0", "MEMORY":"LP5"}</t>
  </si>
  <si>
    <t>BIOS FV</t>
  </si>
  <si>
    <t>FSP Release</t>
  </si>
  <si>
    <t>tc is not taged for adln</t>
  </si>
  <si>
    <t>Verified with available ports</t>
  </si>
  <si>
    <t>Checked with available ports</t>
  </si>
  <si>
    <t>test menu</t>
  </si>
  <si>
    <t>Verified with ICT</t>
  </si>
  <si>
    <t>cc</t>
  </si>
  <si>
    <t>windbg</t>
  </si>
  <si>
    <t>Verified with SATA HDD</t>
  </si>
  <si>
    <t>Passed</t>
  </si>
  <si>
    <t>passed</t>
  </si>
  <si>
    <t>verified with Rev131</t>
  </si>
  <si>
    <t>SATA HDD</t>
  </si>
  <si>
    <t>SATA SSD</t>
  </si>
  <si>
    <t>Verify PCIe controller enters D3 when function disabled</t>
  </si>
  <si>
    <t xml:space="preserve">debug </t>
  </si>
  <si>
    <t>checked with sata hdd</t>
  </si>
  <si>
    <t>Failed</t>
  </si>
  <si>
    <t>checked with nvme</t>
  </si>
  <si>
    <t>Blocked</t>
  </si>
  <si>
    <t>Vishwa</t>
  </si>
  <si>
    <t>v3343_00_122</t>
  </si>
  <si>
    <t>Divya</t>
  </si>
  <si>
    <t>Yamini</t>
  </si>
  <si>
    <t>Jijina</t>
  </si>
  <si>
    <t>Prudhvi</t>
  </si>
  <si>
    <t>Debug</t>
  </si>
  <si>
    <t>soc</t>
  </si>
  <si>
    <t>Vishnu</t>
  </si>
  <si>
    <t>vishwa</t>
  </si>
  <si>
    <t>\</t>
  </si>
  <si>
    <t>ADL_NR01_NNNN-A0ADPN_CPSF_SEP5_01190218_2022WW34.4.0.bin</t>
  </si>
  <si>
    <t>ADL-N-ADP-N-SV2-CONS-22.35.4.192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</si>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</sst>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rgb="FF212529"/>
      <name val="Roboto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/>
    <xf numFmtId="0" fontId="13" fillId="33" borderId="10" xfId="0" applyFont="1" applyFill="1" applyBorder="1"/>
    <xf numFmtId="0" fontId="13" fillId="33" borderId="10" xfId="0" applyFont="1" applyFill="1" applyBorder="1" applyAlignment="1">
      <alignment horizontal="left"/>
    </xf>
    <xf numFmtId="14" fontId="0" fillId="0" borderId="0" xfId="0" applyNumberFormat="1" applyAlignment="1"/>
    <xf numFmtId="0" fontId="13" fillId="33" borderId="10" xfId="0" applyFont="1" applyFill="1" applyBorder="1" applyAlignment="1"/>
    <xf numFmtId="0" fontId="13" fillId="0" borderId="10" xfId="0" applyFont="1" applyFill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Fill="1" applyAlignment="1"/>
    <xf numFmtId="0" fontId="18" fillId="0" borderId="0" xfId="0" applyFont="1" applyAlignment="1"/>
    <xf numFmtId="0" fontId="0" fillId="34" borderId="0" xfId="0" applyFill="1" applyAlignment="1"/>
    <xf numFmtId="0" fontId="19" fillId="35" borderId="10" xfId="0" applyFont="1" applyFill="1" applyBorder="1" applyAlignment="1">
      <alignment horizontal="left" vertical="center"/>
    </xf>
    <xf numFmtId="0" fontId="22" fillId="36" borderId="10" xfId="0" applyFont="1" applyFill="1" applyBorder="1" applyAlignment="1">
      <alignment horizontal="left" vertical="top"/>
    </xf>
    <xf numFmtId="0" fontId="23" fillId="37" borderId="10" xfId="0" applyFont="1" applyFill="1" applyBorder="1" applyAlignment="1">
      <alignment horizontal="left" vertical="top"/>
    </xf>
    <xf numFmtId="0" fontId="24" fillId="0" borderId="10" xfId="0" applyFont="1" applyBorder="1" applyAlignment="1">
      <alignment horizontal="left" vertical="top"/>
    </xf>
    <xf numFmtId="0" fontId="18" fillId="0" borderId="0" xfId="42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Alignment="1">
      <alignment vertical="top"/>
    </xf>
    <xf numFmtId="0" fontId="25" fillId="0" borderId="0" xfId="0" applyFont="1"/>
    <xf numFmtId="14" fontId="0" fillId="0" borderId="0" xfId="0" applyNumberFormat="1"/>
    <xf numFmtId="14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hyperlink" Target="https://hsdes.intel.com/appstore/article/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28"/>
  <sheetViews>
    <sheetView tabSelected="1" topLeftCell="A675" zoomScale="76" zoomScaleNormal="100" workbookViewId="0">
      <selection activeCell="A695" sqref="A695:XFD695"/>
    </sheetView>
  </sheetViews>
  <sheetFormatPr defaultColWidth="8.88671875" defaultRowHeight="14.4" x14ac:dyDescent="0.3"/>
  <cols>
    <col min="1" max="1" width="13.77734375" style="1" customWidth="1"/>
    <col min="2" max="2" width="97.77734375" style="1" customWidth="1"/>
    <col min="3" max="3" width="36.88671875" style="1" customWidth="1"/>
    <col min="4" max="4" width="7.5546875" style="1" bestFit="1" customWidth="1"/>
    <col min="5" max="5" width="16.6640625" style="1" bestFit="1" customWidth="1"/>
    <col min="6" max="6" width="61.88671875" style="1" bestFit="1" customWidth="1"/>
    <col min="7" max="7" width="14.88671875" style="1" bestFit="1" customWidth="1"/>
    <col min="8" max="8" width="10" style="1" bestFit="1" customWidth="1"/>
    <col min="9" max="9" width="8.88671875" style="1" customWidth="1"/>
    <col min="10" max="10" width="14.77734375" style="1" bestFit="1" customWidth="1"/>
    <col min="11" max="11" width="43.109375" style="1" bestFit="1" customWidth="1"/>
    <col min="12" max="12" width="10.21875" style="1" bestFit="1" customWidth="1"/>
    <col min="13" max="13" width="8.6640625" style="1" hidden="1" customWidth="1"/>
    <col min="14" max="14" width="14.44140625" style="1" bestFit="1" customWidth="1"/>
    <col min="15" max="15" width="16.6640625" style="1" bestFit="1" customWidth="1"/>
    <col min="16" max="16384" width="8.88671875" style="1"/>
  </cols>
  <sheetData>
    <row r="1" spans="1:16" x14ac:dyDescent="0.3">
      <c r="A1" s="2" t="s">
        <v>1731</v>
      </c>
      <c r="B1" s="2" t="s">
        <v>1732</v>
      </c>
      <c r="C1" s="3" t="s">
        <v>1661</v>
      </c>
      <c r="D1" s="3" t="s">
        <v>1662</v>
      </c>
      <c r="E1" s="2" t="s">
        <v>1663</v>
      </c>
      <c r="F1" s="2" t="s">
        <v>1664</v>
      </c>
      <c r="G1" s="2" t="s">
        <v>1665</v>
      </c>
      <c r="H1" s="2" t="s">
        <v>1666</v>
      </c>
      <c r="I1" s="2" t="s">
        <v>1667</v>
      </c>
      <c r="J1" s="2" t="s">
        <v>1668</v>
      </c>
      <c r="K1" s="2" t="s">
        <v>1669</v>
      </c>
      <c r="L1" s="2" t="s">
        <v>1670</v>
      </c>
      <c r="M1" s="5" t="s">
        <v>0</v>
      </c>
      <c r="N1" s="5" t="s">
        <v>1</v>
      </c>
      <c r="O1" s="5" t="s">
        <v>2</v>
      </c>
      <c r="P1" s="6"/>
    </row>
    <row r="2" spans="1:16" x14ac:dyDescent="0.3">
      <c r="A2" s="1" t="str">
        <f>HYPERLINK("https://hsdes.intel.com/resource/14013114695","14013114695")</f>
        <v>14013114695</v>
      </c>
      <c r="B2" s="1" t="s">
        <v>3</v>
      </c>
      <c r="C2" s="1" t="s">
        <v>4</v>
      </c>
      <c r="D2" s="1" t="s">
        <v>1683</v>
      </c>
      <c r="E2" s="1" t="s">
        <v>1698</v>
      </c>
      <c r="F2" s="1" t="s">
        <v>1729</v>
      </c>
      <c r="H2" s="1" t="s">
        <v>1707</v>
      </c>
      <c r="I2" s="1" t="s">
        <v>1672</v>
      </c>
      <c r="L2" s="4">
        <v>44797</v>
      </c>
      <c r="M2" s="1" t="s">
        <v>5</v>
      </c>
      <c r="N2" s="1" t="s">
        <v>6</v>
      </c>
      <c r="O2" s="1" t="s">
        <v>7</v>
      </c>
    </row>
    <row r="3" spans="1:16" x14ac:dyDescent="0.3">
      <c r="A3" s="1" t="str">
        <f>HYPERLINK("https://hsdes.intel.com/resource/14013114711","14013114711")</f>
        <v>14013114711</v>
      </c>
      <c r="B3" s="1" t="s">
        <v>8</v>
      </c>
      <c r="C3" s="1" t="s">
        <v>4</v>
      </c>
      <c r="D3" s="1" t="s">
        <v>1683</v>
      </c>
      <c r="E3" s="1" t="s">
        <v>1698</v>
      </c>
      <c r="F3" s="1" t="s">
        <v>1729</v>
      </c>
      <c r="H3" s="1" t="s">
        <v>1707</v>
      </c>
      <c r="I3" s="1" t="s">
        <v>1673</v>
      </c>
      <c r="L3" s="4">
        <v>44798</v>
      </c>
      <c r="M3" s="1" t="s">
        <v>5</v>
      </c>
      <c r="N3" s="1" t="s">
        <v>9</v>
      </c>
      <c r="O3" s="1" t="s">
        <v>10</v>
      </c>
    </row>
    <row r="4" spans="1:16" x14ac:dyDescent="0.3">
      <c r="A4" s="1" t="str">
        <f>HYPERLINK("https://hsdes.intel.com/resource/14013114734","14013114734")</f>
        <v>14013114734</v>
      </c>
      <c r="B4" s="1" t="s">
        <v>11</v>
      </c>
      <c r="C4" s="1" t="s">
        <v>4</v>
      </c>
      <c r="D4" s="1" t="s">
        <v>1683</v>
      </c>
      <c r="E4" s="1" t="s">
        <v>1698</v>
      </c>
      <c r="F4" s="1" t="s">
        <v>1729</v>
      </c>
      <c r="H4" s="1" t="s">
        <v>1707</v>
      </c>
      <c r="I4" s="1" t="s">
        <v>1718</v>
      </c>
      <c r="L4" s="4">
        <v>44799</v>
      </c>
      <c r="M4" s="1" t="s">
        <v>5</v>
      </c>
      <c r="N4" s="1" t="s">
        <v>12</v>
      </c>
      <c r="O4" s="1" t="s">
        <v>10</v>
      </c>
    </row>
    <row r="5" spans="1:16" x14ac:dyDescent="0.3">
      <c r="A5" s="1" t="str">
        <f>HYPERLINK("https://hsdes.intel.com/resource/14013114751","14013114751")</f>
        <v>14013114751</v>
      </c>
      <c r="B5" s="1" t="s">
        <v>13</v>
      </c>
      <c r="C5" s="1" t="s">
        <v>14</v>
      </c>
      <c r="D5" s="1" t="s">
        <v>1683</v>
      </c>
      <c r="E5" s="1" t="s">
        <v>1698</v>
      </c>
      <c r="F5" s="1" t="s">
        <v>1729</v>
      </c>
      <c r="H5" s="1" t="s">
        <v>1707</v>
      </c>
      <c r="I5" s="1" t="s">
        <v>1673</v>
      </c>
      <c r="L5" s="4">
        <v>44799</v>
      </c>
      <c r="M5" s="1" t="s">
        <v>15</v>
      </c>
      <c r="N5" s="1" t="s">
        <v>16</v>
      </c>
      <c r="O5" s="1" t="s">
        <v>10</v>
      </c>
    </row>
    <row r="6" spans="1:16" x14ac:dyDescent="0.3">
      <c r="A6" s="1" t="str">
        <f>HYPERLINK("https://hsdes.intel.com/resource/14013114813","14013114813")</f>
        <v>14013114813</v>
      </c>
      <c r="B6" s="1" t="s">
        <v>17</v>
      </c>
      <c r="C6" s="1" t="s">
        <v>18</v>
      </c>
      <c r="D6" s="1" t="s">
        <v>1683</v>
      </c>
      <c r="E6" s="1" t="s">
        <v>1698</v>
      </c>
      <c r="F6" s="1" t="s">
        <v>1729</v>
      </c>
      <c r="H6" s="1" t="s">
        <v>1707</v>
      </c>
      <c r="I6" s="1" t="s">
        <v>1673</v>
      </c>
      <c r="L6" s="4">
        <v>44802</v>
      </c>
      <c r="M6" s="1" t="s">
        <v>19</v>
      </c>
      <c r="N6" s="1" t="s">
        <v>20</v>
      </c>
      <c r="O6" s="1" t="s">
        <v>10</v>
      </c>
    </row>
    <row r="7" spans="1:16" x14ac:dyDescent="0.3">
      <c r="A7" s="1" t="str">
        <f>HYPERLINK("https://hsdes.intel.com/resource/14013114842","14013114842")</f>
        <v>14013114842</v>
      </c>
      <c r="B7" s="13" t="s">
        <v>21</v>
      </c>
      <c r="C7" s="1" t="s">
        <v>22</v>
      </c>
      <c r="D7" s="1" t="s">
        <v>1683</v>
      </c>
      <c r="E7" s="1" t="s">
        <v>1698</v>
      </c>
      <c r="F7" s="1" t="s">
        <v>1729</v>
      </c>
      <c r="H7" s="1" t="s">
        <v>1707</v>
      </c>
      <c r="I7" s="1" t="s">
        <v>1722</v>
      </c>
      <c r="L7" s="4">
        <v>44802</v>
      </c>
      <c r="M7" s="1" t="s">
        <v>23</v>
      </c>
      <c r="N7" s="1" t="s">
        <v>24</v>
      </c>
      <c r="O7" s="1" t="s">
        <v>7</v>
      </c>
    </row>
    <row r="8" spans="1:16" x14ac:dyDescent="0.3">
      <c r="A8" s="1" t="str">
        <f>HYPERLINK("https://hsdes.intel.com/resource/14013114906","14013114906")</f>
        <v>14013114906</v>
      </c>
      <c r="B8" s="1" t="s">
        <v>25</v>
      </c>
      <c r="C8" s="1" t="s">
        <v>4</v>
      </c>
      <c r="D8" s="1" t="s">
        <v>1683</v>
      </c>
      <c r="E8" s="1" t="s">
        <v>1698</v>
      </c>
      <c r="F8" s="1" t="s">
        <v>1729</v>
      </c>
      <c r="H8" s="1" t="s">
        <v>1707</v>
      </c>
      <c r="I8" s="1" t="s">
        <v>1718</v>
      </c>
      <c r="L8" s="4">
        <v>44798</v>
      </c>
      <c r="M8" s="1" t="s">
        <v>5</v>
      </c>
      <c r="N8" s="1" t="s">
        <v>26</v>
      </c>
      <c r="O8" s="1" t="s">
        <v>7</v>
      </c>
    </row>
    <row r="9" spans="1:16" x14ac:dyDescent="0.3">
      <c r="A9" s="1" t="str">
        <f>HYPERLINK("https://hsdes.intel.com/resource/14013114989","14013114989")</f>
        <v>14013114989</v>
      </c>
      <c r="B9" s="1" t="s">
        <v>27</v>
      </c>
      <c r="C9" s="1" t="s">
        <v>28</v>
      </c>
      <c r="D9" s="1" t="s">
        <v>1683</v>
      </c>
      <c r="E9" s="1" t="s">
        <v>1698</v>
      </c>
      <c r="F9" s="1" t="s">
        <v>1729</v>
      </c>
      <c r="H9" s="1" t="s">
        <v>1707</v>
      </c>
      <c r="I9" s="1" t="s">
        <v>1673</v>
      </c>
      <c r="L9" s="4">
        <v>44798</v>
      </c>
      <c r="M9" s="1" t="s">
        <v>5</v>
      </c>
      <c r="N9" s="1" t="s">
        <v>29</v>
      </c>
      <c r="O9" s="1" t="s">
        <v>10</v>
      </c>
    </row>
    <row r="10" spans="1:16" x14ac:dyDescent="0.3">
      <c r="A10" s="1" t="str">
        <f>HYPERLINK("https://hsdes.intel.com/resource/14013115011","14013115011")</f>
        <v>14013115011</v>
      </c>
      <c r="B10" s="1" t="s">
        <v>30</v>
      </c>
      <c r="C10" s="1" t="s">
        <v>4</v>
      </c>
      <c r="D10" s="1" t="s">
        <v>1683</v>
      </c>
      <c r="E10" s="1" t="s">
        <v>1698</v>
      </c>
      <c r="F10" s="1" t="s">
        <v>1729</v>
      </c>
      <c r="H10" s="7" t="s">
        <v>1707</v>
      </c>
      <c r="I10" s="1" t="s">
        <v>1673</v>
      </c>
      <c r="L10" s="4">
        <v>44798</v>
      </c>
      <c r="M10" s="1" t="s">
        <v>5</v>
      </c>
      <c r="N10" s="1" t="s">
        <v>31</v>
      </c>
      <c r="O10" s="1" t="s">
        <v>32</v>
      </c>
    </row>
    <row r="11" spans="1:16" x14ac:dyDescent="0.3">
      <c r="A11" s="1" t="str">
        <f>HYPERLINK("https://hsdes.intel.com/resource/14013115043","14013115043")</f>
        <v>14013115043</v>
      </c>
      <c r="B11" s="1" t="s">
        <v>33</v>
      </c>
      <c r="C11" s="1" t="s">
        <v>28</v>
      </c>
      <c r="D11" s="1" t="s">
        <v>1683</v>
      </c>
      <c r="E11" s="1" t="s">
        <v>1698</v>
      </c>
      <c r="F11" s="1" t="s">
        <v>1729</v>
      </c>
      <c r="H11" s="7" t="s">
        <v>1707</v>
      </c>
      <c r="I11" s="1" t="s">
        <v>1718</v>
      </c>
      <c r="L11" s="4">
        <v>44802</v>
      </c>
      <c r="M11" s="1" t="s">
        <v>5</v>
      </c>
      <c r="N11" s="1" t="s">
        <v>34</v>
      </c>
      <c r="O11" s="1" t="s">
        <v>7</v>
      </c>
    </row>
    <row r="12" spans="1:16" x14ac:dyDescent="0.3">
      <c r="A12" s="1" t="str">
        <f>HYPERLINK("https://hsdes.intel.com/resource/14013115084","14013115084")</f>
        <v>14013115084</v>
      </c>
      <c r="B12" s="1" t="s">
        <v>35</v>
      </c>
      <c r="C12" s="1" t="s">
        <v>36</v>
      </c>
      <c r="D12" s="1" t="s">
        <v>1683</v>
      </c>
      <c r="E12" s="1" t="s">
        <v>1698</v>
      </c>
      <c r="F12" s="1" t="s">
        <v>1729</v>
      </c>
      <c r="H12" s="8" t="s">
        <v>1707</v>
      </c>
      <c r="I12" s="1" t="s">
        <v>1673</v>
      </c>
      <c r="L12" s="4">
        <v>44798</v>
      </c>
      <c r="M12" s="1" t="s">
        <v>37</v>
      </c>
      <c r="N12" s="1" t="s">
        <v>38</v>
      </c>
      <c r="O12" s="1" t="s">
        <v>10</v>
      </c>
    </row>
    <row r="13" spans="1:16" x14ac:dyDescent="0.3">
      <c r="A13" s="1" t="str">
        <f>HYPERLINK("https://hsdes.intel.com/resource/14013115112","14013115112")</f>
        <v>14013115112</v>
      </c>
      <c r="B13" s="1" t="s">
        <v>39</v>
      </c>
      <c r="C13" s="1" t="s">
        <v>36</v>
      </c>
      <c r="D13" s="1" t="s">
        <v>1683</v>
      </c>
      <c r="E13" s="1" t="s">
        <v>1698</v>
      </c>
      <c r="F13" s="1" t="s">
        <v>1729</v>
      </c>
      <c r="H13" s="1" t="s">
        <v>1707</v>
      </c>
      <c r="I13" s="1" t="s">
        <v>1672</v>
      </c>
      <c r="L13" s="4">
        <v>44799</v>
      </c>
      <c r="M13" s="1" t="s">
        <v>37</v>
      </c>
      <c r="N13" s="1" t="s">
        <v>40</v>
      </c>
      <c r="O13" s="1" t="s">
        <v>10</v>
      </c>
    </row>
    <row r="14" spans="1:16" x14ac:dyDescent="0.3">
      <c r="A14" s="1" t="str">
        <f>HYPERLINK("https://hsdes.intel.com/resource/14013115234","14013115234")</f>
        <v>14013115234</v>
      </c>
      <c r="B14" s="13" t="s">
        <v>41</v>
      </c>
      <c r="C14" s="1" t="s">
        <v>22</v>
      </c>
      <c r="D14" s="1" t="s">
        <v>1683</v>
      </c>
      <c r="E14" s="1" t="s">
        <v>1698</v>
      </c>
      <c r="F14" s="1" t="s">
        <v>1729</v>
      </c>
      <c r="H14" s="1" t="s">
        <v>1707</v>
      </c>
      <c r="I14" s="1" t="s">
        <v>1722</v>
      </c>
      <c r="L14" s="4">
        <v>44802</v>
      </c>
      <c r="M14" s="1" t="s">
        <v>23</v>
      </c>
      <c r="N14" s="1" t="s">
        <v>42</v>
      </c>
      <c r="O14" s="1" t="s">
        <v>7</v>
      </c>
    </row>
    <row r="15" spans="1:16" x14ac:dyDescent="0.3">
      <c r="A15" s="1" t="str">
        <f>HYPERLINK("https://hsdes.intel.com/resource/14013115275","14013115275")</f>
        <v>14013115275</v>
      </c>
      <c r="B15" s="1" t="s">
        <v>43</v>
      </c>
      <c r="C15" s="1" t="s">
        <v>36</v>
      </c>
      <c r="D15" s="1" t="s">
        <v>1683</v>
      </c>
      <c r="E15" s="1" t="s">
        <v>1698</v>
      </c>
      <c r="F15" s="1" t="s">
        <v>1729</v>
      </c>
      <c r="H15" s="1" t="s">
        <v>1674</v>
      </c>
      <c r="I15" s="1" t="s">
        <v>1674</v>
      </c>
      <c r="M15" s="1" t="s">
        <v>37</v>
      </c>
      <c r="N15" s="1" t="s">
        <v>44</v>
      </c>
      <c r="O15" s="1" t="s">
        <v>32</v>
      </c>
    </row>
    <row r="16" spans="1:16" x14ac:dyDescent="0.3">
      <c r="A16" s="1" t="str">
        <f>HYPERLINK("https://hsdes.intel.com/resource/14013115314","14013115314")</f>
        <v>14013115314</v>
      </c>
      <c r="B16" s="1" t="s">
        <v>45</v>
      </c>
      <c r="C16" s="1" t="s">
        <v>46</v>
      </c>
      <c r="D16" s="1" t="s">
        <v>1683</v>
      </c>
      <c r="E16" s="1" t="s">
        <v>1698</v>
      </c>
      <c r="F16" s="1" t="s">
        <v>1729</v>
      </c>
      <c r="H16" s="1" t="s">
        <v>1707</v>
      </c>
      <c r="I16" s="1" t="s">
        <v>1718</v>
      </c>
      <c r="L16" s="4">
        <v>44798</v>
      </c>
      <c r="M16" s="1" t="s">
        <v>19</v>
      </c>
      <c r="N16" s="1" t="s">
        <v>47</v>
      </c>
      <c r="O16" s="1" t="s">
        <v>10</v>
      </c>
    </row>
    <row r="17" spans="1:16" x14ac:dyDescent="0.3">
      <c r="A17" s="1" t="str">
        <f>HYPERLINK("https://hsdes.intel.com/resource/14013115427","14013115427")</f>
        <v>14013115427</v>
      </c>
      <c r="B17" s="1" t="s">
        <v>48</v>
      </c>
      <c r="C17" s="1" t="s">
        <v>22</v>
      </c>
      <c r="D17" s="1" t="s">
        <v>1683</v>
      </c>
      <c r="E17" s="1" t="s">
        <v>1698</v>
      </c>
      <c r="F17" s="1" t="s">
        <v>1729</v>
      </c>
      <c r="H17" s="1" t="s">
        <v>1707</v>
      </c>
      <c r="I17" s="1" t="s">
        <v>1722</v>
      </c>
      <c r="L17" s="4">
        <v>44802</v>
      </c>
      <c r="M17" s="1" t="s">
        <v>23</v>
      </c>
      <c r="N17" s="1" t="s">
        <v>49</v>
      </c>
      <c r="O17" s="1" t="s">
        <v>10</v>
      </c>
    </row>
    <row r="18" spans="1:16" x14ac:dyDescent="0.3">
      <c r="A18" s="1" t="str">
        <f>HYPERLINK("https://hsdes.intel.com/resource/14013115566","14013115566")</f>
        <v>14013115566</v>
      </c>
      <c r="B18" s="1" t="s">
        <v>50</v>
      </c>
      <c r="C18" s="1" t="s">
        <v>22</v>
      </c>
      <c r="D18" s="1" t="s">
        <v>1683</v>
      </c>
      <c r="E18" s="1" t="s">
        <v>1698</v>
      </c>
      <c r="F18" s="1" t="s">
        <v>1729</v>
      </c>
      <c r="H18" s="1" t="s">
        <v>1707</v>
      </c>
      <c r="I18" s="1" t="s">
        <v>1673</v>
      </c>
      <c r="L18" s="4">
        <v>44799</v>
      </c>
      <c r="M18" s="1" t="s">
        <v>23</v>
      </c>
      <c r="N18" s="1" t="s">
        <v>51</v>
      </c>
      <c r="O18" s="1" t="s">
        <v>10</v>
      </c>
    </row>
    <row r="19" spans="1:16" x14ac:dyDescent="0.3">
      <c r="A19" s="12" t="str">
        <f>HYPERLINK("https://hsdes.intel.com/resource/14013116396","14013116396")</f>
        <v>14013116396</v>
      </c>
      <c r="B19" s="1" t="s">
        <v>52</v>
      </c>
      <c r="C19" s="1" t="s">
        <v>22</v>
      </c>
      <c r="D19" s="1" t="s">
        <v>1683</v>
      </c>
      <c r="E19" s="1" t="s">
        <v>1698</v>
      </c>
      <c r="F19" s="1" t="s">
        <v>1729</v>
      </c>
      <c r="H19" s="1" t="s">
        <v>1707</v>
      </c>
      <c r="I19" s="1" t="s">
        <v>1671</v>
      </c>
      <c r="L19" s="4">
        <v>44798</v>
      </c>
      <c r="M19" s="1" t="s">
        <v>23</v>
      </c>
      <c r="N19" s="1" t="s">
        <v>53</v>
      </c>
      <c r="O19" s="1" t="s">
        <v>10</v>
      </c>
    </row>
    <row r="20" spans="1:16" x14ac:dyDescent="0.3">
      <c r="A20" s="1" t="str">
        <f>HYPERLINK("https://hsdes.intel.com/resource/14013116815","14013116815")</f>
        <v>14013116815</v>
      </c>
      <c r="B20" s="1" t="s">
        <v>54</v>
      </c>
      <c r="C20" s="1" t="s">
        <v>36</v>
      </c>
      <c r="D20" s="1" t="s">
        <v>1683</v>
      </c>
      <c r="E20" s="1" t="s">
        <v>1698</v>
      </c>
      <c r="F20" s="1" t="s">
        <v>1729</v>
      </c>
      <c r="H20" s="1" t="s">
        <v>1707</v>
      </c>
      <c r="I20" s="1" t="s">
        <v>1672</v>
      </c>
      <c r="K20" s="1" t="s">
        <v>1714</v>
      </c>
      <c r="L20" s="4">
        <v>44799</v>
      </c>
      <c r="M20" s="1" t="s">
        <v>37</v>
      </c>
      <c r="N20" s="1" t="s">
        <v>55</v>
      </c>
      <c r="O20" s="1" t="s">
        <v>10</v>
      </c>
    </row>
    <row r="21" spans="1:16" x14ac:dyDescent="0.3">
      <c r="A21" s="12" t="str">
        <f>HYPERLINK("https://hsdes.intel.com/resource/14013116828","14013116828")</f>
        <v>14013116828</v>
      </c>
      <c r="B21" s="1" t="s">
        <v>56</v>
      </c>
      <c r="C21" s="1" t="s">
        <v>22</v>
      </c>
      <c r="D21" s="1" t="s">
        <v>1683</v>
      </c>
      <c r="E21" s="1" t="s">
        <v>1698</v>
      </c>
      <c r="F21" s="1" t="s">
        <v>1729</v>
      </c>
      <c r="H21" s="1" t="s">
        <v>1707</v>
      </c>
      <c r="I21" s="1" t="s">
        <v>1671</v>
      </c>
      <c r="L21" s="4">
        <v>44803</v>
      </c>
      <c r="M21" s="1" t="s">
        <v>23</v>
      </c>
      <c r="N21" s="1" t="s">
        <v>57</v>
      </c>
      <c r="O21" s="1" t="s">
        <v>10</v>
      </c>
      <c r="P21" s="1" t="s">
        <v>1711</v>
      </c>
    </row>
    <row r="22" spans="1:16" x14ac:dyDescent="0.3">
      <c r="A22" s="1" t="str">
        <f>HYPERLINK("https://hsdes.intel.com/resource/14013117056","14013117056")</f>
        <v>14013117056</v>
      </c>
      <c r="B22" s="1" t="s">
        <v>58</v>
      </c>
      <c r="C22" s="1" t="s">
        <v>59</v>
      </c>
      <c r="D22" s="1" t="s">
        <v>1683</v>
      </c>
      <c r="E22" s="1" t="s">
        <v>1698</v>
      </c>
      <c r="F22" s="1" t="s">
        <v>1729</v>
      </c>
      <c r="H22" s="1" t="s">
        <v>1707</v>
      </c>
      <c r="I22" s="1" t="s">
        <v>1672</v>
      </c>
      <c r="L22" s="4">
        <v>44798</v>
      </c>
      <c r="M22" s="1" t="s">
        <v>15</v>
      </c>
      <c r="N22" s="1" t="s">
        <v>60</v>
      </c>
      <c r="O22" s="1" t="s">
        <v>7</v>
      </c>
    </row>
    <row r="23" spans="1:16" x14ac:dyDescent="0.3">
      <c r="A23" s="1" t="str">
        <f>HYPERLINK("https://hsdes.intel.com/resource/14013117261","14013117261")</f>
        <v>14013117261</v>
      </c>
      <c r="B23" s="1" t="s">
        <v>61</v>
      </c>
      <c r="C23" s="1" t="s">
        <v>36</v>
      </c>
      <c r="D23" s="1" t="s">
        <v>1684</v>
      </c>
      <c r="E23" s="1" t="s">
        <v>1698</v>
      </c>
      <c r="F23" s="1" t="s">
        <v>1729</v>
      </c>
      <c r="H23" s="1" t="s">
        <v>1707</v>
      </c>
      <c r="I23" s="1" t="s">
        <v>1671</v>
      </c>
      <c r="L23" s="4">
        <v>44799</v>
      </c>
      <c r="M23" s="1" t="s">
        <v>37</v>
      </c>
      <c r="N23" s="1" t="s">
        <v>62</v>
      </c>
      <c r="O23" s="1" t="s">
        <v>7</v>
      </c>
    </row>
    <row r="24" spans="1:16" x14ac:dyDescent="0.3">
      <c r="A24" s="1" t="str">
        <f>HYPERLINK("https://hsdes.intel.com/resource/14013117361","14013117361")</f>
        <v>14013117361</v>
      </c>
      <c r="B24" s="1" t="s">
        <v>63</v>
      </c>
      <c r="C24" s="1" t="s">
        <v>22</v>
      </c>
      <c r="D24" s="1" t="s">
        <v>1683</v>
      </c>
      <c r="E24" s="1" t="s">
        <v>1698</v>
      </c>
      <c r="F24" s="1" t="s">
        <v>1729</v>
      </c>
      <c r="H24" s="1" t="s">
        <v>1707</v>
      </c>
      <c r="I24" s="1" t="s">
        <v>1672</v>
      </c>
      <c r="L24" s="4">
        <v>44803</v>
      </c>
      <c r="M24" s="1" t="s">
        <v>23</v>
      </c>
      <c r="N24" s="1" t="s">
        <v>64</v>
      </c>
      <c r="O24" s="1" t="s">
        <v>10</v>
      </c>
    </row>
    <row r="25" spans="1:16" x14ac:dyDescent="0.3">
      <c r="A25" s="1" t="str">
        <f>HYPERLINK("https://hsdes.intel.com/resource/14013118162","14013118162")</f>
        <v>14013118162</v>
      </c>
      <c r="B25" s="1" t="s">
        <v>65</v>
      </c>
      <c r="C25" s="1" t="s">
        <v>18</v>
      </c>
      <c r="D25" s="1" t="s">
        <v>1683</v>
      </c>
      <c r="E25" s="1" t="s">
        <v>1698</v>
      </c>
      <c r="F25" s="1" t="s">
        <v>1729</v>
      </c>
      <c r="H25" s="1" t="s">
        <v>1707</v>
      </c>
      <c r="I25" s="1" t="s">
        <v>1673</v>
      </c>
      <c r="L25" s="4">
        <v>44803</v>
      </c>
      <c r="M25" s="1" t="s">
        <v>37</v>
      </c>
      <c r="N25" s="1" t="s">
        <v>66</v>
      </c>
      <c r="O25" s="1" t="s">
        <v>10</v>
      </c>
    </row>
    <row r="26" spans="1:16" x14ac:dyDescent="0.3">
      <c r="A26" s="1" t="str">
        <f>HYPERLINK("https://hsdes.intel.com/resource/14013118472","14013118472")</f>
        <v>14013118472</v>
      </c>
      <c r="B26" s="1" t="s">
        <v>67</v>
      </c>
      <c r="C26" s="1" t="s">
        <v>68</v>
      </c>
      <c r="D26" s="1" t="s">
        <v>1683</v>
      </c>
      <c r="E26" s="1" t="s">
        <v>1698</v>
      </c>
      <c r="F26" s="1" t="s">
        <v>1729</v>
      </c>
      <c r="H26" s="1" t="s">
        <v>1707</v>
      </c>
      <c r="I26" s="1" t="s">
        <v>1718</v>
      </c>
      <c r="L26" s="4">
        <v>44798</v>
      </c>
      <c r="M26" s="1" t="s">
        <v>15</v>
      </c>
      <c r="N26" s="1" t="s">
        <v>69</v>
      </c>
      <c r="O26" s="1" t="s">
        <v>10</v>
      </c>
    </row>
    <row r="27" spans="1:16" x14ac:dyDescent="0.3">
      <c r="A27" s="1" t="str">
        <f>HYPERLINK("https://hsdes.intel.com/resource/14013118496","14013118496")</f>
        <v>14013118496</v>
      </c>
      <c r="B27" s="1" t="s">
        <v>70</v>
      </c>
      <c r="C27" s="1" t="s">
        <v>14</v>
      </c>
      <c r="D27" s="1" t="s">
        <v>1683</v>
      </c>
      <c r="E27" s="1" t="s">
        <v>1698</v>
      </c>
      <c r="F27" s="1" t="s">
        <v>1729</v>
      </c>
      <c r="H27" s="1" t="s">
        <v>1707</v>
      </c>
      <c r="I27" s="1" t="s">
        <v>1722</v>
      </c>
      <c r="L27" s="4">
        <v>44802</v>
      </c>
      <c r="M27" s="1" t="s">
        <v>15</v>
      </c>
      <c r="N27" s="1" t="s">
        <v>71</v>
      </c>
      <c r="O27" s="1" t="s">
        <v>10</v>
      </c>
    </row>
    <row r="28" spans="1:16" x14ac:dyDescent="0.3">
      <c r="A28" s="1" t="str">
        <f>HYPERLINK("https://hsdes.intel.com/resource/14013118541","14013118541")</f>
        <v>14013118541</v>
      </c>
      <c r="B28" s="1" t="s">
        <v>72</v>
      </c>
      <c r="C28" s="1" t="s">
        <v>68</v>
      </c>
      <c r="D28" s="1" t="s">
        <v>1683</v>
      </c>
      <c r="E28" s="1" t="s">
        <v>1698</v>
      </c>
      <c r="F28" s="1" t="s">
        <v>1729</v>
      </c>
      <c r="H28" s="1" t="s">
        <v>1707</v>
      </c>
      <c r="I28" s="1" t="s">
        <v>1672</v>
      </c>
      <c r="L28" s="4">
        <v>44797</v>
      </c>
      <c r="M28" s="1" t="s">
        <v>15</v>
      </c>
      <c r="N28" s="1" t="s">
        <v>73</v>
      </c>
      <c r="O28" s="1" t="s">
        <v>10</v>
      </c>
    </row>
    <row r="29" spans="1:16" x14ac:dyDescent="0.3">
      <c r="A29" s="1" t="str">
        <f>HYPERLINK("https://hsdes.intel.com/resource/14013118672","14013118672")</f>
        <v>14013118672</v>
      </c>
      <c r="B29" s="1" t="s">
        <v>74</v>
      </c>
      <c r="C29" s="1" t="s">
        <v>75</v>
      </c>
      <c r="D29" s="1" t="s">
        <v>1683</v>
      </c>
      <c r="E29" s="1" t="s">
        <v>1698</v>
      </c>
      <c r="F29" s="1" t="s">
        <v>1729</v>
      </c>
      <c r="H29" s="1" t="s">
        <v>1707</v>
      </c>
      <c r="I29" s="1" t="s">
        <v>1673</v>
      </c>
      <c r="L29" s="4">
        <v>44799</v>
      </c>
      <c r="M29" s="1" t="s">
        <v>76</v>
      </c>
      <c r="N29" s="1" t="s">
        <v>77</v>
      </c>
      <c r="O29" s="1" t="s">
        <v>10</v>
      </c>
    </row>
    <row r="30" spans="1:16" x14ac:dyDescent="0.3">
      <c r="A30" s="1" t="str">
        <f>HYPERLINK("https://hsdes.intel.com/resource/14013118721","14013118721")</f>
        <v>14013118721</v>
      </c>
      <c r="B30" s="1" t="s">
        <v>78</v>
      </c>
      <c r="C30" s="1" t="s">
        <v>14</v>
      </c>
      <c r="D30" s="1" t="s">
        <v>1683</v>
      </c>
      <c r="E30" s="1" t="s">
        <v>1698</v>
      </c>
      <c r="F30" s="1" t="s">
        <v>1729</v>
      </c>
      <c r="H30" s="1" t="s">
        <v>1707</v>
      </c>
      <c r="I30" s="1" t="s">
        <v>1718</v>
      </c>
      <c r="L30" s="4">
        <v>44799</v>
      </c>
      <c r="M30" s="1" t="s">
        <v>15</v>
      </c>
      <c r="N30" s="1" t="s">
        <v>79</v>
      </c>
      <c r="O30" s="1" t="s">
        <v>10</v>
      </c>
    </row>
    <row r="31" spans="1:16" x14ac:dyDescent="0.3">
      <c r="A31" s="1" t="str">
        <f>HYPERLINK("https://hsdes.intel.com/resource/14013118785","14013118785")</f>
        <v>14013118785</v>
      </c>
      <c r="B31" s="1" t="s">
        <v>80</v>
      </c>
      <c r="C31" s="1" t="s">
        <v>68</v>
      </c>
      <c r="D31" s="1" t="s">
        <v>1683</v>
      </c>
      <c r="E31" s="1" t="s">
        <v>1698</v>
      </c>
      <c r="F31" s="1" t="s">
        <v>1729</v>
      </c>
      <c r="H31" s="1" t="s">
        <v>1707</v>
      </c>
      <c r="I31" s="1" t="s">
        <v>1672</v>
      </c>
      <c r="L31" s="4">
        <v>44796</v>
      </c>
      <c r="M31" s="1" t="s">
        <v>15</v>
      </c>
      <c r="N31" s="1" t="s">
        <v>81</v>
      </c>
      <c r="O31" s="1" t="s">
        <v>10</v>
      </c>
    </row>
    <row r="32" spans="1:16" x14ac:dyDescent="0.3">
      <c r="A32" s="1" t="str">
        <f>HYPERLINK("https://hsdes.intel.com/resource/14013118908","14013118908")</f>
        <v>14013118908</v>
      </c>
      <c r="B32" s="1" t="s">
        <v>82</v>
      </c>
      <c r="C32" s="1" t="s">
        <v>14</v>
      </c>
      <c r="D32" s="1" t="s">
        <v>1683</v>
      </c>
      <c r="E32" s="1" t="s">
        <v>1698</v>
      </c>
      <c r="F32" s="1" t="s">
        <v>1729</v>
      </c>
      <c r="H32" s="1" t="s">
        <v>1707</v>
      </c>
      <c r="I32" s="1" t="s">
        <v>1672</v>
      </c>
      <c r="L32" s="4">
        <v>44797</v>
      </c>
      <c r="M32" s="1" t="s">
        <v>15</v>
      </c>
      <c r="N32" s="1" t="s">
        <v>83</v>
      </c>
      <c r="O32" s="1" t="s">
        <v>10</v>
      </c>
    </row>
    <row r="33" spans="1:16" x14ac:dyDescent="0.3">
      <c r="A33" s="1" t="str">
        <f>HYPERLINK("https://hsdes.intel.com/resource/14013119145","14013119145")</f>
        <v>14013119145</v>
      </c>
      <c r="B33" s="1" t="s">
        <v>84</v>
      </c>
      <c r="C33" s="1" t="s">
        <v>28</v>
      </c>
      <c r="D33" s="1" t="s">
        <v>1683</v>
      </c>
      <c r="E33" s="1" t="s">
        <v>1698</v>
      </c>
      <c r="F33" s="1" t="s">
        <v>1729</v>
      </c>
      <c r="H33" s="1" t="s">
        <v>1707</v>
      </c>
      <c r="I33" s="1" t="s">
        <v>1671</v>
      </c>
      <c r="L33" s="4">
        <v>44798</v>
      </c>
      <c r="M33" s="1" t="s">
        <v>5</v>
      </c>
      <c r="N33" s="1" t="s">
        <v>85</v>
      </c>
      <c r="O33" s="1" t="s">
        <v>10</v>
      </c>
    </row>
    <row r="34" spans="1:16" x14ac:dyDescent="0.3">
      <c r="A34" s="1" t="str">
        <f>HYPERLINK("https://hsdes.intel.com/resource/14013119169","14013119169")</f>
        <v>14013119169</v>
      </c>
      <c r="B34" s="1" t="s">
        <v>86</v>
      </c>
      <c r="C34" s="1" t="s">
        <v>46</v>
      </c>
      <c r="D34" s="1" t="s">
        <v>1683</v>
      </c>
      <c r="E34" s="1" t="s">
        <v>1698</v>
      </c>
      <c r="F34" s="1" t="s">
        <v>1729</v>
      </c>
      <c r="H34" s="1" t="s">
        <v>1707</v>
      </c>
      <c r="I34" s="1" t="s">
        <v>1671</v>
      </c>
      <c r="L34" s="4">
        <v>44798</v>
      </c>
      <c r="M34" s="1" t="s">
        <v>19</v>
      </c>
      <c r="N34" s="1" t="s">
        <v>87</v>
      </c>
      <c r="O34" s="1" t="s">
        <v>10</v>
      </c>
    </row>
    <row r="35" spans="1:16" x14ac:dyDescent="0.3">
      <c r="A35" s="1" t="str">
        <f>HYPERLINK("https://hsdes.intel.com/resource/14013119215","14013119215")</f>
        <v>14013119215</v>
      </c>
      <c r="B35" s="1" t="s">
        <v>88</v>
      </c>
      <c r="C35" s="1" t="s">
        <v>89</v>
      </c>
      <c r="D35" s="1" t="s">
        <v>1683</v>
      </c>
      <c r="E35" s="1" t="s">
        <v>1698</v>
      </c>
      <c r="F35" s="1" t="s">
        <v>1729</v>
      </c>
      <c r="H35" s="1" t="s">
        <v>1707</v>
      </c>
      <c r="I35" s="1" t="s">
        <v>1673</v>
      </c>
      <c r="L35" s="4">
        <v>44798</v>
      </c>
      <c r="M35" s="1" t="s">
        <v>23</v>
      </c>
      <c r="N35" s="1" t="s">
        <v>90</v>
      </c>
      <c r="O35" s="1" t="s">
        <v>10</v>
      </c>
    </row>
    <row r="36" spans="1:16" x14ac:dyDescent="0.3">
      <c r="A36" s="1" t="str">
        <f>HYPERLINK("https://hsdes.intel.com/resource/14013119299","14013119299")</f>
        <v>14013119299</v>
      </c>
      <c r="B36" s="1" t="s">
        <v>91</v>
      </c>
      <c r="C36" s="1" t="s">
        <v>59</v>
      </c>
      <c r="D36" s="1" t="s">
        <v>1683</v>
      </c>
      <c r="E36" s="1" t="s">
        <v>1698</v>
      </c>
      <c r="F36" s="1" t="s">
        <v>1729</v>
      </c>
      <c r="H36" s="1" t="s">
        <v>1707</v>
      </c>
      <c r="I36" s="1" t="s">
        <v>1673</v>
      </c>
      <c r="K36" s="1" t="s">
        <v>1709</v>
      </c>
      <c r="L36" s="4">
        <v>44797</v>
      </c>
      <c r="M36" s="1" t="s">
        <v>15</v>
      </c>
      <c r="N36" s="1" t="s">
        <v>92</v>
      </c>
      <c r="O36" s="1" t="s">
        <v>7</v>
      </c>
    </row>
    <row r="37" spans="1:16" x14ac:dyDescent="0.3">
      <c r="A37" s="1" t="str">
        <f>HYPERLINK("https://hsdes.intel.com/resource/14013119442","14013119442")</f>
        <v>14013119442</v>
      </c>
      <c r="B37" s="1" t="s">
        <v>93</v>
      </c>
      <c r="C37" s="1" t="s">
        <v>89</v>
      </c>
      <c r="D37" s="1" t="s">
        <v>1683</v>
      </c>
      <c r="E37" s="1" t="s">
        <v>1698</v>
      </c>
      <c r="F37" s="1" t="s">
        <v>1729</v>
      </c>
      <c r="H37" s="1" t="s">
        <v>1707</v>
      </c>
      <c r="I37" s="1" t="s">
        <v>1673</v>
      </c>
      <c r="L37" s="4">
        <v>44798</v>
      </c>
      <c r="M37" s="1" t="s">
        <v>23</v>
      </c>
      <c r="N37" s="1" t="s">
        <v>94</v>
      </c>
      <c r="O37" s="1" t="s">
        <v>7</v>
      </c>
    </row>
    <row r="38" spans="1:16" x14ac:dyDescent="0.3">
      <c r="A38" s="1" t="str">
        <f>HYPERLINK("https://hsdes.intel.com/resource/14013119621","14013119621")</f>
        <v>14013119621</v>
      </c>
      <c r="B38" s="1" t="s">
        <v>95</v>
      </c>
      <c r="C38" s="1" t="s">
        <v>28</v>
      </c>
      <c r="D38" s="1" t="s">
        <v>1683</v>
      </c>
      <c r="E38" s="1" t="s">
        <v>1698</v>
      </c>
      <c r="F38" s="1" t="s">
        <v>1729</v>
      </c>
      <c r="H38" s="1" t="s">
        <v>1707</v>
      </c>
      <c r="I38" s="1" t="s">
        <v>1718</v>
      </c>
      <c r="L38" s="4">
        <v>44799</v>
      </c>
      <c r="M38" s="1" t="s">
        <v>5</v>
      </c>
      <c r="N38" s="1" t="s">
        <v>96</v>
      </c>
      <c r="O38" s="1" t="s">
        <v>10</v>
      </c>
    </row>
    <row r="39" spans="1:16" x14ac:dyDescent="0.3">
      <c r="A39" s="1" t="str">
        <f>HYPERLINK("https://hsdes.intel.com/resource/14013119634","14013119634")</f>
        <v>14013119634</v>
      </c>
      <c r="B39" s="1" t="s">
        <v>97</v>
      </c>
      <c r="C39" s="1" t="s">
        <v>98</v>
      </c>
      <c r="D39" s="1" t="s">
        <v>1683</v>
      </c>
      <c r="E39" s="1" t="s">
        <v>1698</v>
      </c>
      <c r="F39" s="1" t="s">
        <v>1729</v>
      </c>
      <c r="H39" s="1" t="s">
        <v>1707</v>
      </c>
      <c r="I39" s="1" t="s">
        <v>1673</v>
      </c>
      <c r="L39" s="4">
        <v>44797</v>
      </c>
      <c r="M39" s="1" t="s">
        <v>76</v>
      </c>
      <c r="N39" s="1" t="s">
        <v>99</v>
      </c>
      <c r="O39" s="1" t="s">
        <v>10</v>
      </c>
    </row>
    <row r="40" spans="1:16" x14ac:dyDescent="0.3">
      <c r="A40" s="1" t="str">
        <f>HYPERLINK("https://hsdes.intel.com/resource/14013119649","14013119649")</f>
        <v>14013119649</v>
      </c>
      <c r="B40" s="1" t="s">
        <v>100</v>
      </c>
      <c r="C40" s="1" t="s">
        <v>46</v>
      </c>
      <c r="D40" s="1" t="s">
        <v>1683</v>
      </c>
      <c r="E40" s="1" t="s">
        <v>1698</v>
      </c>
      <c r="F40" s="1" t="s">
        <v>1729</v>
      </c>
      <c r="H40" s="1" t="s">
        <v>1707</v>
      </c>
      <c r="I40" s="1" t="s">
        <v>1671</v>
      </c>
      <c r="L40" s="4">
        <v>44798</v>
      </c>
      <c r="M40" s="1" t="s">
        <v>19</v>
      </c>
      <c r="N40" s="1" t="s">
        <v>101</v>
      </c>
      <c r="O40" s="1" t="s">
        <v>10</v>
      </c>
    </row>
    <row r="41" spans="1:16" x14ac:dyDescent="0.3">
      <c r="A41" s="1" t="str">
        <f>HYPERLINK("https://hsdes.intel.com/resource/14013119741","14013119741")</f>
        <v>14013119741</v>
      </c>
      <c r="B41" s="1" t="s">
        <v>102</v>
      </c>
      <c r="C41" s="1" t="s">
        <v>36</v>
      </c>
      <c r="D41" s="1" t="s">
        <v>1683</v>
      </c>
      <c r="E41" s="1" t="s">
        <v>1698</v>
      </c>
      <c r="F41" s="1" t="s">
        <v>1729</v>
      </c>
      <c r="H41" s="1" t="s">
        <v>1707</v>
      </c>
      <c r="I41" s="1" t="s">
        <v>1673</v>
      </c>
      <c r="L41" s="4">
        <v>44798</v>
      </c>
      <c r="M41" s="1" t="s">
        <v>37</v>
      </c>
      <c r="N41" s="1" t="s">
        <v>103</v>
      </c>
      <c r="O41" s="1" t="s">
        <v>10</v>
      </c>
    </row>
    <row r="42" spans="1:16" x14ac:dyDescent="0.3">
      <c r="A42" s="1" t="str">
        <f>HYPERLINK("https://hsdes.intel.com/resource/14013119746","14013119746")</f>
        <v>14013119746</v>
      </c>
      <c r="B42" s="1" t="s">
        <v>104</v>
      </c>
      <c r="C42" s="1" t="s">
        <v>36</v>
      </c>
      <c r="D42" s="1" t="s">
        <v>1683</v>
      </c>
      <c r="E42" s="1" t="s">
        <v>1698</v>
      </c>
      <c r="F42" s="1" t="s">
        <v>1729</v>
      </c>
      <c r="H42" s="1" t="s">
        <v>1707</v>
      </c>
      <c r="I42" s="1" t="s">
        <v>1672</v>
      </c>
      <c r="L42" s="4">
        <v>44803</v>
      </c>
      <c r="M42" s="1" t="s">
        <v>37</v>
      </c>
      <c r="N42" s="1" t="s">
        <v>105</v>
      </c>
      <c r="O42" s="1" t="s">
        <v>10</v>
      </c>
      <c r="P42" s="1" t="s">
        <v>1710</v>
      </c>
    </row>
    <row r="43" spans="1:16" x14ac:dyDescent="0.3">
      <c r="A43" s="1" t="str">
        <f>HYPERLINK("https://hsdes.intel.com/resource/14013119776","14013119776")</f>
        <v>14013119776</v>
      </c>
      <c r="B43" s="1" t="s">
        <v>106</v>
      </c>
      <c r="C43" s="1" t="s">
        <v>28</v>
      </c>
      <c r="D43" s="1" t="s">
        <v>1683</v>
      </c>
      <c r="E43" s="1" t="s">
        <v>1698</v>
      </c>
      <c r="F43" s="1" t="s">
        <v>1729</v>
      </c>
      <c r="H43" s="1" t="s">
        <v>1707</v>
      </c>
      <c r="I43" s="1" t="s">
        <v>1672</v>
      </c>
      <c r="L43" s="4">
        <v>44796</v>
      </c>
      <c r="M43" s="1" t="s">
        <v>5</v>
      </c>
      <c r="N43" s="1" t="s">
        <v>107</v>
      </c>
      <c r="O43" s="1" t="s">
        <v>10</v>
      </c>
    </row>
    <row r="44" spans="1:16" x14ac:dyDescent="0.3">
      <c r="A44" s="1" t="str">
        <f>HYPERLINK("https://hsdes.intel.com/resource/14013120050","14013120050")</f>
        <v>14013120050</v>
      </c>
      <c r="B44" s="1" t="s">
        <v>108</v>
      </c>
      <c r="C44" s="1" t="s">
        <v>46</v>
      </c>
      <c r="D44" s="1" t="s">
        <v>1683</v>
      </c>
      <c r="E44" s="1" t="s">
        <v>1698</v>
      </c>
      <c r="F44" s="1" t="s">
        <v>1729</v>
      </c>
      <c r="H44" s="1" t="s">
        <v>1707</v>
      </c>
      <c r="I44" s="1" t="s">
        <v>1671</v>
      </c>
      <c r="L44" s="4">
        <v>44798</v>
      </c>
      <c r="M44" s="1" t="s">
        <v>19</v>
      </c>
      <c r="N44" s="1" t="s">
        <v>109</v>
      </c>
      <c r="O44" s="1" t="s">
        <v>10</v>
      </c>
    </row>
    <row r="45" spans="1:16" x14ac:dyDescent="0.3">
      <c r="A45" s="1" t="str">
        <f>HYPERLINK("https://hsdes.intel.com/resource/14013120118","14013120118")</f>
        <v>14013120118</v>
      </c>
      <c r="B45" s="1" t="s">
        <v>110</v>
      </c>
      <c r="C45" s="1" t="s">
        <v>59</v>
      </c>
      <c r="D45" s="1" t="s">
        <v>1683</v>
      </c>
      <c r="E45" s="1" t="s">
        <v>1698</v>
      </c>
      <c r="F45" s="1" t="s">
        <v>1729</v>
      </c>
      <c r="H45" s="1" t="s">
        <v>1707</v>
      </c>
      <c r="I45" s="1" t="s">
        <v>1673</v>
      </c>
      <c r="L45" s="4">
        <v>44799</v>
      </c>
      <c r="M45" s="1" t="s">
        <v>15</v>
      </c>
      <c r="N45" s="1" t="s">
        <v>111</v>
      </c>
      <c r="O45" s="1" t="s">
        <v>7</v>
      </c>
    </row>
    <row r="46" spans="1:16" x14ac:dyDescent="0.3">
      <c r="A46" s="1" t="str">
        <f>HYPERLINK("https://hsdes.intel.com/resource/14013120372","14013120372")</f>
        <v>14013120372</v>
      </c>
      <c r="B46" s="1" t="s">
        <v>112</v>
      </c>
      <c r="C46" s="1" t="s">
        <v>14</v>
      </c>
      <c r="D46" s="1" t="s">
        <v>1683</v>
      </c>
      <c r="E46" s="1" t="s">
        <v>1698</v>
      </c>
      <c r="F46" s="1" t="s">
        <v>1729</v>
      </c>
      <c r="H46" s="1" t="s">
        <v>1707</v>
      </c>
      <c r="I46" s="1" t="s">
        <v>1672</v>
      </c>
      <c r="L46" s="4">
        <v>44797</v>
      </c>
      <c r="M46" s="1" t="s">
        <v>15</v>
      </c>
      <c r="N46" s="1" t="s">
        <v>113</v>
      </c>
      <c r="O46" s="1" t="s">
        <v>10</v>
      </c>
    </row>
    <row r="47" spans="1:16" x14ac:dyDescent="0.3">
      <c r="A47" s="1" t="str">
        <f>HYPERLINK("https://hsdes.intel.com/resource/14013120386","14013120386")</f>
        <v>14013120386</v>
      </c>
      <c r="B47" s="1" t="s">
        <v>114</v>
      </c>
      <c r="C47" s="1" t="s">
        <v>115</v>
      </c>
      <c r="D47" s="1" t="s">
        <v>1684</v>
      </c>
      <c r="E47" s="1" t="s">
        <v>1698</v>
      </c>
      <c r="F47" s="1" t="s">
        <v>1729</v>
      </c>
      <c r="H47" s="1" t="s">
        <v>1707</v>
      </c>
      <c r="I47" s="1" t="s">
        <v>1673</v>
      </c>
      <c r="L47" s="4">
        <v>44799</v>
      </c>
      <c r="M47" s="1" t="s">
        <v>19</v>
      </c>
      <c r="N47" s="1" t="s">
        <v>116</v>
      </c>
      <c r="O47" s="1" t="s">
        <v>10</v>
      </c>
    </row>
    <row r="48" spans="1:16" x14ac:dyDescent="0.3">
      <c r="A48" s="1" t="str">
        <f>HYPERLINK("https://hsdes.intel.com/resource/14013120427","14013120427")</f>
        <v>14013120427</v>
      </c>
      <c r="B48" s="1" t="s">
        <v>117</v>
      </c>
      <c r="C48" s="1" t="s">
        <v>118</v>
      </c>
      <c r="D48" s="1" t="s">
        <v>1684</v>
      </c>
      <c r="E48" s="1" t="s">
        <v>1698</v>
      </c>
      <c r="F48" s="1" t="s">
        <v>1729</v>
      </c>
      <c r="H48" s="1" t="s">
        <v>1707</v>
      </c>
      <c r="I48" s="1" t="s">
        <v>1672</v>
      </c>
      <c r="L48" s="23">
        <v>44796</v>
      </c>
      <c r="M48" s="1" t="s">
        <v>19</v>
      </c>
      <c r="N48" s="1" t="s">
        <v>119</v>
      </c>
      <c r="O48" s="1" t="s">
        <v>7</v>
      </c>
    </row>
    <row r="49" spans="1:15" x14ac:dyDescent="0.3">
      <c r="A49" s="1" t="str">
        <f>HYPERLINK("https://hsdes.intel.com/resource/14013120472","14013120472")</f>
        <v>14013120472</v>
      </c>
      <c r="B49" s="1" t="s">
        <v>120</v>
      </c>
      <c r="C49" s="1" t="s">
        <v>59</v>
      </c>
      <c r="D49" s="1" t="s">
        <v>1683</v>
      </c>
      <c r="E49" s="1" t="s">
        <v>1698</v>
      </c>
      <c r="F49" s="1" t="s">
        <v>1729</v>
      </c>
      <c r="H49" s="1" t="s">
        <v>1707</v>
      </c>
      <c r="I49" s="1" t="s">
        <v>1672</v>
      </c>
      <c r="L49" s="4">
        <v>44802</v>
      </c>
      <c r="M49" s="1" t="s">
        <v>76</v>
      </c>
      <c r="N49" s="1" t="s">
        <v>121</v>
      </c>
      <c r="O49" s="1" t="s">
        <v>10</v>
      </c>
    </row>
    <row r="50" spans="1:15" x14ac:dyDescent="0.3">
      <c r="A50" s="1" t="str">
        <f>HYPERLINK("https://hsdes.intel.com/resource/14013120520","14013120520")</f>
        <v>14013120520</v>
      </c>
      <c r="B50" s="1" t="s">
        <v>122</v>
      </c>
      <c r="C50" s="1" t="s">
        <v>14</v>
      </c>
      <c r="D50" s="1" t="s">
        <v>1683</v>
      </c>
      <c r="E50" s="1" t="s">
        <v>1698</v>
      </c>
      <c r="F50" s="1" t="s">
        <v>1729</v>
      </c>
      <c r="H50" s="1" t="s">
        <v>1707</v>
      </c>
      <c r="I50" s="1" t="s">
        <v>1671</v>
      </c>
      <c r="L50" s="4">
        <v>44797</v>
      </c>
      <c r="M50" s="1" t="s">
        <v>15</v>
      </c>
      <c r="N50" s="1" t="s">
        <v>123</v>
      </c>
      <c r="O50" s="1" t="s">
        <v>10</v>
      </c>
    </row>
    <row r="51" spans="1:15" x14ac:dyDescent="0.3">
      <c r="A51" s="1" t="str">
        <f>HYPERLINK("https://hsdes.intel.com/resource/14013120567","14013120567")</f>
        <v>14013120567</v>
      </c>
      <c r="B51" s="1" t="s">
        <v>124</v>
      </c>
      <c r="C51" s="1" t="s">
        <v>125</v>
      </c>
      <c r="D51" s="1" t="s">
        <v>1684</v>
      </c>
      <c r="E51" s="1" t="s">
        <v>1698</v>
      </c>
      <c r="F51" s="1" t="s">
        <v>1729</v>
      </c>
      <c r="H51" s="1" t="s">
        <v>1707</v>
      </c>
      <c r="I51" s="1" t="s">
        <v>1671</v>
      </c>
      <c r="L51" s="4">
        <v>44797</v>
      </c>
      <c r="M51" s="1" t="s">
        <v>37</v>
      </c>
      <c r="N51" s="1" t="s">
        <v>126</v>
      </c>
      <c r="O51" s="1" t="s">
        <v>10</v>
      </c>
    </row>
    <row r="52" spans="1:15" x14ac:dyDescent="0.3">
      <c r="A52" s="1" t="str">
        <f>HYPERLINK("https://hsdes.intel.com/resource/14013120573","14013120573")</f>
        <v>14013120573</v>
      </c>
      <c r="B52" s="1" t="s">
        <v>127</v>
      </c>
      <c r="C52" s="1" t="s">
        <v>125</v>
      </c>
      <c r="D52" s="1" t="s">
        <v>1684</v>
      </c>
      <c r="E52" s="1" t="s">
        <v>1698</v>
      </c>
      <c r="F52" s="1" t="s">
        <v>1729</v>
      </c>
      <c r="H52" s="1" t="s">
        <v>1707</v>
      </c>
      <c r="I52" s="1" t="s">
        <v>1672</v>
      </c>
      <c r="J52" s="4"/>
      <c r="L52" s="4">
        <v>44799</v>
      </c>
      <c r="M52" s="1" t="s">
        <v>37</v>
      </c>
      <c r="N52" s="1" t="s">
        <v>128</v>
      </c>
      <c r="O52" s="1" t="s">
        <v>10</v>
      </c>
    </row>
    <row r="53" spans="1:15" x14ac:dyDescent="0.3">
      <c r="A53" s="1" t="str">
        <f>HYPERLINK("https://hsdes.intel.com/resource/14013120639","14013120639")</f>
        <v>14013120639</v>
      </c>
      <c r="B53" s="1" t="s">
        <v>129</v>
      </c>
      <c r="C53" s="1" t="s">
        <v>125</v>
      </c>
      <c r="D53" s="1" t="s">
        <v>1684</v>
      </c>
      <c r="E53" s="1" t="s">
        <v>1698</v>
      </c>
      <c r="F53" s="1" t="s">
        <v>1729</v>
      </c>
      <c r="H53" s="1" t="s">
        <v>1707</v>
      </c>
      <c r="I53" s="1" t="s">
        <v>1671</v>
      </c>
      <c r="L53" s="4">
        <v>44798</v>
      </c>
      <c r="M53" s="1" t="s">
        <v>37</v>
      </c>
      <c r="N53" s="1" t="s">
        <v>130</v>
      </c>
      <c r="O53" s="1" t="s">
        <v>10</v>
      </c>
    </row>
    <row r="54" spans="1:15" x14ac:dyDescent="0.3">
      <c r="A54" s="1" t="str">
        <f>HYPERLINK("https://hsdes.intel.com/resource/14013120671","14013120671")</f>
        <v>14013120671</v>
      </c>
      <c r="B54" s="1" t="s">
        <v>131</v>
      </c>
      <c r="C54" s="1" t="s">
        <v>125</v>
      </c>
      <c r="D54" s="1" t="s">
        <v>1684</v>
      </c>
      <c r="E54" s="1" t="s">
        <v>1698</v>
      </c>
      <c r="F54" s="1" t="s">
        <v>1729</v>
      </c>
      <c r="H54" s="1" t="s">
        <v>1707</v>
      </c>
      <c r="I54" s="1" t="s">
        <v>1671</v>
      </c>
      <c r="L54" s="4">
        <v>44798</v>
      </c>
      <c r="M54" s="1" t="s">
        <v>37</v>
      </c>
      <c r="N54" s="1" t="s">
        <v>132</v>
      </c>
      <c r="O54" s="1" t="s">
        <v>10</v>
      </c>
    </row>
    <row r="55" spans="1:15" x14ac:dyDescent="0.3">
      <c r="A55" s="1" t="str">
        <f>HYPERLINK("https://hsdes.intel.com/resource/14013120707","14013120707")</f>
        <v>14013120707</v>
      </c>
      <c r="B55" s="1" t="s">
        <v>133</v>
      </c>
      <c r="C55" s="1" t="s">
        <v>125</v>
      </c>
      <c r="D55" s="1" t="s">
        <v>1684</v>
      </c>
      <c r="E55" s="1" t="s">
        <v>1698</v>
      </c>
      <c r="F55" s="1" t="s">
        <v>1729</v>
      </c>
      <c r="H55" s="1" t="s">
        <v>1707</v>
      </c>
      <c r="I55" s="1" t="s">
        <v>1671</v>
      </c>
      <c r="L55" s="4">
        <v>44798</v>
      </c>
      <c r="M55" s="1" t="s">
        <v>37</v>
      </c>
      <c r="N55" s="1" t="s">
        <v>134</v>
      </c>
      <c r="O55" s="1" t="s">
        <v>10</v>
      </c>
    </row>
    <row r="56" spans="1:15" x14ac:dyDescent="0.3">
      <c r="A56" s="1" t="str">
        <f>HYPERLINK("https://hsdes.intel.com/resource/14013120730","14013120730")</f>
        <v>14013120730</v>
      </c>
      <c r="B56" s="1" t="s">
        <v>135</v>
      </c>
      <c r="C56" s="1" t="s">
        <v>125</v>
      </c>
      <c r="D56" s="1" t="s">
        <v>1684</v>
      </c>
      <c r="E56" s="1" t="s">
        <v>1698</v>
      </c>
      <c r="F56" s="1" t="s">
        <v>1729</v>
      </c>
      <c r="H56" s="1" t="s">
        <v>1707</v>
      </c>
      <c r="I56" s="1" t="s">
        <v>1722</v>
      </c>
      <c r="L56" s="4">
        <v>44802</v>
      </c>
      <c r="M56" s="1" t="s">
        <v>37</v>
      </c>
      <c r="N56" s="1" t="s">
        <v>136</v>
      </c>
      <c r="O56" s="1" t="s">
        <v>10</v>
      </c>
    </row>
    <row r="57" spans="1:15" x14ac:dyDescent="0.3">
      <c r="A57" s="1" t="str">
        <f>HYPERLINK("https://hsdes.intel.com/resource/14013120738","14013120738")</f>
        <v>14013120738</v>
      </c>
      <c r="B57" s="11" t="s">
        <v>137</v>
      </c>
      <c r="C57" s="1" t="s">
        <v>22</v>
      </c>
      <c r="D57" s="1" t="s">
        <v>1683</v>
      </c>
      <c r="E57" s="1" t="s">
        <v>1698</v>
      </c>
      <c r="F57" s="1" t="s">
        <v>1729</v>
      </c>
      <c r="H57" s="1" t="s">
        <v>1707</v>
      </c>
      <c r="I57" s="1" t="s">
        <v>1673</v>
      </c>
      <c r="L57" s="4">
        <v>44803</v>
      </c>
      <c r="M57" s="1" t="s">
        <v>37</v>
      </c>
      <c r="N57" s="1" t="s">
        <v>138</v>
      </c>
      <c r="O57" s="1" t="s">
        <v>7</v>
      </c>
    </row>
    <row r="58" spans="1:15" x14ac:dyDescent="0.3">
      <c r="A58" s="1" t="str">
        <f>HYPERLINK("https://hsdes.intel.com/resource/14013120756","14013120756")</f>
        <v>14013120756</v>
      </c>
      <c r="B58" s="1" t="s">
        <v>139</v>
      </c>
      <c r="C58" s="1" t="s">
        <v>125</v>
      </c>
      <c r="D58" s="1" t="s">
        <v>1684</v>
      </c>
      <c r="E58" s="1" t="s">
        <v>1698</v>
      </c>
      <c r="F58" s="1" t="s">
        <v>1729</v>
      </c>
      <c r="H58" s="1" t="s">
        <v>1707</v>
      </c>
      <c r="I58" s="7" t="s">
        <v>1671</v>
      </c>
      <c r="L58" s="4">
        <v>44797</v>
      </c>
      <c r="M58" s="1" t="s">
        <v>37</v>
      </c>
      <c r="N58" s="1" t="s">
        <v>140</v>
      </c>
      <c r="O58" s="1" t="s">
        <v>10</v>
      </c>
    </row>
    <row r="59" spans="1:15" x14ac:dyDescent="0.3">
      <c r="A59" s="1" t="str">
        <f>HYPERLINK("https://hsdes.intel.com/resource/14013120765","14013120765")</f>
        <v>14013120765</v>
      </c>
      <c r="B59" s="1" t="s">
        <v>141</v>
      </c>
      <c r="C59" s="1" t="s">
        <v>125</v>
      </c>
      <c r="D59" s="1" t="s">
        <v>1684</v>
      </c>
      <c r="E59" s="1" t="s">
        <v>1698</v>
      </c>
      <c r="F59" s="1" t="s">
        <v>1729</v>
      </c>
      <c r="H59" s="1" t="s">
        <v>1707</v>
      </c>
      <c r="I59" s="1" t="s">
        <v>1671</v>
      </c>
      <c r="L59" s="4">
        <v>44798</v>
      </c>
      <c r="M59" s="1" t="s">
        <v>37</v>
      </c>
      <c r="N59" s="1" t="s">
        <v>142</v>
      </c>
      <c r="O59" s="1" t="s">
        <v>10</v>
      </c>
    </row>
    <row r="60" spans="1:15" x14ac:dyDescent="0.3">
      <c r="A60" s="1" t="str">
        <f>HYPERLINK("https://hsdes.intel.com/resource/14013120780","14013120780")</f>
        <v>14013120780</v>
      </c>
      <c r="B60" s="1" t="s">
        <v>143</v>
      </c>
      <c r="C60" s="1" t="s">
        <v>125</v>
      </c>
      <c r="D60" s="1" t="s">
        <v>1683</v>
      </c>
      <c r="E60" s="1" t="s">
        <v>1698</v>
      </c>
      <c r="F60" s="1" t="s">
        <v>1729</v>
      </c>
      <c r="H60" s="1" t="s">
        <v>1707</v>
      </c>
      <c r="I60" s="1" t="s">
        <v>1672</v>
      </c>
      <c r="L60" s="4">
        <v>44803</v>
      </c>
      <c r="M60" s="1" t="s">
        <v>37</v>
      </c>
      <c r="N60" s="1" t="s">
        <v>144</v>
      </c>
      <c r="O60" s="1" t="s">
        <v>10</v>
      </c>
    </row>
    <row r="61" spans="1:15" x14ac:dyDescent="0.3">
      <c r="A61" s="1" t="str">
        <f>HYPERLINK("https://hsdes.intel.com/resource/14013120792","14013120792")</f>
        <v>14013120792</v>
      </c>
      <c r="B61" s="1" t="s">
        <v>145</v>
      </c>
      <c r="C61" s="1" t="s">
        <v>125</v>
      </c>
      <c r="D61" s="1" t="s">
        <v>1683</v>
      </c>
      <c r="E61" s="1" t="s">
        <v>1698</v>
      </c>
      <c r="F61" s="1" t="s">
        <v>1729</v>
      </c>
      <c r="H61" s="1" t="s">
        <v>1707</v>
      </c>
      <c r="I61" s="1" t="s">
        <v>1673</v>
      </c>
      <c r="L61" s="4">
        <v>44799</v>
      </c>
      <c r="M61" s="1" t="s">
        <v>37</v>
      </c>
      <c r="N61" s="1" t="s">
        <v>146</v>
      </c>
      <c r="O61" s="1" t="s">
        <v>10</v>
      </c>
    </row>
    <row r="62" spans="1:15" x14ac:dyDescent="0.3">
      <c r="A62" s="1" t="str">
        <f>HYPERLINK("https://hsdes.intel.com/resource/14013120808","14013120808")</f>
        <v>14013120808</v>
      </c>
      <c r="B62" s="1" t="s">
        <v>147</v>
      </c>
      <c r="C62" s="1" t="s">
        <v>125</v>
      </c>
      <c r="D62" s="1" t="s">
        <v>1683</v>
      </c>
      <c r="E62" s="1" t="s">
        <v>1698</v>
      </c>
      <c r="F62" s="1" t="s">
        <v>1729</v>
      </c>
      <c r="H62" s="1" t="s">
        <v>1707</v>
      </c>
      <c r="I62" s="1" t="s">
        <v>1673</v>
      </c>
      <c r="L62" s="4">
        <v>44803</v>
      </c>
      <c r="M62" s="1" t="s">
        <v>37</v>
      </c>
      <c r="N62" s="1" t="s">
        <v>148</v>
      </c>
      <c r="O62" s="1" t="s">
        <v>10</v>
      </c>
    </row>
    <row r="63" spans="1:15" x14ac:dyDescent="0.3">
      <c r="A63" s="1" t="str">
        <f>HYPERLINK("https://hsdes.intel.com/resource/14013120858","14013120858")</f>
        <v>14013120858</v>
      </c>
      <c r="B63" s="1" t="s">
        <v>149</v>
      </c>
      <c r="C63" s="1" t="s">
        <v>125</v>
      </c>
      <c r="D63" s="1" t="s">
        <v>1684</v>
      </c>
      <c r="E63" s="1" t="s">
        <v>1698</v>
      </c>
      <c r="F63" s="1" t="s">
        <v>1729</v>
      </c>
      <c r="H63" s="1" t="s">
        <v>1707</v>
      </c>
      <c r="I63" s="1" t="s">
        <v>1723</v>
      </c>
      <c r="L63" s="4">
        <v>44802</v>
      </c>
      <c r="M63" s="1" t="s">
        <v>37</v>
      </c>
      <c r="N63" s="1" t="s">
        <v>150</v>
      </c>
      <c r="O63" s="1" t="s">
        <v>10</v>
      </c>
    </row>
    <row r="64" spans="1:15" x14ac:dyDescent="0.3">
      <c r="A64" s="1" t="str">
        <f>HYPERLINK("https://hsdes.intel.com/resource/14013120864","14013120864")</f>
        <v>14013120864</v>
      </c>
      <c r="B64" s="1" t="s">
        <v>151</v>
      </c>
      <c r="C64" s="1" t="s">
        <v>125</v>
      </c>
      <c r="D64" s="1" t="s">
        <v>1683</v>
      </c>
      <c r="E64" s="1" t="s">
        <v>1698</v>
      </c>
      <c r="F64" s="1" t="s">
        <v>1729</v>
      </c>
      <c r="H64" s="1" t="s">
        <v>1707</v>
      </c>
      <c r="I64" s="1" t="s">
        <v>1723</v>
      </c>
      <c r="L64" s="4">
        <v>44802</v>
      </c>
      <c r="M64" s="1" t="s">
        <v>37</v>
      </c>
      <c r="N64" s="1" t="s">
        <v>152</v>
      </c>
      <c r="O64" s="1" t="s">
        <v>10</v>
      </c>
    </row>
    <row r="65" spans="1:15" x14ac:dyDescent="0.3">
      <c r="A65" s="1" t="str">
        <f>HYPERLINK("https://hsdes.intel.com/resource/14013120874","14013120874")</f>
        <v>14013120874</v>
      </c>
      <c r="B65" s="1" t="s">
        <v>153</v>
      </c>
      <c r="C65" s="1" t="s">
        <v>125</v>
      </c>
      <c r="D65" s="1" t="s">
        <v>1683</v>
      </c>
      <c r="E65" s="1" t="s">
        <v>1698</v>
      </c>
      <c r="F65" s="1" t="s">
        <v>1729</v>
      </c>
      <c r="H65" s="1" t="s">
        <v>1707</v>
      </c>
      <c r="I65" s="1" t="s">
        <v>1721</v>
      </c>
      <c r="L65" s="4">
        <v>44802</v>
      </c>
      <c r="M65" s="1" t="s">
        <v>37</v>
      </c>
      <c r="N65" s="1" t="s">
        <v>154</v>
      </c>
      <c r="O65" s="1" t="s">
        <v>10</v>
      </c>
    </row>
    <row r="66" spans="1:15" x14ac:dyDescent="0.3">
      <c r="A66" s="1" t="str">
        <f>HYPERLINK("https://hsdes.intel.com/resource/14013120896","14013120896")</f>
        <v>14013120896</v>
      </c>
      <c r="B66" s="1" t="s">
        <v>155</v>
      </c>
      <c r="C66" s="1" t="s">
        <v>46</v>
      </c>
      <c r="D66" s="1" t="s">
        <v>1683</v>
      </c>
      <c r="E66" s="1" t="s">
        <v>1698</v>
      </c>
      <c r="F66" s="1" t="s">
        <v>1729</v>
      </c>
      <c r="H66" s="1" t="s">
        <v>1707</v>
      </c>
      <c r="I66" s="1" t="s">
        <v>1673</v>
      </c>
      <c r="L66" s="4">
        <v>44799</v>
      </c>
      <c r="M66" s="1" t="s">
        <v>19</v>
      </c>
      <c r="N66" s="1" t="s">
        <v>156</v>
      </c>
      <c r="O66" s="1" t="s">
        <v>10</v>
      </c>
    </row>
    <row r="67" spans="1:15" x14ac:dyDescent="0.3">
      <c r="A67" s="1" t="str">
        <f>HYPERLINK("https://hsdes.intel.com/resource/14013120901","14013120901")</f>
        <v>14013120901</v>
      </c>
      <c r="B67" s="1" t="s">
        <v>157</v>
      </c>
      <c r="C67" s="1" t="s">
        <v>46</v>
      </c>
      <c r="D67" s="1" t="s">
        <v>1683</v>
      </c>
      <c r="E67" s="1" t="s">
        <v>1698</v>
      </c>
      <c r="F67" s="1" t="s">
        <v>1729</v>
      </c>
      <c r="H67" s="1" t="s">
        <v>1707</v>
      </c>
      <c r="I67" s="1" t="s">
        <v>1672</v>
      </c>
      <c r="L67" s="4">
        <v>44802</v>
      </c>
      <c r="M67" s="1" t="s">
        <v>19</v>
      </c>
      <c r="N67" s="1" t="s">
        <v>158</v>
      </c>
      <c r="O67" s="1" t="s">
        <v>10</v>
      </c>
    </row>
    <row r="68" spans="1:15" x14ac:dyDescent="0.3">
      <c r="A68" s="1" t="str">
        <f>HYPERLINK("https://hsdes.intel.com/resource/14013120907","14013120907")</f>
        <v>14013120907</v>
      </c>
      <c r="B68" s="1" t="s">
        <v>159</v>
      </c>
      <c r="C68" s="1" t="s">
        <v>46</v>
      </c>
      <c r="D68" s="1" t="s">
        <v>1683</v>
      </c>
      <c r="E68" s="1" t="s">
        <v>1698</v>
      </c>
      <c r="F68" s="1" t="s">
        <v>1729</v>
      </c>
      <c r="H68" s="1" t="s">
        <v>1707</v>
      </c>
      <c r="I68" s="1" t="s">
        <v>1673</v>
      </c>
      <c r="L68" s="4">
        <v>44799</v>
      </c>
      <c r="M68" s="1" t="s">
        <v>19</v>
      </c>
      <c r="N68" s="1" t="s">
        <v>160</v>
      </c>
      <c r="O68" s="1" t="s">
        <v>10</v>
      </c>
    </row>
    <row r="69" spans="1:15" x14ac:dyDescent="0.3">
      <c r="A69" s="1" t="str">
        <f>HYPERLINK("https://hsdes.intel.com/resource/14013120914","14013120914")</f>
        <v>14013120914</v>
      </c>
      <c r="B69" s="1" t="s">
        <v>161</v>
      </c>
      <c r="C69" s="1" t="s">
        <v>46</v>
      </c>
      <c r="D69" s="1" t="s">
        <v>1683</v>
      </c>
      <c r="E69" s="1" t="s">
        <v>1698</v>
      </c>
      <c r="F69" s="1" t="s">
        <v>1729</v>
      </c>
      <c r="H69" s="1" t="s">
        <v>1707</v>
      </c>
      <c r="I69" s="1" t="s">
        <v>1673</v>
      </c>
      <c r="L69" s="4">
        <v>44802</v>
      </c>
      <c r="M69" s="1" t="s">
        <v>19</v>
      </c>
      <c r="N69" s="1" t="s">
        <v>162</v>
      </c>
      <c r="O69" s="1" t="s">
        <v>10</v>
      </c>
    </row>
    <row r="70" spans="1:15" x14ac:dyDescent="0.3">
      <c r="A70" s="1" t="str">
        <f>HYPERLINK("https://hsdes.intel.com/resource/14013120930","14013120930")</f>
        <v>14013120930</v>
      </c>
      <c r="B70" s="1" t="s">
        <v>163</v>
      </c>
      <c r="C70" s="1" t="s">
        <v>115</v>
      </c>
      <c r="D70" s="1" t="s">
        <v>1683</v>
      </c>
      <c r="E70" s="1" t="s">
        <v>1698</v>
      </c>
      <c r="F70" s="1" t="s">
        <v>1729</v>
      </c>
      <c r="H70" s="1" t="s">
        <v>1707</v>
      </c>
      <c r="I70" s="1" t="s">
        <v>1673</v>
      </c>
      <c r="L70" s="4">
        <v>44798</v>
      </c>
      <c r="M70" s="1" t="s">
        <v>15</v>
      </c>
      <c r="N70" s="1" t="s">
        <v>164</v>
      </c>
      <c r="O70" s="1" t="s">
        <v>32</v>
      </c>
    </row>
    <row r="71" spans="1:15" x14ac:dyDescent="0.3">
      <c r="A71" s="1" t="str">
        <f>HYPERLINK("https://hsdes.intel.com/resource/14013120937","14013120937")</f>
        <v>14013120937</v>
      </c>
      <c r="B71" s="1" t="s">
        <v>165</v>
      </c>
      <c r="C71" s="1" t="s">
        <v>118</v>
      </c>
      <c r="D71" s="1" t="s">
        <v>1684</v>
      </c>
      <c r="E71" s="1" t="s">
        <v>1698</v>
      </c>
      <c r="F71" s="1" t="s">
        <v>1729</v>
      </c>
      <c r="H71" s="1" t="s">
        <v>1674</v>
      </c>
      <c r="I71" s="1" t="s">
        <v>1674</v>
      </c>
      <c r="M71" s="1" t="s">
        <v>19</v>
      </c>
      <c r="N71" s="1" t="s">
        <v>166</v>
      </c>
      <c r="O71" s="1" t="s">
        <v>7</v>
      </c>
    </row>
    <row r="72" spans="1:15" x14ac:dyDescent="0.3">
      <c r="A72" s="1" t="str">
        <f>HYPERLINK("https://hsdes.intel.com/resource/14013121015","14013121015")</f>
        <v>14013121015</v>
      </c>
      <c r="B72" s="1" t="s">
        <v>167</v>
      </c>
      <c r="C72" s="1" t="s">
        <v>46</v>
      </c>
      <c r="D72" s="1" t="s">
        <v>1683</v>
      </c>
      <c r="E72" s="1" t="s">
        <v>1698</v>
      </c>
      <c r="F72" s="1" t="s">
        <v>1729</v>
      </c>
      <c r="H72" s="1" t="s">
        <v>1707</v>
      </c>
      <c r="I72" s="1" t="s">
        <v>1718</v>
      </c>
      <c r="L72" s="4">
        <v>44799</v>
      </c>
      <c r="M72" s="1" t="s">
        <v>19</v>
      </c>
      <c r="N72" s="1" t="s">
        <v>168</v>
      </c>
      <c r="O72" s="1" t="s">
        <v>10</v>
      </c>
    </row>
    <row r="73" spans="1:15" x14ac:dyDescent="0.3">
      <c r="A73" s="1" t="str">
        <f>HYPERLINK("https://hsdes.intel.com/resource/14013121204","14013121204")</f>
        <v>14013121204</v>
      </c>
      <c r="B73" s="1" t="s">
        <v>169</v>
      </c>
      <c r="C73" s="1" t="s">
        <v>4</v>
      </c>
      <c r="D73" s="1" t="s">
        <v>1683</v>
      </c>
      <c r="E73" s="1" t="s">
        <v>1698</v>
      </c>
      <c r="F73" s="1" t="s">
        <v>1729</v>
      </c>
      <c r="H73" s="1" t="s">
        <v>1707</v>
      </c>
      <c r="I73" s="1" t="s">
        <v>1672</v>
      </c>
      <c r="L73" s="4">
        <v>44797</v>
      </c>
      <c r="M73" s="1" t="s">
        <v>5</v>
      </c>
      <c r="N73" s="1" t="s">
        <v>170</v>
      </c>
      <c r="O73" s="1" t="s">
        <v>32</v>
      </c>
    </row>
    <row r="74" spans="1:15" x14ac:dyDescent="0.3">
      <c r="A74" s="1" t="str">
        <f>HYPERLINK("https://hsdes.intel.com/resource/14013121214","14013121214")</f>
        <v>14013121214</v>
      </c>
      <c r="B74" s="1" t="s">
        <v>171</v>
      </c>
      <c r="C74" s="1" t="s">
        <v>4</v>
      </c>
      <c r="D74" s="1" t="s">
        <v>1683</v>
      </c>
      <c r="E74" s="1" t="s">
        <v>1698</v>
      </c>
      <c r="F74" s="1" t="s">
        <v>1729</v>
      </c>
      <c r="H74" s="1" t="s">
        <v>1707</v>
      </c>
      <c r="I74" s="1" t="s">
        <v>1672</v>
      </c>
      <c r="L74" s="4">
        <v>44797</v>
      </c>
      <c r="M74" s="1" t="s">
        <v>5</v>
      </c>
      <c r="N74" s="1" t="s">
        <v>172</v>
      </c>
      <c r="O74" s="1" t="s">
        <v>7</v>
      </c>
    </row>
    <row r="75" spans="1:15" x14ac:dyDescent="0.3">
      <c r="A75" s="1" t="str">
        <f>HYPERLINK("https://hsdes.intel.com/resource/14013121224","14013121224")</f>
        <v>14013121224</v>
      </c>
      <c r="B75" s="1" t="s">
        <v>173</v>
      </c>
      <c r="C75" s="1" t="s">
        <v>4</v>
      </c>
      <c r="D75" s="1" t="s">
        <v>1683</v>
      </c>
      <c r="E75" s="1" t="s">
        <v>1698</v>
      </c>
      <c r="F75" s="1" t="s">
        <v>1729</v>
      </c>
      <c r="H75" s="7" t="s">
        <v>1707</v>
      </c>
      <c r="I75" s="1" t="s">
        <v>1672</v>
      </c>
      <c r="L75" s="4">
        <v>44797</v>
      </c>
      <c r="M75" s="1" t="s">
        <v>5</v>
      </c>
      <c r="N75" s="1" t="s">
        <v>174</v>
      </c>
      <c r="O75" s="1" t="s">
        <v>32</v>
      </c>
    </row>
    <row r="76" spans="1:15" x14ac:dyDescent="0.3">
      <c r="A76" s="1" t="str">
        <f>HYPERLINK("https://hsdes.intel.com/resource/14013121230","14013121230")</f>
        <v>14013121230</v>
      </c>
      <c r="B76" s="1" t="s">
        <v>175</v>
      </c>
      <c r="C76" s="1" t="s">
        <v>4</v>
      </c>
      <c r="D76" s="1" t="s">
        <v>1683</v>
      </c>
      <c r="E76" s="1" t="s">
        <v>1698</v>
      </c>
      <c r="F76" s="1" t="s">
        <v>1729</v>
      </c>
      <c r="H76" s="8" t="s">
        <v>1707</v>
      </c>
      <c r="I76" s="1" t="s">
        <v>1672</v>
      </c>
      <c r="L76" s="4">
        <v>44797</v>
      </c>
      <c r="M76" s="1" t="s">
        <v>5</v>
      </c>
      <c r="N76" s="1" t="s">
        <v>176</v>
      </c>
      <c r="O76" s="1" t="s">
        <v>32</v>
      </c>
    </row>
    <row r="77" spans="1:15" x14ac:dyDescent="0.3">
      <c r="A77" s="1" t="str">
        <f>HYPERLINK("https://hsdes.intel.com/resource/14013121241","14013121241")</f>
        <v>14013121241</v>
      </c>
      <c r="B77" s="1" t="s">
        <v>177</v>
      </c>
      <c r="C77" s="1" t="s">
        <v>4</v>
      </c>
      <c r="D77" s="1" t="s">
        <v>1683</v>
      </c>
      <c r="E77" s="1" t="s">
        <v>1698</v>
      </c>
      <c r="F77" s="1" t="s">
        <v>1729</v>
      </c>
      <c r="H77" s="8" t="s">
        <v>1707</v>
      </c>
      <c r="I77" s="1" t="s">
        <v>1672</v>
      </c>
      <c r="L77" s="4">
        <v>44797</v>
      </c>
      <c r="M77" s="1" t="s">
        <v>5</v>
      </c>
      <c r="N77" s="1" t="s">
        <v>178</v>
      </c>
      <c r="O77" s="1" t="s">
        <v>32</v>
      </c>
    </row>
    <row r="78" spans="1:15" x14ac:dyDescent="0.3">
      <c r="A78" s="1" t="str">
        <f>HYPERLINK("https://hsdes.intel.com/resource/14013121267","14013121267")</f>
        <v>14013121267</v>
      </c>
      <c r="B78" s="1" t="s">
        <v>179</v>
      </c>
      <c r="C78" s="1" t="s">
        <v>4</v>
      </c>
      <c r="D78" s="1" t="s">
        <v>1683</v>
      </c>
      <c r="E78" s="1" t="s">
        <v>1698</v>
      </c>
      <c r="F78" s="1" t="s">
        <v>1729</v>
      </c>
      <c r="H78" s="1" t="s">
        <v>1707</v>
      </c>
      <c r="I78" s="1" t="s">
        <v>1673</v>
      </c>
      <c r="L78" s="4">
        <v>44798</v>
      </c>
      <c r="M78" s="1" t="s">
        <v>5</v>
      </c>
      <c r="N78" s="1" t="s">
        <v>180</v>
      </c>
      <c r="O78" s="1" t="s">
        <v>32</v>
      </c>
    </row>
    <row r="79" spans="1:15" x14ac:dyDescent="0.3">
      <c r="A79" s="1" t="str">
        <f>HYPERLINK("https://hsdes.intel.com/resource/14013121275","14013121275")</f>
        <v>14013121275</v>
      </c>
      <c r="B79" s="1" t="s">
        <v>181</v>
      </c>
      <c r="C79" s="1" t="s">
        <v>4</v>
      </c>
      <c r="D79" s="1" t="s">
        <v>1683</v>
      </c>
      <c r="E79" s="1" t="s">
        <v>1698</v>
      </c>
      <c r="F79" s="1" t="s">
        <v>1729</v>
      </c>
      <c r="H79" s="7" t="s">
        <v>1707</v>
      </c>
      <c r="I79" s="1" t="s">
        <v>1671</v>
      </c>
      <c r="L79" s="4">
        <v>44798</v>
      </c>
      <c r="M79" s="1" t="s">
        <v>5</v>
      </c>
      <c r="N79" s="1" t="s">
        <v>182</v>
      </c>
      <c r="O79" s="1" t="s">
        <v>32</v>
      </c>
    </row>
    <row r="80" spans="1:15" x14ac:dyDescent="0.3">
      <c r="A80" s="1" t="str">
        <f>HYPERLINK("https://hsdes.intel.com/resource/14013121432","14013121432")</f>
        <v>14013121432</v>
      </c>
      <c r="B80" s="1" t="s">
        <v>183</v>
      </c>
      <c r="C80" s="1" t="s">
        <v>28</v>
      </c>
      <c r="D80" s="1" t="s">
        <v>1683</v>
      </c>
      <c r="E80" s="1" t="s">
        <v>1698</v>
      </c>
      <c r="F80" s="1" t="s">
        <v>1729</v>
      </c>
      <c r="H80" s="8" t="s">
        <v>1707</v>
      </c>
      <c r="I80" s="1" t="s">
        <v>1726</v>
      </c>
      <c r="L80" s="4">
        <v>44803</v>
      </c>
      <c r="M80" s="1" t="s">
        <v>5</v>
      </c>
      <c r="N80" s="1" t="s">
        <v>184</v>
      </c>
      <c r="O80" s="1" t="s">
        <v>10</v>
      </c>
    </row>
    <row r="81" spans="1:16" x14ac:dyDescent="0.3">
      <c r="A81" s="1" t="str">
        <f>HYPERLINK("https://hsdes.intel.com/resource/14013156736","14013156736")</f>
        <v>14013156736</v>
      </c>
      <c r="B81" s="1" t="s">
        <v>185</v>
      </c>
      <c r="C81" s="1" t="s">
        <v>36</v>
      </c>
      <c r="D81" s="1" t="s">
        <v>1683</v>
      </c>
      <c r="E81" s="1" t="s">
        <v>1698</v>
      </c>
      <c r="F81" s="1" t="s">
        <v>1729</v>
      </c>
      <c r="H81" s="1" t="s">
        <v>1674</v>
      </c>
      <c r="I81" s="1" t="s">
        <v>1674</v>
      </c>
      <c r="M81" s="1" t="s">
        <v>37</v>
      </c>
      <c r="N81" s="1" t="s">
        <v>186</v>
      </c>
      <c r="O81" s="1" t="s">
        <v>7</v>
      </c>
    </row>
    <row r="82" spans="1:16" x14ac:dyDescent="0.3">
      <c r="A82" s="1" t="str">
        <f>HYPERLINK("https://hsdes.intel.com/resource/14013156759","14013156759")</f>
        <v>14013156759</v>
      </c>
      <c r="B82" s="1" t="s">
        <v>187</v>
      </c>
      <c r="C82" s="1" t="s">
        <v>36</v>
      </c>
      <c r="D82" s="1" t="s">
        <v>1684</v>
      </c>
      <c r="E82" s="1" t="s">
        <v>1698</v>
      </c>
      <c r="F82" s="1" t="s">
        <v>1729</v>
      </c>
      <c r="H82" s="1" t="s">
        <v>1707</v>
      </c>
      <c r="I82" s="1" t="s">
        <v>1671</v>
      </c>
      <c r="L82" s="4">
        <v>44802</v>
      </c>
      <c r="M82" s="1" t="s">
        <v>37</v>
      </c>
      <c r="N82" s="1" t="s">
        <v>188</v>
      </c>
      <c r="O82" s="1" t="s">
        <v>7</v>
      </c>
      <c r="P82" s="1" t="s">
        <v>1710</v>
      </c>
    </row>
    <row r="83" spans="1:16" x14ac:dyDescent="0.3">
      <c r="A83" s="1" t="str">
        <f>HYPERLINK("https://hsdes.intel.com/resource/14013156774","14013156774")</f>
        <v>14013156774</v>
      </c>
      <c r="B83" s="1" t="s">
        <v>189</v>
      </c>
      <c r="C83" s="1" t="s">
        <v>75</v>
      </c>
      <c r="D83" s="1" t="s">
        <v>1683</v>
      </c>
      <c r="E83" s="1" t="s">
        <v>1698</v>
      </c>
      <c r="F83" s="1" t="s">
        <v>1729</v>
      </c>
      <c r="H83" s="1" t="s">
        <v>1707</v>
      </c>
      <c r="I83" s="1" t="s">
        <v>1672</v>
      </c>
      <c r="L83" s="22">
        <v>44796</v>
      </c>
      <c r="M83" s="1" t="s">
        <v>76</v>
      </c>
      <c r="N83" s="1" t="s">
        <v>190</v>
      </c>
      <c r="O83" s="1" t="s">
        <v>10</v>
      </c>
    </row>
    <row r="84" spans="1:16" x14ac:dyDescent="0.3">
      <c r="A84" s="1" t="str">
        <f>HYPERLINK("https://hsdes.intel.com/resource/14013156776","14013156776")</f>
        <v>14013156776</v>
      </c>
      <c r="B84" s="1" t="s">
        <v>191</v>
      </c>
      <c r="C84" s="1" t="s">
        <v>75</v>
      </c>
      <c r="D84" s="1" t="s">
        <v>1683</v>
      </c>
      <c r="E84" s="1" t="s">
        <v>1698</v>
      </c>
      <c r="F84" s="1" t="s">
        <v>1729</v>
      </c>
      <c r="H84" s="1" t="s">
        <v>1707</v>
      </c>
      <c r="I84" s="1" t="s">
        <v>1673</v>
      </c>
      <c r="L84" s="4">
        <v>44802</v>
      </c>
      <c r="M84" s="1" t="s">
        <v>76</v>
      </c>
      <c r="N84" s="1" t="s">
        <v>192</v>
      </c>
      <c r="O84" s="1" t="s">
        <v>10</v>
      </c>
    </row>
    <row r="85" spans="1:16" x14ac:dyDescent="0.3">
      <c r="A85" s="1" t="str">
        <f>HYPERLINK("https://hsdes.intel.com/resource/14013156783","14013156783")</f>
        <v>14013156783</v>
      </c>
      <c r="B85" s="1" t="s">
        <v>193</v>
      </c>
      <c r="C85" s="1" t="s">
        <v>115</v>
      </c>
      <c r="D85" s="1" t="s">
        <v>1683</v>
      </c>
      <c r="E85" s="1" t="s">
        <v>1698</v>
      </c>
      <c r="F85" s="1" t="s">
        <v>1729</v>
      </c>
      <c r="H85" s="1" t="s">
        <v>1707</v>
      </c>
      <c r="I85" s="1" t="s">
        <v>1673</v>
      </c>
      <c r="L85" s="4">
        <v>44802</v>
      </c>
      <c r="M85" s="1" t="s">
        <v>15</v>
      </c>
      <c r="N85" s="1" t="s">
        <v>194</v>
      </c>
      <c r="O85" s="1" t="s">
        <v>10</v>
      </c>
    </row>
    <row r="86" spans="1:16" x14ac:dyDescent="0.3">
      <c r="A86" s="1" t="str">
        <f>HYPERLINK("https://hsdes.intel.com/resource/14013156787","14013156787")</f>
        <v>14013156787</v>
      </c>
      <c r="B86" s="1" t="s">
        <v>195</v>
      </c>
      <c r="C86" s="1" t="s">
        <v>18</v>
      </c>
      <c r="D86" s="1" t="s">
        <v>1683</v>
      </c>
      <c r="E86" s="1" t="s">
        <v>1698</v>
      </c>
      <c r="F86" s="1" t="s">
        <v>1729</v>
      </c>
      <c r="H86" s="1" t="s">
        <v>1707</v>
      </c>
      <c r="I86" s="1" t="s">
        <v>1671</v>
      </c>
      <c r="L86" s="4">
        <v>44803</v>
      </c>
      <c r="M86" s="1" t="s">
        <v>5</v>
      </c>
      <c r="N86" s="1" t="s">
        <v>196</v>
      </c>
      <c r="O86" s="1" t="s">
        <v>7</v>
      </c>
    </row>
    <row r="87" spans="1:16" x14ac:dyDescent="0.3">
      <c r="A87" s="1" t="str">
        <f>HYPERLINK("https://hsdes.intel.com/resource/14013156788","14013156788")</f>
        <v>14013156788</v>
      </c>
      <c r="B87" s="1" t="s">
        <v>197</v>
      </c>
      <c r="C87" s="1" t="s">
        <v>75</v>
      </c>
      <c r="D87" s="1" t="s">
        <v>1683</v>
      </c>
      <c r="E87" s="1" t="s">
        <v>1698</v>
      </c>
      <c r="F87" s="1" t="s">
        <v>1729</v>
      </c>
      <c r="H87" s="1" t="s">
        <v>1707</v>
      </c>
      <c r="I87" s="1" t="s">
        <v>1671</v>
      </c>
      <c r="L87" s="4">
        <v>44802</v>
      </c>
      <c r="M87" s="1" t="s">
        <v>76</v>
      </c>
      <c r="N87" s="1" t="s">
        <v>198</v>
      </c>
      <c r="O87" s="1" t="s">
        <v>7</v>
      </c>
    </row>
    <row r="88" spans="1:16" x14ac:dyDescent="0.3">
      <c r="A88" s="1" t="str">
        <f>HYPERLINK("https://hsdes.intel.com/resource/14013156791","14013156791")</f>
        <v>14013156791</v>
      </c>
      <c r="B88" s="1" t="s">
        <v>199</v>
      </c>
      <c r="C88" s="1" t="s">
        <v>18</v>
      </c>
      <c r="D88" s="1" t="s">
        <v>1683</v>
      </c>
      <c r="E88" s="1" t="s">
        <v>1698</v>
      </c>
      <c r="F88" s="1" t="s">
        <v>1729</v>
      </c>
      <c r="H88" s="1" t="s">
        <v>1707</v>
      </c>
      <c r="I88" s="1" t="s">
        <v>1671</v>
      </c>
      <c r="L88" s="4">
        <v>44803</v>
      </c>
      <c r="M88" s="1" t="s">
        <v>5</v>
      </c>
      <c r="N88" s="1" t="s">
        <v>200</v>
      </c>
      <c r="O88" s="1" t="s">
        <v>7</v>
      </c>
    </row>
    <row r="89" spans="1:16" x14ac:dyDescent="0.3">
      <c r="A89" s="1" t="str">
        <f>HYPERLINK("https://hsdes.intel.com/resource/14013156792","14013156792")</f>
        <v>14013156792</v>
      </c>
      <c r="B89" s="1" t="s">
        <v>201</v>
      </c>
      <c r="C89" s="1" t="s">
        <v>18</v>
      </c>
      <c r="D89" s="1" t="s">
        <v>1683</v>
      </c>
      <c r="E89" s="1" t="s">
        <v>1698</v>
      </c>
      <c r="F89" s="1" t="s">
        <v>1729</v>
      </c>
      <c r="H89" s="1" t="s">
        <v>1707</v>
      </c>
      <c r="I89" s="1" t="s">
        <v>1671</v>
      </c>
      <c r="L89" s="4">
        <v>44798</v>
      </c>
      <c r="M89" s="1" t="s">
        <v>5</v>
      </c>
      <c r="N89" s="1" t="s">
        <v>202</v>
      </c>
      <c r="O89" s="1" t="s">
        <v>7</v>
      </c>
    </row>
    <row r="90" spans="1:16" x14ac:dyDescent="0.3">
      <c r="A90" s="1" t="str">
        <f>HYPERLINK("https://hsdes.intel.com/resource/14013156795","14013156795")</f>
        <v>14013156795</v>
      </c>
      <c r="B90" s="1" t="s">
        <v>203</v>
      </c>
      <c r="C90" s="1" t="s">
        <v>18</v>
      </c>
      <c r="D90" s="1" t="s">
        <v>1683</v>
      </c>
      <c r="E90" s="1" t="s">
        <v>1698</v>
      </c>
      <c r="F90" s="1" t="s">
        <v>1729</v>
      </c>
      <c r="H90" s="1" t="s">
        <v>1707</v>
      </c>
      <c r="I90" s="1" t="s">
        <v>1671</v>
      </c>
      <c r="L90" s="4">
        <v>44803</v>
      </c>
      <c r="M90" s="1" t="s">
        <v>5</v>
      </c>
      <c r="N90" s="1" t="s">
        <v>204</v>
      </c>
      <c r="O90" s="1" t="s">
        <v>7</v>
      </c>
    </row>
    <row r="91" spans="1:16" x14ac:dyDescent="0.3">
      <c r="A91" s="1" t="str">
        <f>HYPERLINK("https://hsdes.intel.com/resource/14013156796","14013156796")</f>
        <v>14013156796</v>
      </c>
      <c r="B91" s="1" t="s">
        <v>205</v>
      </c>
      <c r="C91" s="1" t="s">
        <v>46</v>
      </c>
      <c r="D91" s="1" t="s">
        <v>1683</v>
      </c>
      <c r="E91" s="1" t="s">
        <v>1698</v>
      </c>
      <c r="F91" s="1" t="s">
        <v>1729</v>
      </c>
      <c r="H91" s="1" t="s">
        <v>1707</v>
      </c>
      <c r="I91" s="1" t="s">
        <v>1673</v>
      </c>
      <c r="L91" s="4">
        <v>44803</v>
      </c>
      <c r="M91" s="1" t="s">
        <v>19</v>
      </c>
      <c r="N91" s="1" t="s">
        <v>206</v>
      </c>
      <c r="O91" s="1" t="s">
        <v>10</v>
      </c>
    </row>
    <row r="92" spans="1:16" x14ac:dyDescent="0.3">
      <c r="A92" s="1" t="str">
        <f>HYPERLINK("https://hsdes.intel.com/resource/14013156798","14013156798")</f>
        <v>14013156798</v>
      </c>
      <c r="B92" s="1" t="s">
        <v>207</v>
      </c>
      <c r="C92" s="1" t="s">
        <v>18</v>
      </c>
      <c r="D92" s="1" t="s">
        <v>1683</v>
      </c>
      <c r="E92" s="1" t="s">
        <v>1698</v>
      </c>
      <c r="F92" s="1" t="s">
        <v>1729</v>
      </c>
      <c r="H92" s="1" t="s">
        <v>1707</v>
      </c>
      <c r="I92" s="1" t="s">
        <v>1671</v>
      </c>
      <c r="L92" s="4">
        <v>44803</v>
      </c>
      <c r="M92" s="1" t="s">
        <v>5</v>
      </c>
      <c r="N92" s="1" t="s">
        <v>208</v>
      </c>
      <c r="O92" s="1" t="s">
        <v>7</v>
      </c>
    </row>
    <row r="93" spans="1:16" x14ac:dyDescent="0.3">
      <c r="A93" s="1" t="str">
        <f>HYPERLINK("https://hsdes.intel.com/resource/14013156799","14013156799")</f>
        <v>14013156799</v>
      </c>
      <c r="B93" s="1" t="s">
        <v>209</v>
      </c>
      <c r="C93" s="1" t="s">
        <v>46</v>
      </c>
      <c r="D93" s="1" t="s">
        <v>1683</v>
      </c>
      <c r="E93" s="1" t="s">
        <v>1698</v>
      </c>
      <c r="F93" s="1" t="s">
        <v>1729</v>
      </c>
      <c r="H93" s="1" t="s">
        <v>1707</v>
      </c>
      <c r="I93" s="1" t="s">
        <v>1673</v>
      </c>
      <c r="L93" s="4">
        <v>44802</v>
      </c>
      <c r="M93" s="1" t="s">
        <v>19</v>
      </c>
      <c r="N93" s="1" t="s">
        <v>210</v>
      </c>
      <c r="O93" s="1" t="s">
        <v>10</v>
      </c>
    </row>
    <row r="94" spans="1:16" x14ac:dyDescent="0.3">
      <c r="A94" s="1" t="str">
        <f>HYPERLINK("https://hsdes.intel.com/resource/14013156800","14013156800")</f>
        <v>14013156800</v>
      </c>
      <c r="B94" s="1" t="s">
        <v>211</v>
      </c>
      <c r="C94" s="1" t="s">
        <v>18</v>
      </c>
      <c r="D94" s="1" t="s">
        <v>1683</v>
      </c>
      <c r="E94" s="1" t="s">
        <v>1698</v>
      </c>
      <c r="F94" s="1" t="s">
        <v>1729</v>
      </c>
      <c r="H94" s="1" t="s">
        <v>1707</v>
      </c>
      <c r="I94" s="1" t="s">
        <v>1672</v>
      </c>
      <c r="L94" s="4">
        <v>44802</v>
      </c>
      <c r="M94" s="1" t="s">
        <v>5</v>
      </c>
      <c r="N94" s="1" t="s">
        <v>212</v>
      </c>
      <c r="O94" s="1" t="s">
        <v>10</v>
      </c>
    </row>
    <row r="95" spans="1:16" x14ac:dyDescent="0.3">
      <c r="A95" s="1" t="str">
        <f>HYPERLINK("https://hsdes.intel.com/resource/14013156801","14013156801")</f>
        <v>14013156801</v>
      </c>
      <c r="B95" s="1" t="s">
        <v>213</v>
      </c>
      <c r="C95" s="1" t="s">
        <v>18</v>
      </c>
      <c r="D95" s="1" t="s">
        <v>1683</v>
      </c>
      <c r="E95" s="1" t="s">
        <v>1698</v>
      </c>
      <c r="F95" s="1" t="s">
        <v>1729</v>
      </c>
      <c r="H95" s="1" t="s">
        <v>1707</v>
      </c>
      <c r="I95" s="1" t="s">
        <v>1718</v>
      </c>
      <c r="L95" s="4">
        <v>44799</v>
      </c>
      <c r="M95" s="1" t="s">
        <v>5</v>
      </c>
      <c r="N95" s="1" t="s">
        <v>214</v>
      </c>
      <c r="O95" s="1" t="s">
        <v>10</v>
      </c>
    </row>
    <row r="96" spans="1:16" x14ac:dyDescent="0.3">
      <c r="A96" s="1" t="str">
        <f>HYPERLINK("https://hsdes.intel.com/resource/14013156802","14013156802")</f>
        <v>14013156802</v>
      </c>
      <c r="B96" s="1" t="s">
        <v>215</v>
      </c>
      <c r="C96" s="1" t="s">
        <v>18</v>
      </c>
      <c r="D96" s="1" t="s">
        <v>1683</v>
      </c>
      <c r="E96" s="1" t="s">
        <v>1698</v>
      </c>
      <c r="F96" s="1" t="s">
        <v>1729</v>
      </c>
      <c r="H96" s="1" t="s">
        <v>1707</v>
      </c>
      <c r="I96" s="1" t="s">
        <v>1671</v>
      </c>
      <c r="L96" s="4">
        <v>44803</v>
      </c>
      <c r="M96" s="1" t="s">
        <v>5</v>
      </c>
      <c r="N96" s="1" t="s">
        <v>216</v>
      </c>
      <c r="O96" s="1" t="s">
        <v>7</v>
      </c>
    </row>
    <row r="97" spans="1:15" x14ac:dyDescent="0.3">
      <c r="A97" s="1" t="str">
        <f>HYPERLINK("https://hsdes.intel.com/resource/14013156804","14013156804")</f>
        <v>14013156804</v>
      </c>
      <c r="B97" s="1" t="s">
        <v>217</v>
      </c>
      <c r="C97" s="1" t="s">
        <v>46</v>
      </c>
      <c r="D97" s="1" t="s">
        <v>1683</v>
      </c>
      <c r="E97" s="1" t="s">
        <v>1698</v>
      </c>
      <c r="F97" s="1" t="s">
        <v>1729</v>
      </c>
      <c r="H97" s="7" t="s">
        <v>1707</v>
      </c>
      <c r="I97" s="1" t="s">
        <v>1673</v>
      </c>
      <c r="L97" s="4">
        <v>44802</v>
      </c>
      <c r="M97" s="1" t="s">
        <v>19</v>
      </c>
      <c r="N97" s="1" t="s">
        <v>218</v>
      </c>
      <c r="O97" s="1" t="s">
        <v>10</v>
      </c>
    </row>
    <row r="98" spans="1:15" x14ac:dyDescent="0.3">
      <c r="A98" s="1" t="str">
        <f>HYPERLINK("https://hsdes.intel.com/resource/14013156805","14013156805")</f>
        <v>14013156805</v>
      </c>
      <c r="B98" s="1" t="s">
        <v>219</v>
      </c>
      <c r="C98" s="1" t="s">
        <v>18</v>
      </c>
      <c r="D98" s="1" t="s">
        <v>1683</v>
      </c>
      <c r="E98" s="1" t="s">
        <v>1698</v>
      </c>
      <c r="F98" s="1" t="s">
        <v>1729</v>
      </c>
      <c r="H98" s="1" t="s">
        <v>1707</v>
      </c>
      <c r="I98" s="1" t="s">
        <v>1671</v>
      </c>
      <c r="L98" s="4">
        <v>44802</v>
      </c>
      <c r="M98" s="1" t="s">
        <v>5</v>
      </c>
      <c r="N98" s="1" t="s">
        <v>220</v>
      </c>
      <c r="O98" s="1" t="s">
        <v>32</v>
      </c>
    </row>
    <row r="99" spans="1:15" x14ac:dyDescent="0.3">
      <c r="A99" s="1" t="str">
        <f>HYPERLINK("https://hsdes.intel.com/resource/14013156807","14013156807")</f>
        <v>14013156807</v>
      </c>
      <c r="B99" s="1" t="s">
        <v>221</v>
      </c>
      <c r="C99" s="1" t="s">
        <v>46</v>
      </c>
      <c r="D99" s="1" t="s">
        <v>1683</v>
      </c>
      <c r="E99" s="1" t="s">
        <v>1698</v>
      </c>
      <c r="F99" s="1" t="s">
        <v>1729</v>
      </c>
      <c r="H99" s="8" t="s">
        <v>1707</v>
      </c>
      <c r="I99" s="1" t="s">
        <v>1673</v>
      </c>
      <c r="L99" s="4">
        <v>44802</v>
      </c>
      <c r="M99" s="1" t="s">
        <v>19</v>
      </c>
      <c r="N99" s="1" t="s">
        <v>222</v>
      </c>
      <c r="O99" s="1" t="s">
        <v>10</v>
      </c>
    </row>
    <row r="100" spans="1:15" x14ac:dyDescent="0.3">
      <c r="A100" s="1" t="str">
        <f>HYPERLINK("https://hsdes.intel.com/resource/14013156833","14013156833")</f>
        <v>14013156833</v>
      </c>
      <c r="B100" s="1" t="s">
        <v>223</v>
      </c>
      <c r="C100" s="1" t="s">
        <v>46</v>
      </c>
      <c r="D100" s="1" t="s">
        <v>1683</v>
      </c>
      <c r="E100" s="1" t="s">
        <v>1698</v>
      </c>
      <c r="F100" s="1" t="s">
        <v>1729</v>
      </c>
      <c r="H100" s="1" t="s">
        <v>1707</v>
      </c>
      <c r="I100" s="1" t="s">
        <v>1723</v>
      </c>
      <c r="L100" s="4">
        <v>44802</v>
      </c>
      <c r="M100" s="1" t="s">
        <v>19</v>
      </c>
      <c r="N100" s="1" t="s">
        <v>224</v>
      </c>
      <c r="O100" s="1" t="s">
        <v>10</v>
      </c>
    </row>
    <row r="101" spans="1:15" x14ac:dyDescent="0.3">
      <c r="A101" s="1" t="str">
        <f>HYPERLINK("https://hsdes.intel.com/resource/14013156844","14013156844")</f>
        <v>14013156844</v>
      </c>
      <c r="B101" s="1" t="s">
        <v>225</v>
      </c>
      <c r="C101" s="1" t="s">
        <v>14</v>
      </c>
      <c r="D101" s="1" t="s">
        <v>1683</v>
      </c>
      <c r="E101" s="1" t="s">
        <v>1698</v>
      </c>
      <c r="F101" s="1" t="s">
        <v>1729</v>
      </c>
      <c r="H101" s="1" t="s">
        <v>1707</v>
      </c>
      <c r="I101" s="1" t="s">
        <v>1722</v>
      </c>
      <c r="L101" s="4">
        <v>44802</v>
      </c>
      <c r="M101" s="1" t="s">
        <v>15</v>
      </c>
      <c r="N101" s="1" t="s">
        <v>226</v>
      </c>
      <c r="O101" s="1" t="s">
        <v>10</v>
      </c>
    </row>
    <row r="102" spans="1:15" x14ac:dyDescent="0.3">
      <c r="A102" s="1" t="str">
        <f>HYPERLINK("https://hsdes.intel.com/resource/14013156845","14013156845")</f>
        <v>14013156845</v>
      </c>
      <c r="B102" s="1" t="s">
        <v>227</v>
      </c>
      <c r="C102" s="1" t="s">
        <v>14</v>
      </c>
      <c r="D102" s="1" t="s">
        <v>1683</v>
      </c>
      <c r="E102" s="1" t="s">
        <v>1698</v>
      </c>
      <c r="F102" s="1" t="s">
        <v>1729</v>
      </c>
      <c r="H102" s="7" t="s">
        <v>1707</v>
      </c>
      <c r="I102" s="1" t="s">
        <v>1671</v>
      </c>
      <c r="L102" s="4">
        <v>44799</v>
      </c>
      <c r="M102" s="1" t="s">
        <v>15</v>
      </c>
      <c r="N102" s="1" t="s">
        <v>228</v>
      </c>
      <c r="O102" s="1" t="s">
        <v>10</v>
      </c>
    </row>
    <row r="103" spans="1:15" x14ac:dyDescent="0.3">
      <c r="A103" s="1" t="str">
        <f>HYPERLINK("https://hsdes.intel.com/resource/14013156846","14013156846")</f>
        <v>14013156846</v>
      </c>
      <c r="B103" s="1" t="s">
        <v>229</v>
      </c>
      <c r="C103" s="1" t="s">
        <v>46</v>
      </c>
      <c r="D103" s="1" t="s">
        <v>1683</v>
      </c>
      <c r="E103" s="1" t="s">
        <v>1698</v>
      </c>
      <c r="F103" s="1" t="s">
        <v>1729</v>
      </c>
      <c r="H103" s="1" t="s">
        <v>1707</v>
      </c>
      <c r="I103" s="1" t="s">
        <v>1672</v>
      </c>
      <c r="L103" s="4">
        <v>44802</v>
      </c>
      <c r="M103" s="1" t="s">
        <v>19</v>
      </c>
      <c r="N103" s="1" t="s">
        <v>230</v>
      </c>
      <c r="O103" s="1" t="s">
        <v>32</v>
      </c>
    </row>
    <row r="104" spans="1:15" x14ac:dyDescent="0.3">
      <c r="A104" s="1" t="str">
        <f>HYPERLINK("https://hsdes.intel.com/resource/14013156847","14013156847")</f>
        <v>14013156847</v>
      </c>
      <c r="B104" s="1" t="s">
        <v>231</v>
      </c>
      <c r="C104" s="1" t="s">
        <v>46</v>
      </c>
      <c r="D104" s="1" t="s">
        <v>1683</v>
      </c>
      <c r="E104" s="1" t="s">
        <v>1698</v>
      </c>
      <c r="F104" s="1" t="s">
        <v>1729</v>
      </c>
      <c r="H104" s="1" t="s">
        <v>1707</v>
      </c>
      <c r="I104" s="1" t="s">
        <v>1671</v>
      </c>
      <c r="L104" s="4">
        <v>44802</v>
      </c>
      <c r="M104" s="1" t="s">
        <v>19</v>
      </c>
      <c r="N104" s="1" t="s">
        <v>232</v>
      </c>
      <c r="O104" s="1" t="s">
        <v>10</v>
      </c>
    </row>
    <row r="105" spans="1:15" x14ac:dyDescent="0.3">
      <c r="A105" s="1" t="str">
        <f>HYPERLINK("https://hsdes.intel.com/resource/14013156856","14013156856")</f>
        <v>14013156856</v>
      </c>
      <c r="B105" s="1" t="s">
        <v>233</v>
      </c>
      <c r="C105" s="1" t="s">
        <v>46</v>
      </c>
      <c r="D105" s="1" t="s">
        <v>1683</v>
      </c>
      <c r="E105" s="1" t="s">
        <v>1698</v>
      </c>
      <c r="F105" s="1" t="s">
        <v>1729</v>
      </c>
      <c r="H105" s="1" t="s">
        <v>1707</v>
      </c>
      <c r="I105" s="1" t="s">
        <v>1722</v>
      </c>
      <c r="L105" s="4">
        <v>44802</v>
      </c>
      <c r="M105" s="1" t="s">
        <v>19</v>
      </c>
      <c r="N105" s="1" t="s">
        <v>234</v>
      </c>
      <c r="O105" s="1" t="s">
        <v>10</v>
      </c>
    </row>
    <row r="106" spans="1:15" x14ac:dyDescent="0.3">
      <c r="A106" s="1" t="str">
        <f>HYPERLINK("https://hsdes.intel.com/resource/14013156857","14013156857")</f>
        <v>14013156857</v>
      </c>
      <c r="B106" s="1" t="s">
        <v>235</v>
      </c>
      <c r="C106" s="1" t="s">
        <v>14</v>
      </c>
      <c r="D106" s="1" t="s">
        <v>1683</v>
      </c>
      <c r="E106" s="1" t="s">
        <v>1698</v>
      </c>
      <c r="F106" s="1" t="s">
        <v>1729</v>
      </c>
      <c r="H106" s="1" t="s">
        <v>1707</v>
      </c>
      <c r="I106" s="1" t="s">
        <v>1671</v>
      </c>
      <c r="L106" s="4">
        <v>44798</v>
      </c>
      <c r="M106" s="1" t="s">
        <v>15</v>
      </c>
      <c r="N106" s="1" t="s">
        <v>236</v>
      </c>
      <c r="O106" s="1" t="s">
        <v>10</v>
      </c>
    </row>
    <row r="107" spans="1:15" x14ac:dyDescent="0.3">
      <c r="A107" s="1" t="str">
        <f>HYPERLINK("https://hsdes.intel.com/resource/14013156862","14013156862")</f>
        <v>14013156862</v>
      </c>
      <c r="B107" s="1" t="s">
        <v>237</v>
      </c>
      <c r="C107" s="1" t="s">
        <v>46</v>
      </c>
      <c r="D107" s="1" t="s">
        <v>1683</v>
      </c>
      <c r="E107" s="1" t="s">
        <v>1698</v>
      </c>
      <c r="F107" s="1" t="s">
        <v>1729</v>
      </c>
      <c r="H107" s="1" t="s">
        <v>1707</v>
      </c>
      <c r="I107" s="1" t="s">
        <v>1722</v>
      </c>
      <c r="L107" s="4">
        <v>44802</v>
      </c>
      <c r="M107" s="1" t="s">
        <v>19</v>
      </c>
      <c r="N107" s="1" t="s">
        <v>238</v>
      </c>
      <c r="O107" s="1" t="s">
        <v>10</v>
      </c>
    </row>
    <row r="108" spans="1:15" x14ac:dyDescent="0.3">
      <c r="A108" s="1" t="str">
        <f>HYPERLINK("https://hsdes.intel.com/resource/14013156866","14013156866")</f>
        <v>14013156866</v>
      </c>
      <c r="B108" s="1" t="s">
        <v>239</v>
      </c>
      <c r="C108" s="1" t="s">
        <v>46</v>
      </c>
      <c r="D108" s="1" t="s">
        <v>1683</v>
      </c>
      <c r="E108" s="1" t="s">
        <v>1698</v>
      </c>
      <c r="F108" s="1" t="s">
        <v>1729</v>
      </c>
      <c r="H108" s="7" t="s">
        <v>1707</v>
      </c>
      <c r="I108" s="1" t="s">
        <v>1723</v>
      </c>
      <c r="L108" s="4">
        <v>44802</v>
      </c>
      <c r="M108" s="1" t="s">
        <v>19</v>
      </c>
      <c r="N108" s="1" t="s">
        <v>240</v>
      </c>
      <c r="O108" s="1" t="s">
        <v>10</v>
      </c>
    </row>
    <row r="109" spans="1:15" x14ac:dyDescent="0.3">
      <c r="A109" s="1" t="str">
        <f>HYPERLINK("https://hsdes.intel.com/resource/14013156874","14013156874")</f>
        <v>14013156874</v>
      </c>
      <c r="B109" s="1" t="s">
        <v>241</v>
      </c>
      <c r="C109" s="1" t="s">
        <v>46</v>
      </c>
      <c r="D109" s="1" t="s">
        <v>1683</v>
      </c>
      <c r="E109" s="1" t="s">
        <v>1698</v>
      </c>
      <c r="F109" s="1" t="s">
        <v>1729</v>
      </c>
      <c r="H109" s="8" t="s">
        <v>1707</v>
      </c>
      <c r="I109" s="1" t="s">
        <v>1723</v>
      </c>
      <c r="L109" s="4">
        <v>44802</v>
      </c>
      <c r="M109" s="1" t="s">
        <v>19</v>
      </c>
      <c r="N109" s="1" t="s">
        <v>242</v>
      </c>
      <c r="O109" s="1" t="s">
        <v>10</v>
      </c>
    </row>
    <row r="110" spans="1:15" x14ac:dyDescent="0.3">
      <c r="A110" s="1" t="str">
        <f>HYPERLINK("https://hsdes.intel.com/resource/14013156877","14013156877")</f>
        <v>14013156877</v>
      </c>
      <c r="B110" s="1" t="s">
        <v>243</v>
      </c>
      <c r="C110" s="1" t="s">
        <v>46</v>
      </c>
      <c r="D110" s="1" t="s">
        <v>1683</v>
      </c>
      <c r="E110" s="1" t="s">
        <v>1698</v>
      </c>
      <c r="F110" s="1" t="s">
        <v>1729</v>
      </c>
      <c r="H110" s="8" t="s">
        <v>1707</v>
      </c>
      <c r="I110" s="1" t="s">
        <v>1671</v>
      </c>
      <c r="L110" s="4">
        <v>44802</v>
      </c>
      <c r="M110" s="1" t="s">
        <v>19</v>
      </c>
      <c r="N110" s="1" t="s">
        <v>244</v>
      </c>
      <c r="O110" s="1" t="s">
        <v>10</v>
      </c>
    </row>
    <row r="111" spans="1:15" x14ac:dyDescent="0.3">
      <c r="A111" s="1" t="str">
        <f>HYPERLINK("https://hsdes.intel.com/resource/14013156879","14013156879")</f>
        <v>14013156879</v>
      </c>
      <c r="B111" s="1" t="s">
        <v>245</v>
      </c>
      <c r="C111" s="1" t="s">
        <v>46</v>
      </c>
      <c r="D111" s="1" t="s">
        <v>1683</v>
      </c>
      <c r="E111" s="1" t="s">
        <v>1698</v>
      </c>
      <c r="F111" s="1" t="s">
        <v>1729</v>
      </c>
      <c r="H111" s="8" t="s">
        <v>1707</v>
      </c>
      <c r="I111" s="1" t="s">
        <v>1723</v>
      </c>
      <c r="L111" s="4">
        <v>44802</v>
      </c>
      <c r="M111" s="1" t="s">
        <v>19</v>
      </c>
      <c r="N111" s="1" t="s">
        <v>246</v>
      </c>
      <c r="O111" s="1" t="s">
        <v>10</v>
      </c>
    </row>
    <row r="112" spans="1:15" x14ac:dyDescent="0.3">
      <c r="A112" s="1" t="str">
        <f>HYPERLINK("https://hsdes.intel.com/resource/14013156880","14013156880")</f>
        <v>14013156880</v>
      </c>
      <c r="B112" s="1" t="s">
        <v>247</v>
      </c>
      <c r="C112" s="1" t="s">
        <v>18</v>
      </c>
      <c r="D112" s="1" t="s">
        <v>1683</v>
      </c>
      <c r="E112" s="1" t="s">
        <v>1698</v>
      </c>
      <c r="F112" s="1" t="s">
        <v>1729</v>
      </c>
      <c r="H112" s="1" t="s">
        <v>1707</v>
      </c>
      <c r="I112" s="1" t="s">
        <v>1672</v>
      </c>
      <c r="L112" s="4">
        <v>44799</v>
      </c>
      <c r="M112" s="1" t="s">
        <v>19</v>
      </c>
      <c r="N112" s="1" t="s">
        <v>248</v>
      </c>
      <c r="O112" s="1" t="s">
        <v>10</v>
      </c>
    </row>
    <row r="113" spans="1:15" x14ac:dyDescent="0.3">
      <c r="A113" s="1" t="str">
        <f>HYPERLINK("https://hsdes.intel.com/resource/14013156883","14013156883")</f>
        <v>14013156883</v>
      </c>
      <c r="B113" s="1" t="s">
        <v>249</v>
      </c>
      <c r="C113" s="1" t="s">
        <v>18</v>
      </c>
      <c r="D113" s="1" t="s">
        <v>1683</v>
      </c>
      <c r="E113" s="1" t="s">
        <v>1698</v>
      </c>
      <c r="F113" s="1" t="s">
        <v>1729</v>
      </c>
      <c r="H113" s="1" t="s">
        <v>1707</v>
      </c>
      <c r="I113" s="1" t="s">
        <v>1718</v>
      </c>
      <c r="L113" s="4">
        <v>44798</v>
      </c>
      <c r="M113" s="1" t="s">
        <v>5</v>
      </c>
      <c r="N113" s="1" t="s">
        <v>250</v>
      </c>
      <c r="O113" s="1" t="s">
        <v>32</v>
      </c>
    </row>
    <row r="114" spans="1:15" x14ac:dyDescent="0.3">
      <c r="A114" s="1" t="str">
        <f>HYPERLINK("https://hsdes.intel.com/resource/14013156893","14013156893")</f>
        <v>14013156893</v>
      </c>
      <c r="B114" s="1" t="s">
        <v>251</v>
      </c>
      <c r="C114" s="1" t="s">
        <v>18</v>
      </c>
      <c r="D114" s="1" t="s">
        <v>1683</v>
      </c>
      <c r="E114" s="1" t="s">
        <v>1698</v>
      </c>
      <c r="F114" s="1" t="s">
        <v>1729</v>
      </c>
      <c r="H114" s="1" t="s">
        <v>1707</v>
      </c>
      <c r="I114" s="1" t="s">
        <v>1672</v>
      </c>
      <c r="L114" s="4">
        <v>44802</v>
      </c>
      <c r="M114" s="1" t="s">
        <v>19</v>
      </c>
      <c r="N114" s="1" t="s">
        <v>252</v>
      </c>
      <c r="O114" s="1" t="s">
        <v>10</v>
      </c>
    </row>
    <row r="115" spans="1:15" x14ac:dyDescent="0.3">
      <c r="A115" s="1" t="str">
        <f>HYPERLINK("https://hsdes.intel.com/resource/14013156898","14013156898")</f>
        <v>14013156898</v>
      </c>
      <c r="B115" s="1" t="s">
        <v>253</v>
      </c>
      <c r="C115" s="1" t="s">
        <v>46</v>
      </c>
      <c r="D115" s="1" t="s">
        <v>1683</v>
      </c>
      <c r="E115" s="1" t="s">
        <v>1698</v>
      </c>
      <c r="F115" s="1" t="s">
        <v>1729</v>
      </c>
      <c r="H115" s="1" t="s">
        <v>1707</v>
      </c>
      <c r="I115" s="1" t="s">
        <v>1673</v>
      </c>
      <c r="L115" s="4">
        <v>44803</v>
      </c>
      <c r="M115" s="1" t="s">
        <v>19</v>
      </c>
      <c r="N115" s="1" t="s">
        <v>254</v>
      </c>
      <c r="O115" s="1" t="s">
        <v>10</v>
      </c>
    </row>
    <row r="116" spans="1:15" x14ac:dyDescent="0.3">
      <c r="A116" s="1" t="str">
        <f>HYPERLINK("https://hsdes.intel.com/resource/14013156900","14013156900")</f>
        <v>14013156900</v>
      </c>
      <c r="B116" s="1" t="s">
        <v>255</v>
      </c>
      <c r="C116" s="1" t="s">
        <v>46</v>
      </c>
      <c r="D116" s="1" t="s">
        <v>1683</v>
      </c>
      <c r="E116" s="1" t="s">
        <v>1698</v>
      </c>
      <c r="F116" s="1" t="s">
        <v>1729</v>
      </c>
      <c r="H116" s="1" t="s">
        <v>1707</v>
      </c>
      <c r="I116" s="1" t="s">
        <v>1722</v>
      </c>
      <c r="L116" s="4">
        <v>44802</v>
      </c>
      <c r="M116" s="1" t="s">
        <v>19</v>
      </c>
      <c r="N116" s="1" t="s">
        <v>256</v>
      </c>
      <c r="O116" s="1" t="s">
        <v>10</v>
      </c>
    </row>
    <row r="117" spans="1:15" x14ac:dyDescent="0.3">
      <c r="A117" s="1" t="str">
        <f>HYPERLINK("https://hsdes.intel.com/resource/14013156903","14013156903")</f>
        <v>14013156903</v>
      </c>
      <c r="B117" s="1" t="s">
        <v>257</v>
      </c>
      <c r="C117" s="1" t="s">
        <v>46</v>
      </c>
      <c r="D117" s="1" t="s">
        <v>1683</v>
      </c>
      <c r="E117" s="1" t="s">
        <v>1698</v>
      </c>
      <c r="F117" s="1" t="s">
        <v>1729</v>
      </c>
      <c r="H117" s="1" t="s">
        <v>1707</v>
      </c>
      <c r="I117" s="1" t="s">
        <v>1722</v>
      </c>
      <c r="L117" s="4">
        <v>44802</v>
      </c>
      <c r="M117" s="1" t="s">
        <v>19</v>
      </c>
      <c r="N117" s="1" t="s">
        <v>258</v>
      </c>
      <c r="O117" s="1" t="s">
        <v>10</v>
      </c>
    </row>
    <row r="118" spans="1:15" x14ac:dyDescent="0.3">
      <c r="A118" s="1" t="str">
        <f>HYPERLINK("https://hsdes.intel.com/resource/14013156911","14013156911")</f>
        <v>14013156911</v>
      </c>
      <c r="B118" s="1" t="s">
        <v>259</v>
      </c>
      <c r="C118" s="1" t="s">
        <v>46</v>
      </c>
      <c r="D118" s="1" t="s">
        <v>1683</v>
      </c>
      <c r="E118" s="1" t="s">
        <v>1698</v>
      </c>
      <c r="F118" s="1" t="s">
        <v>1729</v>
      </c>
      <c r="H118" s="7" t="s">
        <v>1707</v>
      </c>
      <c r="I118" s="1" t="s">
        <v>1673</v>
      </c>
      <c r="L118" s="4">
        <v>44803</v>
      </c>
      <c r="M118" s="1" t="s">
        <v>19</v>
      </c>
      <c r="N118" s="1" t="s">
        <v>260</v>
      </c>
      <c r="O118" s="1" t="s">
        <v>10</v>
      </c>
    </row>
    <row r="119" spans="1:15" x14ac:dyDescent="0.3">
      <c r="A119" s="1" t="str">
        <f>HYPERLINK("https://hsdes.intel.com/resource/14013156915","14013156915")</f>
        <v>14013156915</v>
      </c>
      <c r="B119" s="1" t="s">
        <v>261</v>
      </c>
      <c r="C119" s="1" t="s">
        <v>46</v>
      </c>
      <c r="D119" s="1" t="s">
        <v>1683</v>
      </c>
      <c r="E119" s="1" t="s">
        <v>1698</v>
      </c>
      <c r="F119" s="1" t="s">
        <v>1729</v>
      </c>
      <c r="H119" s="1" t="s">
        <v>1707</v>
      </c>
      <c r="I119" s="1" t="s">
        <v>1723</v>
      </c>
      <c r="L119" s="4">
        <v>44802</v>
      </c>
      <c r="M119" s="1" t="s">
        <v>19</v>
      </c>
      <c r="N119" s="1" t="s">
        <v>262</v>
      </c>
      <c r="O119" s="1" t="s">
        <v>10</v>
      </c>
    </row>
    <row r="120" spans="1:15" x14ac:dyDescent="0.3">
      <c r="A120" s="1" t="str">
        <f>HYPERLINK("https://hsdes.intel.com/resource/14013156953","14013156953")</f>
        <v>14013156953</v>
      </c>
      <c r="B120" s="1" t="s">
        <v>263</v>
      </c>
      <c r="C120" s="1" t="s">
        <v>46</v>
      </c>
      <c r="D120" s="1" t="s">
        <v>1683</v>
      </c>
      <c r="E120" s="1" t="s">
        <v>1698</v>
      </c>
      <c r="F120" s="1" t="s">
        <v>1729</v>
      </c>
      <c r="H120" s="1" t="s">
        <v>1707</v>
      </c>
      <c r="I120" s="1" t="s">
        <v>1673</v>
      </c>
      <c r="L120" s="4">
        <v>44802</v>
      </c>
      <c r="M120" s="1" t="s">
        <v>19</v>
      </c>
      <c r="N120" s="1" t="s">
        <v>264</v>
      </c>
      <c r="O120" s="1" t="s">
        <v>10</v>
      </c>
    </row>
    <row r="121" spans="1:15" x14ac:dyDescent="0.3">
      <c r="A121" s="1" t="str">
        <f>HYPERLINK("https://hsdes.intel.com/resource/14013156955","14013156955")</f>
        <v>14013156955</v>
      </c>
      <c r="B121" s="1" t="s">
        <v>265</v>
      </c>
      <c r="C121" s="1" t="s">
        <v>18</v>
      </c>
      <c r="D121" s="1" t="s">
        <v>1684</v>
      </c>
      <c r="E121" s="1" t="s">
        <v>1698</v>
      </c>
      <c r="F121" s="1" t="s">
        <v>1729</v>
      </c>
      <c r="H121" s="1" t="s">
        <v>1707</v>
      </c>
      <c r="I121" s="1" t="s">
        <v>1671</v>
      </c>
      <c r="L121" s="4">
        <v>44802</v>
      </c>
      <c r="M121" s="1" t="s">
        <v>19</v>
      </c>
      <c r="N121" s="1" t="s">
        <v>266</v>
      </c>
      <c r="O121" s="1" t="s">
        <v>10</v>
      </c>
    </row>
    <row r="122" spans="1:15" x14ac:dyDescent="0.3">
      <c r="A122" s="1" t="str">
        <f>HYPERLINK("https://hsdes.intel.com/resource/14013156977","14013156977")</f>
        <v>14013156977</v>
      </c>
      <c r="B122" s="1" t="s">
        <v>267</v>
      </c>
      <c r="C122" s="1" t="s">
        <v>46</v>
      </c>
      <c r="D122" s="1" t="s">
        <v>1683</v>
      </c>
      <c r="E122" s="1" t="s">
        <v>1698</v>
      </c>
      <c r="F122" s="1" t="s">
        <v>1729</v>
      </c>
      <c r="H122" s="1" t="s">
        <v>1707</v>
      </c>
      <c r="I122" s="1" t="s">
        <v>1723</v>
      </c>
      <c r="L122" s="4">
        <v>44802</v>
      </c>
      <c r="M122" s="1" t="s">
        <v>19</v>
      </c>
      <c r="N122" s="1" t="s">
        <v>268</v>
      </c>
      <c r="O122" s="1" t="s">
        <v>10</v>
      </c>
    </row>
    <row r="123" spans="1:15" x14ac:dyDescent="0.3">
      <c r="A123" s="1" t="str">
        <f>HYPERLINK("https://hsdes.intel.com/resource/14013156980","14013156980")</f>
        <v>14013156980</v>
      </c>
      <c r="B123" s="1" t="s">
        <v>269</v>
      </c>
      <c r="C123" s="1" t="s">
        <v>46</v>
      </c>
      <c r="D123" s="1" t="s">
        <v>1683</v>
      </c>
      <c r="E123" s="1" t="s">
        <v>1698</v>
      </c>
      <c r="F123" s="1" t="s">
        <v>1729</v>
      </c>
      <c r="H123" s="1" t="s">
        <v>1707</v>
      </c>
      <c r="I123" s="1" t="s">
        <v>1722</v>
      </c>
      <c r="L123" s="4">
        <v>44802</v>
      </c>
      <c r="M123" s="1" t="s">
        <v>19</v>
      </c>
      <c r="N123" s="1" t="s">
        <v>270</v>
      </c>
      <c r="O123" s="1" t="s">
        <v>10</v>
      </c>
    </row>
    <row r="124" spans="1:15" x14ac:dyDescent="0.3">
      <c r="A124" s="1" t="str">
        <f>HYPERLINK("https://hsdes.intel.com/resource/14013157008","14013157008")</f>
        <v>14013157008</v>
      </c>
      <c r="B124" s="1" t="s">
        <v>271</v>
      </c>
      <c r="C124" s="1" t="s">
        <v>46</v>
      </c>
      <c r="D124" s="1" t="s">
        <v>1683</v>
      </c>
      <c r="E124" s="1" t="s">
        <v>1698</v>
      </c>
      <c r="F124" s="1" t="s">
        <v>1729</v>
      </c>
      <c r="H124" s="1" t="s">
        <v>1707</v>
      </c>
      <c r="I124" s="1" t="s">
        <v>1722</v>
      </c>
      <c r="L124" s="4">
        <v>44802</v>
      </c>
      <c r="M124" s="1" t="s">
        <v>19</v>
      </c>
      <c r="N124" s="1" t="s">
        <v>272</v>
      </c>
      <c r="O124" s="1" t="s">
        <v>10</v>
      </c>
    </row>
    <row r="125" spans="1:15" x14ac:dyDescent="0.3">
      <c r="A125" s="1" t="str">
        <f>HYPERLINK("https://hsdes.intel.com/resource/14013157009","14013157009")</f>
        <v>14013157009</v>
      </c>
      <c r="B125" s="1" t="s">
        <v>273</v>
      </c>
      <c r="C125" s="1" t="s">
        <v>46</v>
      </c>
      <c r="D125" s="1" t="s">
        <v>1683</v>
      </c>
      <c r="E125" s="1" t="s">
        <v>1698</v>
      </c>
      <c r="F125" s="1" t="s">
        <v>1729</v>
      </c>
      <c r="H125" s="1" t="s">
        <v>1707</v>
      </c>
      <c r="I125" s="1" t="s">
        <v>1722</v>
      </c>
      <c r="L125" s="4">
        <v>44802</v>
      </c>
      <c r="M125" s="1" t="s">
        <v>19</v>
      </c>
      <c r="N125" s="1" t="s">
        <v>274</v>
      </c>
      <c r="O125" s="1" t="s">
        <v>10</v>
      </c>
    </row>
    <row r="126" spans="1:15" x14ac:dyDescent="0.3">
      <c r="A126" s="1" t="str">
        <f>HYPERLINK("https://hsdes.intel.com/resource/14013157052","14013157052")</f>
        <v>14013157052</v>
      </c>
      <c r="B126" s="1" t="s">
        <v>275</v>
      </c>
      <c r="C126" s="1" t="s">
        <v>46</v>
      </c>
      <c r="D126" s="1" t="s">
        <v>1683</v>
      </c>
      <c r="E126" s="1" t="s">
        <v>1698</v>
      </c>
      <c r="F126" s="1" t="s">
        <v>1729</v>
      </c>
      <c r="H126" s="1" t="s">
        <v>1707</v>
      </c>
      <c r="I126" s="1" t="s">
        <v>1673</v>
      </c>
      <c r="L126" s="4">
        <v>44799</v>
      </c>
      <c r="M126" s="1" t="s">
        <v>19</v>
      </c>
      <c r="N126" s="1" t="s">
        <v>276</v>
      </c>
      <c r="O126" s="1" t="s">
        <v>10</v>
      </c>
    </row>
    <row r="127" spans="1:15" x14ac:dyDescent="0.3">
      <c r="A127" s="1" t="str">
        <f>HYPERLINK("https://hsdes.intel.com/resource/14013157055","14013157055")</f>
        <v>14013157055</v>
      </c>
      <c r="B127" s="1" t="s">
        <v>277</v>
      </c>
      <c r="C127" s="1" t="s">
        <v>46</v>
      </c>
      <c r="D127" s="1" t="s">
        <v>1683</v>
      </c>
      <c r="E127" s="1" t="s">
        <v>1698</v>
      </c>
      <c r="F127" s="1" t="s">
        <v>1729</v>
      </c>
      <c r="H127" s="1" t="s">
        <v>1707</v>
      </c>
      <c r="I127" s="1" t="s">
        <v>1722</v>
      </c>
      <c r="L127" s="4">
        <v>44802</v>
      </c>
      <c r="M127" s="1" t="s">
        <v>19</v>
      </c>
      <c r="N127" s="1" t="s">
        <v>278</v>
      </c>
      <c r="O127" s="1" t="s">
        <v>10</v>
      </c>
    </row>
    <row r="128" spans="1:15" x14ac:dyDescent="0.3">
      <c r="A128" s="1" t="str">
        <f>HYPERLINK("https://hsdes.intel.com/resource/14013157075","14013157075")</f>
        <v>14013157075</v>
      </c>
      <c r="B128" s="1" t="s">
        <v>279</v>
      </c>
      <c r="C128" s="1" t="s">
        <v>46</v>
      </c>
      <c r="D128" s="1" t="s">
        <v>1683</v>
      </c>
      <c r="E128" s="1" t="s">
        <v>1698</v>
      </c>
      <c r="F128" s="1" t="s">
        <v>1729</v>
      </c>
      <c r="H128" s="1" t="s">
        <v>1707</v>
      </c>
      <c r="I128" s="1" t="s">
        <v>1722</v>
      </c>
      <c r="L128" s="4">
        <v>44802</v>
      </c>
      <c r="M128" s="1" t="s">
        <v>19</v>
      </c>
      <c r="N128" s="1" t="s">
        <v>280</v>
      </c>
      <c r="O128" s="1" t="s">
        <v>10</v>
      </c>
    </row>
    <row r="129" spans="1:16" x14ac:dyDescent="0.3">
      <c r="A129" s="1" t="str">
        <f>HYPERLINK("https://hsdes.intel.com/resource/14013157085","14013157085")</f>
        <v>14013157085</v>
      </c>
      <c r="B129" s="1" t="s">
        <v>281</v>
      </c>
      <c r="C129" s="1" t="s">
        <v>46</v>
      </c>
      <c r="D129" s="1" t="s">
        <v>1683</v>
      </c>
      <c r="E129" s="1" t="s">
        <v>1698</v>
      </c>
      <c r="F129" s="1" t="s">
        <v>1729</v>
      </c>
      <c r="H129" s="1" t="s">
        <v>1707</v>
      </c>
      <c r="I129" s="1" t="s">
        <v>1671</v>
      </c>
      <c r="L129" s="4">
        <v>44802</v>
      </c>
      <c r="M129" s="1" t="s">
        <v>19</v>
      </c>
      <c r="N129" s="1" t="s">
        <v>282</v>
      </c>
      <c r="O129" s="1" t="s">
        <v>10</v>
      </c>
    </row>
    <row r="130" spans="1:16" x14ac:dyDescent="0.3">
      <c r="A130" s="1" t="str">
        <f>HYPERLINK("https://hsdes.intel.com/resource/14013157103","14013157103")</f>
        <v>14013157103</v>
      </c>
      <c r="B130" s="1" t="s">
        <v>283</v>
      </c>
      <c r="C130" s="1" t="s">
        <v>18</v>
      </c>
      <c r="D130" s="1" t="s">
        <v>1683</v>
      </c>
      <c r="E130" s="1" t="s">
        <v>1698</v>
      </c>
      <c r="F130" s="1" t="s">
        <v>1729</v>
      </c>
      <c r="H130" s="1" t="s">
        <v>1707</v>
      </c>
      <c r="I130" s="1" t="s">
        <v>1672</v>
      </c>
      <c r="L130" s="4">
        <v>44796</v>
      </c>
      <c r="M130" s="1" t="s">
        <v>5</v>
      </c>
      <c r="N130" s="1" t="s">
        <v>284</v>
      </c>
      <c r="O130" s="1" t="s">
        <v>10</v>
      </c>
    </row>
    <row r="131" spans="1:16" x14ac:dyDescent="0.3">
      <c r="A131" s="1" t="str">
        <f>HYPERLINK("https://hsdes.intel.com/resource/14013157109","14013157109")</f>
        <v>14013157109</v>
      </c>
      <c r="B131" s="1" t="s">
        <v>285</v>
      </c>
      <c r="C131" s="1" t="s">
        <v>18</v>
      </c>
      <c r="D131" s="1" t="s">
        <v>1683</v>
      </c>
      <c r="E131" s="1" t="s">
        <v>1698</v>
      </c>
      <c r="F131" s="1" t="s">
        <v>1729</v>
      </c>
      <c r="H131" s="1" t="s">
        <v>1707</v>
      </c>
      <c r="I131" s="1" t="s">
        <v>1672</v>
      </c>
      <c r="L131" s="4">
        <v>44798</v>
      </c>
      <c r="M131" s="1" t="s">
        <v>5</v>
      </c>
      <c r="N131" s="1" t="s">
        <v>286</v>
      </c>
      <c r="O131" s="1" t="s">
        <v>10</v>
      </c>
    </row>
    <row r="132" spans="1:16" x14ac:dyDescent="0.3">
      <c r="A132" s="1" t="str">
        <f>HYPERLINK("https://hsdes.intel.com/resource/14013157130","14013157130")</f>
        <v>14013157130</v>
      </c>
      <c r="B132" s="1" t="s">
        <v>287</v>
      </c>
      <c r="C132" s="1" t="s">
        <v>18</v>
      </c>
      <c r="D132" s="1" t="s">
        <v>1683</v>
      </c>
      <c r="E132" s="1" t="s">
        <v>1698</v>
      </c>
      <c r="F132" s="1" t="s">
        <v>1729</v>
      </c>
      <c r="H132" s="1" t="s">
        <v>1707</v>
      </c>
      <c r="I132" s="1" t="s">
        <v>1672</v>
      </c>
      <c r="L132" s="4">
        <v>44799</v>
      </c>
      <c r="M132" s="1" t="s">
        <v>5</v>
      </c>
      <c r="N132" s="1" t="s">
        <v>288</v>
      </c>
      <c r="O132" s="1" t="s">
        <v>10</v>
      </c>
    </row>
    <row r="133" spans="1:16" x14ac:dyDescent="0.3">
      <c r="A133" s="1" t="str">
        <f>HYPERLINK("https://hsdes.intel.com/resource/14013157133","14013157133")</f>
        <v>14013157133</v>
      </c>
      <c r="B133" s="1" t="s">
        <v>289</v>
      </c>
      <c r="C133" s="1" t="s">
        <v>18</v>
      </c>
      <c r="D133" s="1" t="s">
        <v>1683</v>
      </c>
      <c r="E133" s="1" t="s">
        <v>1698</v>
      </c>
      <c r="F133" s="1" t="s">
        <v>1729</v>
      </c>
      <c r="H133" s="1" t="s">
        <v>1707</v>
      </c>
      <c r="I133" s="1" t="s">
        <v>1672</v>
      </c>
      <c r="L133" s="4">
        <v>44799</v>
      </c>
      <c r="M133" s="1" t="s">
        <v>5</v>
      </c>
      <c r="N133" s="1" t="s">
        <v>290</v>
      </c>
      <c r="O133" s="1" t="s">
        <v>10</v>
      </c>
    </row>
    <row r="134" spans="1:16" x14ac:dyDescent="0.3">
      <c r="A134" s="1" t="str">
        <f>HYPERLINK("https://hsdes.intel.com/resource/14013157136","14013157136")</f>
        <v>14013157136</v>
      </c>
      <c r="B134" s="1" t="s">
        <v>291</v>
      </c>
      <c r="C134" s="1" t="s">
        <v>18</v>
      </c>
      <c r="D134" s="1" t="s">
        <v>1683</v>
      </c>
      <c r="E134" s="1" t="s">
        <v>1698</v>
      </c>
      <c r="F134" s="1" t="s">
        <v>1729</v>
      </c>
      <c r="H134" s="1" t="s">
        <v>1707</v>
      </c>
      <c r="I134" s="1" t="s">
        <v>1672</v>
      </c>
      <c r="L134" s="4">
        <v>44799</v>
      </c>
      <c r="M134" s="1" t="s">
        <v>5</v>
      </c>
      <c r="N134" s="1" t="s">
        <v>292</v>
      </c>
      <c r="O134" s="1" t="s">
        <v>10</v>
      </c>
    </row>
    <row r="135" spans="1:16" x14ac:dyDescent="0.3">
      <c r="A135" s="1" t="str">
        <f>HYPERLINK("https://hsdes.intel.com/resource/14013157146","14013157146")</f>
        <v>14013157146</v>
      </c>
      <c r="B135" s="1" t="s">
        <v>293</v>
      </c>
      <c r="C135" s="1" t="s">
        <v>18</v>
      </c>
      <c r="D135" s="1" t="s">
        <v>1683</v>
      </c>
      <c r="E135" s="1" t="s">
        <v>1698</v>
      </c>
      <c r="F135" s="1" t="s">
        <v>1729</v>
      </c>
      <c r="H135" s="1" t="s">
        <v>1707</v>
      </c>
      <c r="I135" s="1" t="s">
        <v>1671</v>
      </c>
      <c r="L135" s="4">
        <v>44802</v>
      </c>
      <c r="M135" s="1" t="s">
        <v>5</v>
      </c>
      <c r="N135" s="1" t="s">
        <v>294</v>
      </c>
      <c r="O135" s="1" t="s">
        <v>10</v>
      </c>
    </row>
    <row r="136" spans="1:16" x14ac:dyDescent="0.3">
      <c r="A136" s="1" t="str">
        <f>HYPERLINK("https://hsdes.intel.com/resource/14013157151","14013157151")</f>
        <v>14013157151</v>
      </c>
      <c r="B136" s="1" t="s">
        <v>295</v>
      </c>
      <c r="C136" s="1" t="s">
        <v>46</v>
      </c>
      <c r="D136" s="1" t="s">
        <v>1683</v>
      </c>
      <c r="E136" s="1" t="s">
        <v>1698</v>
      </c>
      <c r="F136" s="1" t="s">
        <v>1729</v>
      </c>
      <c r="H136" s="1" t="s">
        <v>1707</v>
      </c>
      <c r="I136" s="1" t="s">
        <v>1672</v>
      </c>
      <c r="L136" s="4">
        <v>44799</v>
      </c>
      <c r="M136" s="1" t="s">
        <v>19</v>
      </c>
      <c r="N136" s="1" t="s">
        <v>296</v>
      </c>
      <c r="O136" s="1" t="s">
        <v>10</v>
      </c>
    </row>
    <row r="137" spans="1:16" x14ac:dyDescent="0.3">
      <c r="A137" s="1" t="str">
        <f>HYPERLINK("https://hsdes.intel.com/resource/14013157153","14013157153")</f>
        <v>14013157153</v>
      </c>
      <c r="B137" s="1" t="s">
        <v>297</v>
      </c>
      <c r="C137" s="1" t="s">
        <v>46</v>
      </c>
      <c r="D137" s="1" t="s">
        <v>1683</v>
      </c>
      <c r="E137" s="1" t="s">
        <v>1698</v>
      </c>
      <c r="F137" s="1" t="s">
        <v>1729</v>
      </c>
      <c r="H137" s="1" t="s">
        <v>1707</v>
      </c>
      <c r="I137" s="1" t="s">
        <v>1672</v>
      </c>
      <c r="L137" s="4">
        <v>44799</v>
      </c>
      <c r="M137" s="1" t="s">
        <v>19</v>
      </c>
      <c r="N137" s="1" t="s">
        <v>298</v>
      </c>
      <c r="O137" s="1" t="s">
        <v>10</v>
      </c>
    </row>
    <row r="138" spans="1:16" x14ac:dyDescent="0.3">
      <c r="A138" s="1" t="str">
        <f>HYPERLINK("https://hsdes.intel.com/resource/14013157181","14013157181")</f>
        <v>14013157181</v>
      </c>
      <c r="B138" s="1" t="s">
        <v>299</v>
      </c>
      <c r="C138" s="1" t="s">
        <v>46</v>
      </c>
      <c r="D138" s="1" t="s">
        <v>1683</v>
      </c>
      <c r="E138" s="1" t="s">
        <v>1698</v>
      </c>
      <c r="F138" s="1" t="s">
        <v>1729</v>
      </c>
      <c r="H138" s="1" t="s">
        <v>1707</v>
      </c>
      <c r="I138" s="1" t="s">
        <v>1673</v>
      </c>
      <c r="L138" s="4">
        <v>44803</v>
      </c>
      <c r="M138" s="1" t="s">
        <v>19</v>
      </c>
      <c r="N138" s="1" t="s">
        <v>300</v>
      </c>
      <c r="O138" s="1" t="s">
        <v>10</v>
      </c>
    </row>
    <row r="139" spans="1:16" x14ac:dyDescent="0.3">
      <c r="A139" s="1" t="str">
        <f>HYPERLINK("https://hsdes.intel.com/resource/14013157188","14013157188")</f>
        <v>14013157188</v>
      </c>
      <c r="B139" s="1" t="s">
        <v>301</v>
      </c>
      <c r="C139" s="1" t="s">
        <v>98</v>
      </c>
      <c r="D139" s="1" t="s">
        <v>1683</v>
      </c>
      <c r="E139" s="1" t="s">
        <v>1698</v>
      </c>
      <c r="F139" s="1" t="s">
        <v>1729</v>
      </c>
      <c r="H139" s="8" t="s">
        <v>1707</v>
      </c>
      <c r="I139" s="1" t="s">
        <v>1726</v>
      </c>
      <c r="L139" s="4">
        <v>44803</v>
      </c>
      <c r="M139" s="1" t="s">
        <v>76</v>
      </c>
      <c r="N139" s="1" t="s">
        <v>302</v>
      </c>
      <c r="O139" s="1" t="s">
        <v>10</v>
      </c>
      <c r="P139" s="1" t="s">
        <v>1711</v>
      </c>
    </row>
    <row r="140" spans="1:16" x14ac:dyDescent="0.3">
      <c r="A140" s="1" t="str">
        <f>HYPERLINK("https://hsdes.intel.com/resource/14013157216","14013157216")</f>
        <v>14013157216</v>
      </c>
      <c r="B140" s="1" t="s">
        <v>303</v>
      </c>
      <c r="C140" s="1" t="s">
        <v>18</v>
      </c>
      <c r="D140" s="1" t="s">
        <v>1683</v>
      </c>
      <c r="E140" s="1" t="s">
        <v>1698</v>
      </c>
      <c r="F140" s="1" t="s">
        <v>1729</v>
      </c>
      <c r="H140" s="1" t="s">
        <v>1707</v>
      </c>
      <c r="I140" s="1" t="s">
        <v>1672</v>
      </c>
      <c r="L140" s="4">
        <v>44798</v>
      </c>
      <c r="M140" s="1" t="s">
        <v>5</v>
      </c>
      <c r="N140" s="1" t="s">
        <v>304</v>
      </c>
      <c r="O140" s="1" t="s">
        <v>10</v>
      </c>
    </row>
    <row r="141" spans="1:16" x14ac:dyDescent="0.3">
      <c r="A141" s="1" t="str">
        <f>HYPERLINK("https://hsdes.intel.com/resource/14013157222","14013157222")</f>
        <v>14013157222</v>
      </c>
      <c r="B141" s="1" t="s">
        <v>305</v>
      </c>
      <c r="C141" s="1" t="s">
        <v>18</v>
      </c>
      <c r="D141" s="1" t="s">
        <v>1683</v>
      </c>
      <c r="E141" s="1" t="s">
        <v>1698</v>
      </c>
      <c r="F141" s="1" t="s">
        <v>1729</v>
      </c>
      <c r="H141" s="1" t="s">
        <v>1707</v>
      </c>
      <c r="I141" s="1" t="s">
        <v>1672</v>
      </c>
      <c r="L141" s="4">
        <v>44796</v>
      </c>
      <c r="M141" s="1" t="s">
        <v>5</v>
      </c>
      <c r="N141" s="1" t="s">
        <v>306</v>
      </c>
      <c r="O141" s="1" t="s">
        <v>10</v>
      </c>
    </row>
    <row r="142" spans="1:16" x14ac:dyDescent="0.3">
      <c r="A142" s="1" t="str">
        <f>HYPERLINK("https://hsdes.intel.com/resource/14013157232","14013157232")</f>
        <v>14013157232</v>
      </c>
      <c r="B142" s="1" t="s">
        <v>307</v>
      </c>
      <c r="C142" s="1" t="s">
        <v>18</v>
      </c>
      <c r="D142" s="1" t="s">
        <v>1683</v>
      </c>
      <c r="E142" s="1" t="s">
        <v>1698</v>
      </c>
      <c r="F142" s="1" t="s">
        <v>1729</v>
      </c>
      <c r="H142" s="1" t="s">
        <v>1707</v>
      </c>
      <c r="I142" s="1" t="s">
        <v>1672</v>
      </c>
      <c r="L142" s="4">
        <v>44796</v>
      </c>
      <c r="M142" s="1" t="s">
        <v>5</v>
      </c>
      <c r="N142" s="1" t="s">
        <v>308</v>
      </c>
      <c r="O142" s="1" t="s">
        <v>10</v>
      </c>
    </row>
    <row r="143" spans="1:16" x14ac:dyDescent="0.3">
      <c r="A143" s="1" t="str">
        <f>HYPERLINK("https://hsdes.intel.com/resource/14013157237","14013157237")</f>
        <v>14013157237</v>
      </c>
      <c r="B143" s="1" t="s">
        <v>309</v>
      </c>
      <c r="C143" s="1" t="s">
        <v>59</v>
      </c>
      <c r="D143" s="1" t="s">
        <v>1683</v>
      </c>
      <c r="E143" s="1" t="s">
        <v>1698</v>
      </c>
      <c r="F143" s="1" t="s">
        <v>1729</v>
      </c>
      <c r="H143" s="7" t="s">
        <v>1707</v>
      </c>
      <c r="I143" s="1" t="s">
        <v>1718</v>
      </c>
      <c r="L143" s="4">
        <v>44802</v>
      </c>
      <c r="M143" s="1" t="s">
        <v>76</v>
      </c>
      <c r="N143" s="1" t="s">
        <v>310</v>
      </c>
      <c r="O143" s="1" t="s">
        <v>10</v>
      </c>
    </row>
    <row r="144" spans="1:16" x14ac:dyDescent="0.3">
      <c r="A144" s="1" t="str">
        <f>HYPERLINK("https://hsdes.intel.com/resource/14013157256","14013157256")</f>
        <v>14013157256</v>
      </c>
      <c r="B144" s="1" t="s">
        <v>311</v>
      </c>
      <c r="C144" s="1" t="s">
        <v>18</v>
      </c>
      <c r="D144" s="1" t="s">
        <v>1683</v>
      </c>
      <c r="E144" s="1" t="s">
        <v>1698</v>
      </c>
      <c r="F144" s="1" t="s">
        <v>1729</v>
      </c>
      <c r="H144" s="1" t="s">
        <v>1707</v>
      </c>
      <c r="I144" s="1" t="s">
        <v>1671</v>
      </c>
      <c r="L144" s="4">
        <v>44799</v>
      </c>
      <c r="M144" s="1" t="s">
        <v>5</v>
      </c>
      <c r="N144" s="1" t="s">
        <v>312</v>
      </c>
      <c r="O144" s="1" t="s">
        <v>10</v>
      </c>
    </row>
    <row r="145" spans="1:15" x14ac:dyDescent="0.3">
      <c r="A145" s="1" t="str">
        <f>HYPERLINK("https://hsdes.intel.com/resource/14013157270","14013157270")</f>
        <v>14013157270</v>
      </c>
      <c r="B145" s="1" t="s">
        <v>313</v>
      </c>
      <c r="C145" s="1" t="s">
        <v>115</v>
      </c>
      <c r="D145" s="1" t="s">
        <v>1683</v>
      </c>
      <c r="E145" s="1" t="s">
        <v>1698</v>
      </c>
      <c r="F145" s="1" t="s">
        <v>1729</v>
      </c>
      <c r="H145" s="1" t="s">
        <v>1707</v>
      </c>
      <c r="I145" s="1" t="s">
        <v>1672</v>
      </c>
      <c r="L145" s="4">
        <v>44802</v>
      </c>
      <c r="M145" s="1" t="s">
        <v>15</v>
      </c>
      <c r="N145" s="1" t="s">
        <v>314</v>
      </c>
      <c r="O145" s="1" t="s">
        <v>10</v>
      </c>
    </row>
    <row r="146" spans="1:15" x14ac:dyDescent="0.3">
      <c r="A146" s="1" t="str">
        <f>HYPERLINK("https://hsdes.intel.com/resource/14013157276","14013157276")</f>
        <v>14013157276</v>
      </c>
      <c r="B146" s="1" t="s">
        <v>315</v>
      </c>
      <c r="C146" s="1" t="s">
        <v>18</v>
      </c>
      <c r="D146" s="1" t="s">
        <v>1683</v>
      </c>
      <c r="E146" s="1" t="s">
        <v>1698</v>
      </c>
      <c r="F146" s="1" t="s">
        <v>1729</v>
      </c>
      <c r="H146" s="1" t="s">
        <v>1707</v>
      </c>
      <c r="I146" s="1" t="s">
        <v>1671</v>
      </c>
      <c r="L146" s="4">
        <v>44799</v>
      </c>
      <c r="M146" s="1" t="s">
        <v>5</v>
      </c>
      <c r="N146" s="1" t="s">
        <v>316</v>
      </c>
      <c r="O146" s="1" t="s">
        <v>10</v>
      </c>
    </row>
    <row r="147" spans="1:15" x14ac:dyDescent="0.3">
      <c r="A147" s="1" t="str">
        <f>HYPERLINK("https://hsdes.intel.com/resource/14013157278","14013157278")</f>
        <v>14013157278</v>
      </c>
      <c r="B147" s="1" t="s">
        <v>317</v>
      </c>
      <c r="C147" s="1" t="s">
        <v>18</v>
      </c>
      <c r="D147" s="1" t="s">
        <v>1683</v>
      </c>
      <c r="E147" s="1" t="s">
        <v>1698</v>
      </c>
      <c r="F147" s="1" t="s">
        <v>1729</v>
      </c>
      <c r="H147" s="1" t="s">
        <v>1707</v>
      </c>
      <c r="I147" s="1" t="s">
        <v>1672</v>
      </c>
      <c r="L147" s="4">
        <v>44797</v>
      </c>
      <c r="M147" s="1" t="s">
        <v>5</v>
      </c>
      <c r="N147" s="1" t="s">
        <v>318</v>
      </c>
      <c r="O147" s="1" t="s">
        <v>10</v>
      </c>
    </row>
    <row r="148" spans="1:15" x14ac:dyDescent="0.3">
      <c r="A148" s="1" t="str">
        <f>HYPERLINK("https://hsdes.intel.com/resource/14013157290","14013157290")</f>
        <v>14013157290</v>
      </c>
      <c r="B148" s="1" t="s">
        <v>319</v>
      </c>
      <c r="C148" s="1" t="s">
        <v>18</v>
      </c>
      <c r="D148" s="1" t="s">
        <v>1683</v>
      </c>
      <c r="E148" s="1" t="s">
        <v>1698</v>
      </c>
      <c r="F148" s="1" t="s">
        <v>1729</v>
      </c>
      <c r="H148" s="1" t="s">
        <v>1707</v>
      </c>
      <c r="I148" s="1" t="s">
        <v>1671</v>
      </c>
      <c r="L148" s="4">
        <v>44802</v>
      </c>
      <c r="M148" s="1" t="s">
        <v>5</v>
      </c>
      <c r="N148" s="1" t="s">
        <v>320</v>
      </c>
      <c r="O148" s="1" t="s">
        <v>10</v>
      </c>
    </row>
    <row r="149" spans="1:15" x14ac:dyDescent="0.3">
      <c r="A149" s="1" t="str">
        <f>HYPERLINK("https://hsdes.intel.com/resource/14013157301","14013157301")</f>
        <v>14013157301</v>
      </c>
      <c r="B149" s="1" t="s">
        <v>321</v>
      </c>
      <c r="C149" s="1" t="s">
        <v>46</v>
      </c>
      <c r="D149" s="1" t="s">
        <v>1683</v>
      </c>
      <c r="E149" s="1" t="s">
        <v>1698</v>
      </c>
      <c r="F149" s="1" t="s">
        <v>1729</v>
      </c>
      <c r="H149" s="1" t="s">
        <v>1707</v>
      </c>
      <c r="I149" s="1" t="s">
        <v>1671</v>
      </c>
      <c r="L149" s="4">
        <v>44798</v>
      </c>
      <c r="M149" s="1" t="s">
        <v>19</v>
      </c>
      <c r="N149" s="1" t="s">
        <v>322</v>
      </c>
      <c r="O149" s="1" t="s">
        <v>10</v>
      </c>
    </row>
    <row r="150" spans="1:15" x14ac:dyDescent="0.3">
      <c r="A150" s="1" t="str">
        <f>HYPERLINK("https://hsdes.intel.com/resource/14013157315","14013157315")</f>
        <v>14013157315</v>
      </c>
      <c r="B150" s="1" t="s">
        <v>323</v>
      </c>
      <c r="C150" s="1" t="s">
        <v>46</v>
      </c>
      <c r="D150" s="1" t="s">
        <v>1683</v>
      </c>
      <c r="E150" s="1" t="s">
        <v>1698</v>
      </c>
      <c r="F150" s="1" t="s">
        <v>1729</v>
      </c>
      <c r="H150" s="1" t="s">
        <v>1707</v>
      </c>
      <c r="I150" s="1" t="s">
        <v>1671</v>
      </c>
      <c r="L150" s="4">
        <v>44802</v>
      </c>
      <c r="M150" s="1" t="s">
        <v>19</v>
      </c>
      <c r="N150" s="1" t="s">
        <v>324</v>
      </c>
      <c r="O150" s="1" t="s">
        <v>10</v>
      </c>
    </row>
    <row r="151" spans="1:15" x14ac:dyDescent="0.3">
      <c r="A151" s="1" t="str">
        <f>HYPERLINK("https://hsdes.intel.com/resource/14013157319","14013157319")</f>
        <v>14013157319</v>
      </c>
      <c r="B151" s="1" t="s">
        <v>325</v>
      </c>
      <c r="C151" s="1" t="s">
        <v>46</v>
      </c>
      <c r="D151" s="1" t="s">
        <v>1683</v>
      </c>
      <c r="E151" s="1" t="s">
        <v>1698</v>
      </c>
      <c r="F151" s="1" t="s">
        <v>1729</v>
      </c>
      <c r="H151" s="1" t="s">
        <v>1707</v>
      </c>
      <c r="I151" s="1" t="s">
        <v>1672</v>
      </c>
      <c r="L151" s="4">
        <v>44803</v>
      </c>
      <c r="M151" s="1" t="s">
        <v>19</v>
      </c>
      <c r="N151" s="1" t="s">
        <v>326</v>
      </c>
      <c r="O151" s="1" t="s">
        <v>10</v>
      </c>
    </row>
    <row r="152" spans="1:15" x14ac:dyDescent="0.3">
      <c r="A152" s="1" t="str">
        <f>HYPERLINK("https://hsdes.intel.com/resource/14013157335","14013157335")</f>
        <v>14013157335</v>
      </c>
      <c r="B152" s="1" t="s">
        <v>327</v>
      </c>
      <c r="C152" s="1" t="s">
        <v>18</v>
      </c>
      <c r="D152" s="1" t="s">
        <v>1683</v>
      </c>
      <c r="E152" s="1" t="s">
        <v>1698</v>
      </c>
      <c r="F152" s="1" t="s">
        <v>1729</v>
      </c>
      <c r="H152" s="1" t="s">
        <v>1707</v>
      </c>
      <c r="I152" s="1" t="s">
        <v>1671</v>
      </c>
      <c r="L152" s="4">
        <v>44798</v>
      </c>
      <c r="M152" s="1" t="s">
        <v>5</v>
      </c>
      <c r="N152" s="1" t="s">
        <v>328</v>
      </c>
      <c r="O152" s="1" t="s">
        <v>10</v>
      </c>
    </row>
    <row r="153" spans="1:15" x14ac:dyDescent="0.3">
      <c r="A153" s="1" t="str">
        <f>HYPERLINK("https://hsdes.intel.com/resource/14013157343","14013157343")</f>
        <v>14013157343</v>
      </c>
      <c r="B153" s="1" t="s">
        <v>329</v>
      </c>
      <c r="C153" s="1" t="s">
        <v>46</v>
      </c>
      <c r="D153" s="1" t="s">
        <v>1683</v>
      </c>
      <c r="E153" s="1" t="s">
        <v>1698</v>
      </c>
      <c r="F153" s="1" t="s">
        <v>1729</v>
      </c>
      <c r="H153" s="7" t="s">
        <v>1707</v>
      </c>
      <c r="I153" s="1" t="s">
        <v>1718</v>
      </c>
      <c r="L153" s="4">
        <v>44802</v>
      </c>
      <c r="M153" s="1" t="s">
        <v>19</v>
      </c>
      <c r="N153" s="1" t="s">
        <v>330</v>
      </c>
      <c r="O153" s="1" t="s">
        <v>10</v>
      </c>
    </row>
    <row r="154" spans="1:15" x14ac:dyDescent="0.3">
      <c r="A154" s="1" t="str">
        <f>HYPERLINK("https://hsdes.intel.com/resource/14013157347","14013157347")</f>
        <v>14013157347</v>
      </c>
      <c r="B154" s="1" t="s">
        <v>331</v>
      </c>
      <c r="C154" s="1" t="s">
        <v>46</v>
      </c>
      <c r="D154" s="1" t="s">
        <v>1683</v>
      </c>
      <c r="E154" s="1" t="s">
        <v>1698</v>
      </c>
      <c r="F154" s="1" t="s">
        <v>1729</v>
      </c>
      <c r="H154" s="1" t="s">
        <v>1707</v>
      </c>
      <c r="I154" s="1" t="s">
        <v>1672</v>
      </c>
      <c r="L154" s="4">
        <v>44802</v>
      </c>
      <c r="M154" s="1" t="s">
        <v>19</v>
      </c>
      <c r="N154" s="1" t="s">
        <v>332</v>
      </c>
      <c r="O154" s="1" t="s">
        <v>10</v>
      </c>
    </row>
    <row r="155" spans="1:15" x14ac:dyDescent="0.3">
      <c r="A155" s="1" t="str">
        <f>HYPERLINK("https://hsdes.intel.com/resource/14013157360","14013157360")</f>
        <v>14013157360</v>
      </c>
      <c r="B155" s="1" t="s">
        <v>333</v>
      </c>
      <c r="C155" s="1" t="s">
        <v>46</v>
      </c>
      <c r="D155" s="1" t="s">
        <v>1683</v>
      </c>
      <c r="E155" s="1" t="s">
        <v>1698</v>
      </c>
      <c r="F155" s="1" t="s">
        <v>1729</v>
      </c>
      <c r="H155" s="1" t="s">
        <v>1707</v>
      </c>
      <c r="I155" s="1" t="s">
        <v>1671</v>
      </c>
      <c r="L155" s="4">
        <v>44803</v>
      </c>
      <c r="M155" s="1" t="s">
        <v>19</v>
      </c>
      <c r="N155" s="1" t="s">
        <v>334</v>
      </c>
      <c r="O155" s="1" t="s">
        <v>10</v>
      </c>
    </row>
    <row r="156" spans="1:15" x14ac:dyDescent="0.3">
      <c r="A156" s="1" t="str">
        <f>HYPERLINK("https://hsdes.intel.com/resource/14013157437","14013157437")</f>
        <v>14013157437</v>
      </c>
      <c r="B156" s="1" t="s">
        <v>335</v>
      </c>
      <c r="C156" s="1" t="s">
        <v>46</v>
      </c>
      <c r="D156" s="1" t="s">
        <v>1683</v>
      </c>
      <c r="E156" s="1" t="s">
        <v>1698</v>
      </c>
      <c r="F156" s="1" t="s">
        <v>1729</v>
      </c>
      <c r="H156" s="4" t="s">
        <v>1707</v>
      </c>
      <c r="I156" s="1" t="s">
        <v>1672</v>
      </c>
      <c r="L156" s="4">
        <v>44798</v>
      </c>
      <c r="M156" s="1" t="s">
        <v>19</v>
      </c>
      <c r="N156" s="1" t="s">
        <v>336</v>
      </c>
      <c r="O156" s="1" t="s">
        <v>10</v>
      </c>
    </row>
    <row r="157" spans="1:15" x14ac:dyDescent="0.3">
      <c r="A157" s="1" t="str">
        <f>HYPERLINK("https://hsdes.intel.com/resource/14013157449","14013157449")</f>
        <v>14013157449</v>
      </c>
      <c r="B157" s="1" t="s">
        <v>337</v>
      </c>
      <c r="C157" s="1" t="s">
        <v>18</v>
      </c>
      <c r="D157" s="1" t="s">
        <v>1683</v>
      </c>
      <c r="E157" s="1" t="s">
        <v>1698</v>
      </c>
      <c r="F157" s="1" t="s">
        <v>1729</v>
      </c>
      <c r="H157" s="1" t="s">
        <v>1707</v>
      </c>
      <c r="I157" s="1" t="s">
        <v>1671</v>
      </c>
      <c r="L157" s="4">
        <v>44798</v>
      </c>
      <c r="M157" s="1" t="s">
        <v>5</v>
      </c>
      <c r="N157" s="1" t="s">
        <v>338</v>
      </c>
      <c r="O157" s="1" t="s">
        <v>7</v>
      </c>
    </row>
    <row r="158" spans="1:15" x14ac:dyDescent="0.3">
      <c r="A158" s="1" t="str">
        <f>HYPERLINK("https://hsdes.intel.com/resource/14013157450","14013157450")</f>
        <v>14013157450</v>
      </c>
      <c r="B158" s="1" t="s">
        <v>339</v>
      </c>
      <c r="C158" s="1" t="s">
        <v>18</v>
      </c>
      <c r="D158" s="1" t="s">
        <v>1683</v>
      </c>
      <c r="E158" s="1" t="s">
        <v>1698</v>
      </c>
      <c r="F158" s="1" t="s">
        <v>1729</v>
      </c>
      <c r="H158" s="1" t="s">
        <v>1707</v>
      </c>
      <c r="I158" s="1" t="s">
        <v>1671</v>
      </c>
      <c r="L158" s="4">
        <v>44798</v>
      </c>
      <c r="M158" s="1" t="s">
        <v>5</v>
      </c>
      <c r="N158" s="1" t="s">
        <v>340</v>
      </c>
      <c r="O158" s="1" t="s">
        <v>7</v>
      </c>
    </row>
    <row r="159" spans="1:15" x14ac:dyDescent="0.3">
      <c r="A159" s="1" t="str">
        <f>HYPERLINK("https://hsdes.intel.com/resource/14013157452","14013157452")</f>
        <v>14013157452</v>
      </c>
      <c r="B159" s="1" t="s">
        <v>341</v>
      </c>
      <c r="C159" s="1" t="s">
        <v>18</v>
      </c>
      <c r="D159" s="1" t="s">
        <v>1683</v>
      </c>
      <c r="E159" s="1" t="s">
        <v>1698</v>
      </c>
      <c r="F159" s="1" t="s">
        <v>1729</v>
      </c>
      <c r="H159" s="1" t="s">
        <v>1707</v>
      </c>
      <c r="I159" s="1" t="s">
        <v>1721</v>
      </c>
      <c r="L159" s="4">
        <v>44802</v>
      </c>
      <c r="M159" s="1" t="s">
        <v>5</v>
      </c>
      <c r="N159" s="1" t="s">
        <v>342</v>
      </c>
      <c r="O159" s="1" t="s">
        <v>7</v>
      </c>
    </row>
    <row r="160" spans="1:15" x14ac:dyDescent="0.3">
      <c r="A160" s="1" t="str">
        <f>HYPERLINK("https://hsdes.intel.com/resource/14013157454","14013157454")</f>
        <v>14013157454</v>
      </c>
      <c r="B160" s="1" t="s">
        <v>343</v>
      </c>
      <c r="C160" s="1" t="s">
        <v>18</v>
      </c>
      <c r="D160" s="1" t="s">
        <v>1683</v>
      </c>
      <c r="E160" s="1" t="s">
        <v>1698</v>
      </c>
      <c r="F160" s="1" t="s">
        <v>1729</v>
      </c>
      <c r="H160" s="1" t="s">
        <v>1707</v>
      </c>
      <c r="I160" s="1" t="s">
        <v>1672</v>
      </c>
      <c r="L160" s="4">
        <v>44796</v>
      </c>
      <c r="M160" s="1" t="s">
        <v>5</v>
      </c>
      <c r="N160" s="1" t="s">
        <v>344</v>
      </c>
      <c r="O160" s="1" t="s">
        <v>10</v>
      </c>
    </row>
    <row r="161" spans="1:15" x14ac:dyDescent="0.3">
      <c r="A161" s="1" t="str">
        <f>HYPERLINK("https://hsdes.intel.com/resource/14013157476","14013157476")</f>
        <v>14013157476</v>
      </c>
      <c r="B161" s="1" t="s">
        <v>345</v>
      </c>
      <c r="C161" s="1" t="s">
        <v>46</v>
      </c>
      <c r="D161" s="1" t="s">
        <v>1684</v>
      </c>
      <c r="E161" s="1" t="s">
        <v>1698</v>
      </c>
      <c r="F161" s="1" t="s">
        <v>1729</v>
      </c>
      <c r="H161" s="1" t="s">
        <v>1707</v>
      </c>
      <c r="I161" s="1" t="s">
        <v>1672</v>
      </c>
      <c r="L161" s="4">
        <v>44796</v>
      </c>
      <c r="M161" s="1" t="s">
        <v>19</v>
      </c>
      <c r="N161" s="1" t="s">
        <v>346</v>
      </c>
      <c r="O161" s="1" t="s">
        <v>10</v>
      </c>
    </row>
    <row r="162" spans="1:15" x14ac:dyDescent="0.3">
      <c r="A162" s="1" t="str">
        <f>HYPERLINK("https://hsdes.intel.com/resource/14013157506","14013157506")</f>
        <v>14013157506</v>
      </c>
      <c r="B162" s="1" t="s">
        <v>347</v>
      </c>
      <c r="C162" s="1" t="s">
        <v>46</v>
      </c>
      <c r="D162" s="1" t="s">
        <v>1683</v>
      </c>
      <c r="E162" s="1" t="s">
        <v>1698</v>
      </c>
      <c r="F162" s="1" t="s">
        <v>1729</v>
      </c>
      <c r="H162" s="1" t="s">
        <v>1707</v>
      </c>
      <c r="I162" s="1" t="s">
        <v>1672</v>
      </c>
      <c r="L162" s="4">
        <v>44798</v>
      </c>
      <c r="M162" s="1" t="s">
        <v>19</v>
      </c>
      <c r="N162" s="1" t="s">
        <v>348</v>
      </c>
      <c r="O162" s="1" t="s">
        <v>10</v>
      </c>
    </row>
    <row r="163" spans="1:15" x14ac:dyDescent="0.3">
      <c r="A163" s="1" t="str">
        <f>HYPERLINK("https://hsdes.intel.com/resource/14013157512","14013157512")</f>
        <v>14013157512</v>
      </c>
      <c r="B163" s="1" t="s">
        <v>349</v>
      </c>
      <c r="C163" s="1" t="s">
        <v>46</v>
      </c>
      <c r="D163" s="1" t="s">
        <v>1683</v>
      </c>
      <c r="E163" s="1" t="s">
        <v>1698</v>
      </c>
      <c r="F163" s="1" t="s">
        <v>1729</v>
      </c>
      <c r="H163" s="1" t="s">
        <v>1707</v>
      </c>
      <c r="I163" s="1" t="s">
        <v>1672</v>
      </c>
      <c r="J163" s="4"/>
      <c r="K163" s="1" t="s">
        <v>1676</v>
      </c>
      <c r="L163" s="4">
        <v>44803</v>
      </c>
      <c r="M163" s="1" t="s">
        <v>19</v>
      </c>
      <c r="N163" s="1" t="s">
        <v>350</v>
      </c>
      <c r="O163" s="1" t="s">
        <v>10</v>
      </c>
    </row>
    <row r="164" spans="1:15" x14ac:dyDescent="0.3">
      <c r="A164" s="1" t="str">
        <f>HYPERLINK("https://hsdes.intel.com/resource/14013157514","14013157514")</f>
        <v>14013157514</v>
      </c>
      <c r="B164" s="1" t="s">
        <v>351</v>
      </c>
      <c r="C164" s="1" t="s">
        <v>46</v>
      </c>
      <c r="D164" s="1" t="s">
        <v>1683</v>
      </c>
      <c r="E164" s="1" t="s">
        <v>1698</v>
      </c>
      <c r="F164" s="1" t="s">
        <v>1729</v>
      </c>
      <c r="H164" s="1" t="s">
        <v>1707</v>
      </c>
      <c r="I164" s="1" t="s">
        <v>1721</v>
      </c>
      <c r="L164" s="4">
        <v>44802</v>
      </c>
      <c r="M164" s="1" t="s">
        <v>19</v>
      </c>
      <c r="N164" s="1" t="s">
        <v>352</v>
      </c>
      <c r="O164" s="1" t="s">
        <v>10</v>
      </c>
    </row>
    <row r="165" spans="1:15" x14ac:dyDescent="0.3">
      <c r="A165" s="1" t="str">
        <f>HYPERLINK("https://hsdes.intel.com/resource/14013157520","14013157520")</f>
        <v>14013157520</v>
      </c>
      <c r="B165" s="1" t="s">
        <v>353</v>
      </c>
      <c r="C165" s="1" t="s">
        <v>46</v>
      </c>
      <c r="D165" s="1" t="s">
        <v>1683</v>
      </c>
      <c r="E165" s="1" t="s">
        <v>1698</v>
      </c>
      <c r="F165" s="1" t="s">
        <v>1729</v>
      </c>
      <c r="H165" s="1" t="s">
        <v>1707</v>
      </c>
      <c r="I165" s="1" t="s">
        <v>1672</v>
      </c>
      <c r="L165" s="4">
        <v>44798</v>
      </c>
      <c r="M165" s="1" t="s">
        <v>19</v>
      </c>
      <c r="N165" s="1" t="s">
        <v>354</v>
      </c>
      <c r="O165" s="1" t="s">
        <v>10</v>
      </c>
    </row>
    <row r="166" spans="1:15" x14ac:dyDescent="0.3">
      <c r="A166" s="1" t="str">
        <f>HYPERLINK("https://hsdes.intel.com/resource/14013157529","14013157529")</f>
        <v>14013157529</v>
      </c>
      <c r="B166" s="1" t="s">
        <v>355</v>
      </c>
      <c r="C166" s="1" t="s">
        <v>46</v>
      </c>
      <c r="D166" s="1" t="s">
        <v>1683</v>
      </c>
      <c r="E166" s="1" t="s">
        <v>1698</v>
      </c>
      <c r="F166" s="1" t="s">
        <v>1729</v>
      </c>
      <c r="H166" s="1" t="s">
        <v>1707</v>
      </c>
      <c r="I166" s="1" t="s">
        <v>1671</v>
      </c>
      <c r="L166" s="4">
        <v>44798</v>
      </c>
      <c r="M166" s="1" t="s">
        <v>19</v>
      </c>
      <c r="N166" s="1" t="s">
        <v>356</v>
      </c>
      <c r="O166" s="1" t="s">
        <v>10</v>
      </c>
    </row>
    <row r="167" spans="1:15" x14ac:dyDescent="0.3">
      <c r="A167" s="12" t="str">
        <f>HYPERLINK("https://hsdes.intel.com/resource/14013157531","14013157531")</f>
        <v>14013157531</v>
      </c>
      <c r="B167" s="1" t="s">
        <v>357</v>
      </c>
      <c r="C167" s="1" t="s">
        <v>46</v>
      </c>
      <c r="D167" s="1" t="s">
        <v>1683</v>
      </c>
      <c r="E167" s="1" t="s">
        <v>1698</v>
      </c>
      <c r="F167" s="1" t="s">
        <v>1729</v>
      </c>
      <c r="H167" s="1" t="s">
        <v>1707</v>
      </c>
      <c r="I167" s="1" t="s">
        <v>1672</v>
      </c>
      <c r="L167" s="4">
        <v>44798</v>
      </c>
      <c r="M167" s="1" t="s">
        <v>19</v>
      </c>
      <c r="N167" s="1" t="s">
        <v>358</v>
      </c>
      <c r="O167" s="1" t="s">
        <v>10</v>
      </c>
    </row>
    <row r="168" spans="1:15" x14ac:dyDescent="0.3">
      <c r="A168" s="1" t="str">
        <f>HYPERLINK("https://hsdes.intel.com/resource/14013157550","14013157550")</f>
        <v>14013157550</v>
      </c>
      <c r="B168" s="1" t="s">
        <v>359</v>
      </c>
      <c r="C168" s="1" t="s">
        <v>46</v>
      </c>
      <c r="D168" s="1" t="s">
        <v>1683</v>
      </c>
      <c r="E168" s="1" t="s">
        <v>1698</v>
      </c>
      <c r="F168" s="1" t="s">
        <v>1729</v>
      </c>
      <c r="H168" s="1" t="s">
        <v>1707</v>
      </c>
      <c r="I168" s="1" t="s">
        <v>1672</v>
      </c>
      <c r="L168" s="4">
        <v>44802</v>
      </c>
      <c r="M168" s="1" t="s">
        <v>19</v>
      </c>
      <c r="N168" s="1" t="s">
        <v>360</v>
      </c>
      <c r="O168" s="1" t="s">
        <v>10</v>
      </c>
    </row>
    <row r="169" spans="1:15" x14ac:dyDescent="0.3">
      <c r="A169" s="1" t="str">
        <f>HYPERLINK("https://hsdes.intel.com/resource/14013157556","14013157556")</f>
        <v>14013157556</v>
      </c>
      <c r="B169" s="1" t="s">
        <v>361</v>
      </c>
      <c r="C169" s="1" t="s">
        <v>46</v>
      </c>
      <c r="D169" s="1" t="s">
        <v>1683</v>
      </c>
      <c r="E169" s="1" t="s">
        <v>1698</v>
      </c>
      <c r="F169" s="1" t="s">
        <v>1729</v>
      </c>
      <c r="H169" s="1" t="s">
        <v>1707</v>
      </c>
      <c r="I169" s="1" t="s">
        <v>1672</v>
      </c>
      <c r="L169" s="4">
        <v>44802</v>
      </c>
      <c r="M169" s="1" t="s">
        <v>19</v>
      </c>
      <c r="N169" s="1" t="s">
        <v>362</v>
      </c>
      <c r="O169" s="1" t="s">
        <v>10</v>
      </c>
    </row>
    <row r="170" spans="1:15" x14ac:dyDescent="0.3">
      <c r="A170" s="1" t="str">
        <f>HYPERLINK("https://hsdes.intel.com/resource/14013157558","14013157558")</f>
        <v>14013157558</v>
      </c>
      <c r="B170" s="1" t="s">
        <v>363</v>
      </c>
      <c r="C170" s="1" t="s">
        <v>18</v>
      </c>
      <c r="D170" s="1" t="s">
        <v>1683</v>
      </c>
      <c r="E170" s="1" t="s">
        <v>1698</v>
      </c>
      <c r="F170" s="1" t="s">
        <v>1729</v>
      </c>
      <c r="H170" s="1" t="s">
        <v>1707</v>
      </c>
      <c r="I170" s="1" t="s">
        <v>1726</v>
      </c>
      <c r="L170" s="4">
        <v>44803</v>
      </c>
      <c r="M170" s="1" t="s">
        <v>5</v>
      </c>
      <c r="N170" s="1" t="s">
        <v>364</v>
      </c>
      <c r="O170" s="1" t="s">
        <v>7</v>
      </c>
    </row>
    <row r="171" spans="1:15" x14ac:dyDescent="0.3">
      <c r="A171" s="1" t="str">
        <f>HYPERLINK("https://hsdes.intel.com/resource/14013157584","14013157584")</f>
        <v>14013157584</v>
      </c>
      <c r="B171" s="1" t="s">
        <v>365</v>
      </c>
      <c r="C171" s="1" t="s">
        <v>14</v>
      </c>
      <c r="D171" s="1" t="s">
        <v>1683</v>
      </c>
      <c r="E171" s="1" t="s">
        <v>1698</v>
      </c>
      <c r="F171" s="1" t="s">
        <v>1729</v>
      </c>
      <c r="H171" s="7" t="s">
        <v>1707</v>
      </c>
      <c r="I171" s="1" t="s">
        <v>1672</v>
      </c>
      <c r="L171" s="4">
        <v>44798</v>
      </c>
      <c r="M171" s="1" t="s">
        <v>15</v>
      </c>
      <c r="N171" s="1" t="s">
        <v>366</v>
      </c>
      <c r="O171" s="1" t="s">
        <v>10</v>
      </c>
    </row>
    <row r="172" spans="1:15" x14ac:dyDescent="0.3">
      <c r="A172" s="1" t="str">
        <f>HYPERLINK("https://hsdes.intel.com/resource/14013157667","14013157667")</f>
        <v>14013157667</v>
      </c>
      <c r="B172" s="1" t="s">
        <v>367</v>
      </c>
      <c r="C172" s="1" t="s">
        <v>368</v>
      </c>
      <c r="D172" s="1" t="s">
        <v>1683</v>
      </c>
      <c r="E172" s="1" t="s">
        <v>1698</v>
      </c>
      <c r="F172" s="1" t="s">
        <v>1729</v>
      </c>
      <c r="H172" s="1" t="s">
        <v>1674</v>
      </c>
      <c r="I172" s="1" t="s">
        <v>1674</v>
      </c>
      <c r="M172" s="1" t="s">
        <v>19</v>
      </c>
      <c r="N172" s="1" t="s">
        <v>369</v>
      </c>
      <c r="O172" s="1" t="s">
        <v>10</v>
      </c>
    </row>
    <row r="173" spans="1:15" x14ac:dyDescent="0.3">
      <c r="A173" s="1" t="str">
        <f>HYPERLINK("https://hsdes.intel.com/resource/14013157670","14013157670")</f>
        <v>14013157670</v>
      </c>
      <c r="B173" s="1" t="s">
        <v>370</v>
      </c>
      <c r="C173" s="1" t="s">
        <v>115</v>
      </c>
      <c r="D173" s="1" t="s">
        <v>1683</v>
      </c>
      <c r="E173" s="1" t="s">
        <v>1698</v>
      </c>
      <c r="F173" s="1" t="s">
        <v>1729</v>
      </c>
      <c r="H173" s="1" t="s">
        <v>1707</v>
      </c>
      <c r="I173" s="1" t="s">
        <v>1673</v>
      </c>
      <c r="L173" s="4">
        <v>44802</v>
      </c>
      <c r="M173" s="1" t="s">
        <v>15</v>
      </c>
      <c r="N173" s="1" t="s">
        <v>371</v>
      </c>
      <c r="O173" s="1" t="s">
        <v>7</v>
      </c>
    </row>
    <row r="174" spans="1:15" x14ac:dyDescent="0.3">
      <c r="A174" s="1" t="str">
        <f>HYPERLINK("https://hsdes.intel.com/resource/14013157672","14013157672")</f>
        <v>14013157672</v>
      </c>
      <c r="B174" s="1" t="s">
        <v>372</v>
      </c>
      <c r="C174" s="1" t="s">
        <v>46</v>
      </c>
      <c r="D174" s="1" t="s">
        <v>1683</v>
      </c>
      <c r="E174" s="1" t="s">
        <v>1698</v>
      </c>
      <c r="F174" s="1" t="s">
        <v>1729</v>
      </c>
      <c r="H174" s="1" t="s">
        <v>1707</v>
      </c>
      <c r="I174" s="1" t="s">
        <v>1671</v>
      </c>
      <c r="L174" s="4">
        <v>44797</v>
      </c>
      <c r="M174" s="1" t="s">
        <v>19</v>
      </c>
      <c r="N174" s="1" t="s">
        <v>373</v>
      </c>
      <c r="O174" s="1" t="s">
        <v>10</v>
      </c>
    </row>
    <row r="175" spans="1:15" x14ac:dyDescent="0.3">
      <c r="A175" s="1" t="str">
        <f>HYPERLINK("https://hsdes.intel.com/resource/14013157677","14013157677")</f>
        <v>14013157677</v>
      </c>
      <c r="B175" s="1" t="s">
        <v>374</v>
      </c>
      <c r="C175" s="1" t="s">
        <v>46</v>
      </c>
      <c r="D175" s="1" t="s">
        <v>1683</v>
      </c>
      <c r="E175" s="1" t="s">
        <v>1698</v>
      </c>
      <c r="F175" s="1" t="s">
        <v>1729</v>
      </c>
      <c r="H175" s="1" t="s">
        <v>1707</v>
      </c>
      <c r="I175" s="1" t="s">
        <v>1672</v>
      </c>
      <c r="L175" s="4">
        <v>44798</v>
      </c>
      <c r="M175" s="1" t="s">
        <v>19</v>
      </c>
      <c r="N175" s="1" t="s">
        <v>375</v>
      </c>
      <c r="O175" s="1" t="s">
        <v>10</v>
      </c>
    </row>
    <row r="176" spans="1:15" x14ac:dyDescent="0.3">
      <c r="A176" s="1" t="str">
        <f>HYPERLINK("https://hsdes.intel.com/resource/14013157779","14013157779")</f>
        <v>14013157779</v>
      </c>
      <c r="B176" s="1" t="s">
        <v>376</v>
      </c>
      <c r="C176" s="1" t="s">
        <v>46</v>
      </c>
      <c r="D176" s="1" t="s">
        <v>1683</v>
      </c>
      <c r="E176" s="1" t="s">
        <v>1698</v>
      </c>
      <c r="F176" s="1" t="s">
        <v>1729</v>
      </c>
      <c r="H176" s="1" t="s">
        <v>1707</v>
      </c>
      <c r="I176" s="1" t="s">
        <v>1718</v>
      </c>
      <c r="L176" s="4">
        <v>44798</v>
      </c>
      <c r="M176" s="1" t="s">
        <v>19</v>
      </c>
      <c r="N176" s="1" t="s">
        <v>377</v>
      </c>
      <c r="O176" s="1" t="s">
        <v>10</v>
      </c>
    </row>
    <row r="177" spans="1:15" x14ac:dyDescent="0.3">
      <c r="A177" s="1" t="str">
        <f>HYPERLINK("https://hsdes.intel.com/resource/14013157781","14013157781")</f>
        <v>14013157781</v>
      </c>
      <c r="B177" s="1" t="s">
        <v>378</v>
      </c>
      <c r="C177" s="1" t="s">
        <v>98</v>
      </c>
      <c r="D177" s="1" t="s">
        <v>1683</v>
      </c>
      <c r="E177" s="1" t="s">
        <v>1698</v>
      </c>
      <c r="F177" s="1" t="s">
        <v>1729</v>
      </c>
      <c r="H177" s="1" t="s">
        <v>1707</v>
      </c>
      <c r="I177" s="1" t="s">
        <v>1672</v>
      </c>
      <c r="L177" s="4">
        <v>44798</v>
      </c>
      <c r="M177" s="1" t="s">
        <v>76</v>
      </c>
      <c r="N177" s="1" t="s">
        <v>379</v>
      </c>
      <c r="O177" s="1" t="s">
        <v>10</v>
      </c>
    </row>
    <row r="178" spans="1:15" x14ac:dyDescent="0.3">
      <c r="A178" s="1" t="str">
        <f>HYPERLINK("https://hsdes.intel.com/resource/14013157801","14013157801")</f>
        <v>14013157801</v>
      </c>
      <c r="B178" s="1" t="s">
        <v>380</v>
      </c>
      <c r="C178" s="1" t="s">
        <v>46</v>
      </c>
      <c r="D178" s="1" t="s">
        <v>1683</v>
      </c>
      <c r="E178" s="1" t="s">
        <v>1698</v>
      </c>
      <c r="F178" s="1" t="s">
        <v>1729</v>
      </c>
      <c r="H178" s="1" t="s">
        <v>1707</v>
      </c>
      <c r="I178" s="1" t="s">
        <v>1718</v>
      </c>
      <c r="L178" s="4">
        <v>44798</v>
      </c>
      <c r="M178" s="1" t="s">
        <v>19</v>
      </c>
      <c r="N178" s="1" t="s">
        <v>381</v>
      </c>
      <c r="O178" s="1" t="s">
        <v>10</v>
      </c>
    </row>
    <row r="179" spans="1:15" x14ac:dyDescent="0.3">
      <c r="A179" s="1" t="str">
        <f>HYPERLINK("https://hsdes.intel.com/resource/14013157811","14013157811")</f>
        <v>14013157811</v>
      </c>
      <c r="B179" s="1" t="s">
        <v>382</v>
      </c>
      <c r="C179" s="1" t="s">
        <v>46</v>
      </c>
      <c r="D179" s="1" t="s">
        <v>1683</v>
      </c>
      <c r="E179" s="1" t="s">
        <v>1698</v>
      </c>
      <c r="F179" s="1" t="s">
        <v>1729</v>
      </c>
      <c r="H179" s="1" t="s">
        <v>1707</v>
      </c>
      <c r="I179" s="1" t="s">
        <v>1718</v>
      </c>
      <c r="L179" s="4">
        <v>44799</v>
      </c>
      <c r="M179" s="1" t="s">
        <v>19</v>
      </c>
      <c r="N179" s="1" t="s">
        <v>383</v>
      </c>
      <c r="O179" s="1" t="s">
        <v>10</v>
      </c>
    </row>
    <row r="180" spans="1:15" x14ac:dyDescent="0.3">
      <c r="A180" s="1" t="str">
        <f>HYPERLINK("https://hsdes.intel.com/resource/14013157822","14013157822")</f>
        <v>14013157822</v>
      </c>
      <c r="B180" s="1" t="s">
        <v>384</v>
      </c>
      <c r="C180" s="1" t="s">
        <v>46</v>
      </c>
      <c r="D180" s="1" t="s">
        <v>1683</v>
      </c>
      <c r="E180" s="1" t="s">
        <v>1698</v>
      </c>
      <c r="F180" s="1" t="s">
        <v>1729</v>
      </c>
      <c r="H180" s="1" t="s">
        <v>1707</v>
      </c>
      <c r="I180" s="1" t="s">
        <v>1672</v>
      </c>
      <c r="L180" s="4">
        <v>44803</v>
      </c>
      <c r="M180" s="1" t="s">
        <v>19</v>
      </c>
      <c r="N180" s="4"/>
      <c r="O180" s="1" t="s">
        <v>10</v>
      </c>
    </row>
    <row r="181" spans="1:15" x14ac:dyDescent="0.3">
      <c r="A181" s="1" t="str">
        <f>HYPERLINK("https://hsdes.intel.com/resource/14013157826","14013157826")</f>
        <v>14013157826</v>
      </c>
      <c r="B181" s="1" t="s">
        <v>385</v>
      </c>
      <c r="C181" s="1" t="s">
        <v>118</v>
      </c>
      <c r="D181" s="1" t="s">
        <v>1684</v>
      </c>
      <c r="E181" s="1" t="s">
        <v>1698</v>
      </c>
      <c r="F181" s="1" t="s">
        <v>1729</v>
      </c>
      <c r="H181" s="1" t="s">
        <v>1674</v>
      </c>
      <c r="I181" s="1" t="s">
        <v>1674</v>
      </c>
      <c r="M181" s="1" t="s">
        <v>19</v>
      </c>
      <c r="N181" s="1" t="s">
        <v>386</v>
      </c>
      <c r="O181" s="1" t="s">
        <v>32</v>
      </c>
    </row>
    <row r="182" spans="1:15" x14ac:dyDescent="0.3">
      <c r="A182" s="1" t="str">
        <f>HYPERLINK("https://hsdes.intel.com/resource/14013157922","14013157922")</f>
        <v>14013157922</v>
      </c>
      <c r="B182" s="1" t="s">
        <v>387</v>
      </c>
      <c r="C182" s="1" t="s">
        <v>46</v>
      </c>
      <c r="D182" s="1" t="s">
        <v>1683</v>
      </c>
      <c r="E182" s="1" t="s">
        <v>1698</v>
      </c>
      <c r="F182" s="1" t="s">
        <v>1729</v>
      </c>
      <c r="H182" s="1" t="s">
        <v>1707</v>
      </c>
      <c r="I182" s="1" t="s">
        <v>1718</v>
      </c>
      <c r="L182" s="4">
        <v>44798</v>
      </c>
      <c r="M182" s="1" t="s">
        <v>19</v>
      </c>
      <c r="N182" s="1" t="s">
        <v>388</v>
      </c>
      <c r="O182" s="1" t="s">
        <v>10</v>
      </c>
    </row>
    <row r="183" spans="1:15" x14ac:dyDescent="0.3">
      <c r="A183" s="1" t="str">
        <f>HYPERLINK("https://hsdes.intel.com/resource/14013157948","14013157948")</f>
        <v>14013157948</v>
      </c>
      <c r="B183" s="1" t="s">
        <v>389</v>
      </c>
      <c r="C183" s="1" t="s">
        <v>59</v>
      </c>
      <c r="D183" s="1" t="s">
        <v>1683</v>
      </c>
      <c r="E183" s="1" t="s">
        <v>1698</v>
      </c>
      <c r="F183" s="1" t="s">
        <v>1729</v>
      </c>
      <c r="H183" s="1" t="s">
        <v>1707</v>
      </c>
      <c r="I183" s="1" t="s">
        <v>1718</v>
      </c>
      <c r="L183" s="4">
        <v>44799</v>
      </c>
      <c r="M183" s="1" t="s">
        <v>15</v>
      </c>
      <c r="N183" s="1" t="s">
        <v>390</v>
      </c>
      <c r="O183" s="1" t="s">
        <v>10</v>
      </c>
    </row>
    <row r="184" spans="1:15" x14ac:dyDescent="0.3">
      <c r="A184" s="1" t="str">
        <f>HYPERLINK("https://hsdes.intel.com/resource/14013158076","14013158076")</f>
        <v>14013158076</v>
      </c>
      <c r="B184" s="1" t="s">
        <v>391</v>
      </c>
      <c r="C184" s="1" t="s">
        <v>4</v>
      </c>
      <c r="D184" s="1" t="s">
        <v>1683</v>
      </c>
      <c r="E184" s="1" t="s">
        <v>1698</v>
      </c>
      <c r="F184" s="1" t="s">
        <v>1729</v>
      </c>
      <c r="H184" s="1" t="s">
        <v>1707</v>
      </c>
      <c r="I184" s="1" t="s">
        <v>1718</v>
      </c>
      <c r="L184" s="4">
        <v>44799</v>
      </c>
      <c r="M184" s="1" t="s">
        <v>5</v>
      </c>
      <c r="N184" s="1" t="s">
        <v>392</v>
      </c>
      <c r="O184" s="1" t="s">
        <v>10</v>
      </c>
    </row>
    <row r="185" spans="1:15" x14ac:dyDescent="0.3">
      <c r="A185" s="1" t="str">
        <f>HYPERLINK("https://hsdes.intel.com/resource/14013158089","14013158089")</f>
        <v>14013158089</v>
      </c>
      <c r="B185" s="1" t="s">
        <v>393</v>
      </c>
      <c r="C185" s="1" t="s">
        <v>4</v>
      </c>
      <c r="D185" s="1" t="s">
        <v>1683</v>
      </c>
      <c r="E185" s="1" t="s">
        <v>1698</v>
      </c>
      <c r="F185" s="1" t="s">
        <v>1729</v>
      </c>
      <c r="H185" s="1" t="s">
        <v>1707</v>
      </c>
      <c r="I185" s="1" t="s">
        <v>1718</v>
      </c>
      <c r="L185" s="4">
        <v>44798</v>
      </c>
      <c r="M185" s="1" t="s">
        <v>5</v>
      </c>
      <c r="N185" s="1" t="s">
        <v>394</v>
      </c>
      <c r="O185" s="1" t="s">
        <v>32</v>
      </c>
    </row>
    <row r="186" spans="1:15" x14ac:dyDescent="0.3">
      <c r="A186" s="1" t="str">
        <f>HYPERLINK("https://hsdes.intel.com/resource/14013158096","14013158096")</f>
        <v>14013158096</v>
      </c>
      <c r="B186" s="1" t="s">
        <v>395</v>
      </c>
      <c r="C186" s="1" t="s">
        <v>4</v>
      </c>
      <c r="D186" s="1" t="s">
        <v>1683</v>
      </c>
      <c r="E186" s="1" t="s">
        <v>1698</v>
      </c>
      <c r="F186" s="1" t="s">
        <v>1729</v>
      </c>
      <c r="H186" s="1" t="s">
        <v>1707</v>
      </c>
      <c r="I186" s="1" t="s">
        <v>1718</v>
      </c>
      <c r="L186" s="4">
        <v>44798</v>
      </c>
      <c r="M186" s="1" t="s">
        <v>5</v>
      </c>
      <c r="N186" s="1" t="s">
        <v>396</v>
      </c>
      <c r="O186" s="1" t="s">
        <v>7</v>
      </c>
    </row>
    <row r="187" spans="1:15" x14ac:dyDescent="0.3">
      <c r="A187" s="1" t="str">
        <f>HYPERLINK("https://hsdes.intel.com/resource/14013158099","14013158099")</f>
        <v>14013158099</v>
      </c>
      <c r="B187" s="1" t="s">
        <v>397</v>
      </c>
      <c r="C187" s="1" t="s">
        <v>46</v>
      </c>
      <c r="D187" s="1" t="s">
        <v>1683</v>
      </c>
      <c r="E187" s="1" t="s">
        <v>1698</v>
      </c>
      <c r="F187" s="1" t="s">
        <v>1729</v>
      </c>
      <c r="H187" s="1" t="s">
        <v>1707</v>
      </c>
      <c r="I187" s="1" t="s">
        <v>1673</v>
      </c>
      <c r="L187" s="4">
        <v>44802</v>
      </c>
      <c r="M187" s="1" t="s">
        <v>19</v>
      </c>
      <c r="N187" s="1" t="s">
        <v>398</v>
      </c>
      <c r="O187" s="1" t="s">
        <v>7</v>
      </c>
    </row>
    <row r="188" spans="1:15" x14ac:dyDescent="0.3">
      <c r="A188" s="1" t="str">
        <f>HYPERLINK("https://hsdes.intel.com/resource/14013158101","14013158101")</f>
        <v>14013158101</v>
      </c>
      <c r="B188" s="1" t="s">
        <v>399</v>
      </c>
      <c r="C188" s="1" t="s">
        <v>46</v>
      </c>
      <c r="D188" s="1" t="s">
        <v>1683</v>
      </c>
      <c r="E188" s="1" t="s">
        <v>1698</v>
      </c>
      <c r="F188" s="1" t="s">
        <v>1729</v>
      </c>
      <c r="H188" s="1" t="s">
        <v>1707</v>
      </c>
      <c r="I188" s="1" t="s">
        <v>1673</v>
      </c>
      <c r="L188" s="4">
        <v>44802</v>
      </c>
      <c r="M188" s="1" t="s">
        <v>19</v>
      </c>
      <c r="N188" s="1" t="s">
        <v>400</v>
      </c>
      <c r="O188" s="1" t="s">
        <v>7</v>
      </c>
    </row>
    <row r="189" spans="1:15" x14ac:dyDescent="0.3">
      <c r="A189" s="1" t="str">
        <f>HYPERLINK("https://hsdes.intel.com/resource/14013158131","14013158131")</f>
        <v>14013158131</v>
      </c>
      <c r="B189" s="1" t="s">
        <v>401</v>
      </c>
      <c r="C189" s="1" t="s">
        <v>36</v>
      </c>
      <c r="D189" s="1" t="s">
        <v>1683</v>
      </c>
      <c r="E189" s="1" t="s">
        <v>1698</v>
      </c>
      <c r="F189" s="1" t="s">
        <v>1729</v>
      </c>
      <c r="H189" s="1" t="s">
        <v>1707</v>
      </c>
      <c r="I189" s="1" t="s">
        <v>1673</v>
      </c>
      <c r="L189" s="4">
        <v>44797</v>
      </c>
      <c r="M189" s="1" t="s">
        <v>37</v>
      </c>
      <c r="N189" s="1" t="s">
        <v>402</v>
      </c>
      <c r="O189" s="1" t="s">
        <v>10</v>
      </c>
    </row>
    <row r="190" spans="1:15" x14ac:dyDescent="0.3">
      <c r="A190" s="1" t="str">
        <f>HYPERLINK("https://hsdes.intel.com/resource/14013158163","14013158163")</f>
        <v>14013158163</v>
      </c>
      <c r="B190" s="1" t="s">
        <v>403</v>
      </c>
      <c r="C190" s="1" t="s">
        <v>115</v>
      </c>
      <c r="D190" s="1" t="s">
        <v>1683</v>
      </c>
      <c r="E190" s="1" t="s">
        <v>1698</v>
      </c>
      <c r="F190" s="1" t="s">
        <v>1729</v>
      </c>
      <c r="H190" s="1" t="s">
        <v>1707</v>
      </c>
      <c r="I190" s="1" t="s">
        <v>1671</v>
      </c>
      <c r="L190" s="4">
        <v>44798</v>
      </c>
      <c r="M190" s="1" t="s">
        <v>15</v>
      </c>
      <c r="N190" s="1" t="s">
        <v>404</v>
      </c>
      <c r="O190" s="1" t="s">
        <v>7</v>
      </c>
    </row>
    <row r="191" spans="1:15" x14ac:dyDescent="0.3">
      <c r="A191" s="1" t="str">
        <f>HYPERLINK("https://hsdes.intel.com/resource/14013158179","14013158179")</f>
        <v>14013158179</v>
      </c>
      <c r="B191" s="1" t="s">
        <v>405</v>
      </c>
      <c r="C191" s="1" t="s">
        <v>89</v>
      </c>
      <c r="D191" s="1" t="s">
        <v>1683</v>
      </c>
      <c r="E191" s="1" t="s">
        <v>1698</v>
      </c>
      <c r="F191" s="1" t="s">
        <v>1729</v>
      </c>
      <c r="H191" s="1" t="s">
        <v>1707</v>
      </c>
      <c r="I191" s="1" t="s">
        <v>1673</v>
      </c>
      <c r="L191" s="4">
        <v>44797</v>
      </c>
      <c r="M191" s="1" t="s">
        <v>23</v>
      </c>
      <c r="N191" s="1" t="s">
        <v>406</v>
      </c>
      <c r="O191" s="1" t="s">
        <v>10</v>
      </c>
    </row>
    <row r="192" spans="1:15" x14ac:dyDescent="0.3">
      <c r="A192" s="1" t="str">
        <f>HYPERLINK("https://hsdes.intel.com/resource/14013158182","14013158182")</f>
        <v>14013158182</v>
      </c>
      <c r="B192" s="1" t="s">
        <v>407</v>
      </c>
      <c r="C192" s="1" t="s">
        <v>22</v>
      </c>
      <c r="D192" s="1" t="s">
        <v>1683</v>
      </c>
      <c r="E192" s="1" t="s">
        <v>1698</v>
      </c>
      <c r="F192" s="1" t="s">
        <v>1729</v>
      </c>
      <c r="H192" s="1" t="s">
        <v>1707</v>
      </c>
      <c r="I192" s="1" t="s">
        <v>1672</v>
      </c>
      <c r="L192" s="4">
        <v>44803</v>
      </c>
      <c r="M192" s="1" t="s">
        <v>23</v>
      </c>
      <c r="N192" s="1" t="s">
        <v>408</v>
      </c>
      <c r="O192" s="1" t="s">
        <v>10</v>
      </c>
    </row>
    <row r="193" spans="1:16" x14ac:dyDescent="0.3">
      <c r="A193" s="1" t="str">
        <f>HYPERLINK("https://hsdes.intel.com/resource/14013158232","14013158232")</f>
        <v>14013158232</v>
      </c>
      <c r="B193" s="1" t="s">
        <v>409</v>
      </c>
      <c r="C193" s="1" t="s">
        <v>59</v>
      </c>
      <c r="D193" s="1" t="s">
        <v>1683</v>
      </c>
      <c r="E193" s="1" t="s">
        <v>1698</v>
      </c>
      <c r="F193" s="1" t="s">
        <v>1729</v>
      </c>
      <c r="H193" s="8" t="s">
        <v>1707</v>
      </c>
      <c r="I193" s="1" t="s">
        <v>1726</v>
      </c>
      <c r="L193" s="4">
        <v>44803</v>
      </c>
      <c r="M193" s="1" t="s">
        <v>15</v>
      </c>
      <c r="N193" s="1" t="s">
        <v>410</v>
      </c>
      <c r="O193" s="1" t="s">
        <v>10</v>
      </c>
    </row>
    <row r="194" spans="1:16" x14ac:dyDescent="0.3">
      <c r="A194" s="1" t="str">
        <f>HYPERLINK("https://hsdes.intel.com/resource/14013158240","14013158240")</f>
        <v>14013158240</v>
      </c>
      <c r="B194" s="1" t="s">
        <v>411</v>
      </c>
      <c r="C194" s="1" t="s">
        <v>59</v>
      </c>
      <c r="D194" s="1" t="s">
        <v>1683</v>
      </c>
      <c r="E194" s="1" t="s">
        <v>1698</v>
      </c>
      <c r="F194" s="1" t="s">
        <v>1729</v>
      </c>
      <c r="H194" s="1" t="s">
        <v>1707</v>
      </c>
      <c r="I194" s="1" t="s">
        <v>1671</v>
      </c>
      <c r="L194" s="4">
        <v>44798</v>
      </c>
      <c r="M194" s="1" t="s">
        <v>15</v>
      </c>
      <c r="N194" s="1" t="s">
        <v>412</v>
      </c>
      <c r="O194" s="1" t="s">
        <v>10</v>
      </c>
    </row>
    <row r="195" spans="1:16" x14ac:dyDescent="0.3">
      <c r="A195" s="1" t="str">
        <f>HYPERLINK("https://hsdes.intel.com/resource/14013158242","14013158242")</f>
        <v>14013158242</v>
      </c>
      <c r="B195" s="1" t="s">
        <v>413</v>
      </c>
      <c r="C195" s="1" t="s">
        <v>89</v>
      </c>
      <c r="D195" s="1" t="s">
        <v>1683</v>
      </c>
      <c r="E195" s="1" t="s">
        <v>1698</v>
      </c>
      <c r="F195" s="1" t="s">
        <v>1729</v>
      </c>
      <c r="H195" s="1" t="s">
        <v>1707</v>
      </c>
      <c r="I195" s="1" t="s">
        <v>1673</v>
      </c>
      <c r="L195" s="4">
        <v>44797</v>
      </c>
      <c r="M195" s="1" t="s">
        <v>23</v>
      </c>
      <c r="N195" s="1" t="s">
        <v>414</v>
      </c>
      <c r="O195" s="1" t="s">
        <v>10</v>
      </c>
    </row>
    <row r="196" spans="1:16" x14ac:dyDescent="0.3">
      <c r="A196" s="11" t="str">
        <f>HYPERLINK("https://hsdes.intel.com/resource/14013158276","14013158276")</f>
        <v>14013158276</v>
      </c>
      <c r="B196" s="1" t="s">
        <v>415</v>
      </c>
      <c r="C196" s="1" t="s">
        <v>75</v>
      </c>
      <c r="D196" s="1" t="s">
        <v>1683</v>
      </c>
      <c r="E196" s="1" t="s">
        <v>1698</v>
      </c>
      <c r="F196" s="1" t="s">
        <v>1729</v>
      </c>
      <c r="H196" s="1" t="s">
        <v>1707</v>
      </c>
      <c r="I196" s="1" t="s">
        <v>1672</v>
      </c>
      <c r="L196" s="4">
        <v>44798</v>
      </c>
      <c r="M196" s="1" t="s">
        <v>76</v>
      </c>
      <c r="N196" s="1" t="s">
        <v>416</v>
      </c>
      <c r="O196" s="1" t="s">
        <v>10</v>
      </c>
    </row>
    <row r="197" spans="1:16" x14ac:dyDescent="0.3">
      <c r="A197" s="1" t="str">
        <f>HYPERLINK("https://hsdes.intel.com/resource/14013158278","14013158278")</f>
        <v>14013158278</v>
      </c>
      <c r="B197" s="1" t="s">
        <v>417</v>
      </c>
      <c r="C197" s="1" t="s">
        <v>89</v>
      </c>
      <c r="D197" s="1" t="s">
        <v>1683</v>
      </c>
      <c r="E197" s="1" t="s">
        <v>1698</v>
      </c>
      <c r="F197" s="1" t="s">
        <v>1729</v>
      </c>
      <c r="H197" s="1" t="s">
        <v>1707</v>
      </c>
      <c r="I197" s="1" t="s">
        <v>1673</v>
      </c>
      <c r="L197" s="4">
        <v>44797</v>
      </c>
      <c r="M197" s="1" t="s">
        <v>23</v>
      </c>
      <c r="N197" s="1" t="s">
        <v>418</v>
      </c>
      <c r="O197" s="1" t="s">
        <v>7</v>
      </c>
    </row>
    <row r="198" spans="1:16" x14ac:dyDescent="0.3">
      <c r="A198" s="1" t="str">
        <f>HYPERLINK("https://hsdes.intel.com/resource/14013158288","14013158288")</f>
        <v>14013158288</v>
      </c>
      <c r="B198" s="1" t="s">
        <v>419</v>
      </c>
      <c r="C198" s="1" t="s">
        <v>98</v>
      </c>
      <c r="D198" s="1" t="s">
        <v>1683</v>
      </c>
      <c r="E198" s="1" t="s">
        <v>1698</v>
      </c>
      <c r="F198" s="1" t="s">
        <v>1729</v>
      </c>
      <c r="H198" s="1" t="s">
        <v>1707</v>
      </c>
      <c r="I198" s="1" t="s">
        <v>1673</v>
      </c>
      <c r="L198" s="4">
        <v>44797</v>
      </c>
      <c r="M198" s="1" t="s">
        <v>76</v>
      </c>
      <c r="N198" s="1" t="s">
        <v>420</v>
      </c>
      <c r="O198" s="1" t="s">
        <v>10</v>
      </c>
    </row>
    <row r="199" spans="1:16" x14ac:dyDescent="0.3">
      <c r="A199" s="1" t="str">
        <f>HYPERLINK("https://hsdes.intel.com/resource/14013158290","14013158290")</f>
        <v>14013158290</v>
      </c>
      <c r="B199" s="1" t="s">
        <v>421</v>
      </c>
      <c r="C199" s="1" t="s">
        <v>46</v>
      </c>
      <c r="D199" s="1" t="s">
        <v>1683</v>
      </c>
      <c r="E199" s="1" t="s">
        <v>1698</v>
      </c>
      <c r="F199" s="1" t="s">
        <v>1729</v>
      </c>
      <c r="H199" s="1" t="s">
        <v>1674</v>
      </c>
      <c r="I199" s="1" t="s">
        <v>1674</v>
      </c>
      <c r="M199" s="1" t="s">
        <v>19</v>
      </c>
      <c r="N199" s="1" t="s">
        <v>422</v>
      </c>
      <c r="O199" s="1" t="s">
        <v>10</v>
      </c>
    </row>
    <row r="200" spans="1:16" x14ac:dyDescent="0.3">
      <c r="A200" s="1" t="str">
        <f>HYPERLINK("https://hsdes.intel.com/resource/14013158293","14013158293")</f>
        <v>14013158293</v>
      </c>
      <c r="B200" s="1" t="s">
        <v>423</v>
      </c>
      <c r="C200" s="1" t="s">
        <v>89</v>
      </c>
      <c r="D200" s="1" t="s">
        <v>1683</v>
      </c>
      <c r="E200" s="1" t="s">
        <v>1698</v>
      </c>
      <c r="F200" s="1" t="s">
        <v>1729</v>
      </c>
      <c r="H200" s="1" t="s">
        <v>1707</v>
      </c>
      <c r="I200" s="1" t="s">
        <v>1673</v>
      </c>
      <c r="L200" s="4">
        <v>44798</v>
      </c>
      <c r="M200" s="1" t="s">
        <v>23</v>
      </c>
      <c r="N200" s="1" t="s">
        <v>424</v>
      </c>
      <c r="O200" s="1" t="s">
        <v>10</v>
      </c>
    </row>
    <row r="201" spans="1:16" x14ac:dyDescent="0.3">
      <c r="A201" s="1" t="str">
        <f>HYPERLINK("https://hsdes.intel.com/resource/14013158295","14013158295")</f>
        <v>14013158295</v>
      </c>
      <c r="B201" s="1" t="s">
        <v>425</v>
      </c>
      <c r="C201" s="1" t="s">
        <v>28</v>
      </c>
      <c r="D201" s="1" t="s">
        <v>1683</v>
      </c>
      <c r="E201" s="1" t="s">
        <v>1698</v>
      </c>
      <c r="F201" s="1" t="s">
        <v>1729</v>
      </c>
      <c r="H201" s="7" t="s">
        <v>1707</v>
      </c>
      <c r="I201" s="1" t="s">
        <v>1718</v>
      </c>
      <c r="L201" s="4">
        <v>44802</v>
      </c>
      <c r="M201" s="1" t="s">
        <v>5</v>
      </c>
      <c r="N201" s="1" t="s">
        <v>426</v>
      </c>
      <c r="O201" s="1" t="s">
        <v>32</v>
      </c>
    </row>
    <row r="202" spans="1:16" x14ac:dyDescent="0.3">
      <c r="A202" s="1" t="str">
        <f>HYPERLINK("https://hsdes.intel.com/resource/14013158318","14013158318")</f>
        <v>14013158318</v>
      </c>
      <c r="B202" s="1" t="s">
        <v>427</v>
      </c>
      <c r="C202" s="1" t="s">
        <v>46</v>
      </c>
      <c r="D202" s="1" t="s">
        <v>1683</v>
      </c>
      <c r="E202" s="1" t="s">
        <v>1698</v>
      </c>
      <c r="F202" s="1" t="s">
        <v>1729</v>
      </c>
      <c r="H202" s="1" t="s">
        <v>1707</v>
      </c>
      <c r="I202" s="1" t="s">
        <v>1672</v>
      </c>
      <c r="L202" s="4">
        <v>44802</v>
      </c>
      <c r="M202" s="1" t="s">
        <v>19</v>
      </c>
      <c r="N202" s="1" t="s">
        <v>428</v>
      </c>
      <c r="O202" s="1" t="s">
        <v>10</v>
      </c>
    </row>
    <row r="203" spans="1:16" x14ac:dyDescent="0.3">
      <c r="A203" s="1" t="str">
        <f>HYPERLINK("https://hsdes.intel.com/resource/14013158395","14013158395")</f>
        <v>14013158395</v>
      </c>
      <c r="B203" s="1" t="s">
        <v>429</v>
      </c>
      <c r="C203" s="1" t="s">
        <v>4</v>
      </c>
      <c r="D203" s="1" t="s">
        <v>1683</v>
      </c>
      <c r="E203" s="1" t="s">
        <v>1698</v>
      </c>
      <c r="F203" s="1" t="s">
        <v>1729</v>
      </c>
      <c r="H203" s="1" t="s">
        <v>1707</v>
      </c>
      <c r="I203" s="1" t="s">
        <v>1673</v>
      </c>
      <c r="L203" s="4">
        <v>44799</v>
      </c>
      <c r="M203" s="1" t="s">
        <v>5</v>
      </c>
      <c r="N203" s="1" t="s">
        <v>430</v>
      </c>
      <c r="O203" s="1" t="s">
        <v>7</v>
      </c>
    </row>
    <row r="204" spans="1:16" x14ac:dyDescent="0.3">
      <c r="A204" s="1" t="str">
        <f>HYPERLINK("https://hsdes.intel.com/resource/14013158397","14013158397")</f>
        <v>14013158397</v>
      </c>
      <c r="B204" s="1" t="s">
        <v>431</v>
      </c>
      <c r="C204" s="1" t="s">
        <v>28</v>
      </c>
      <c r="D204" s="1" t="s">
        <v>1683</v>
      </c>
      <c r="E204" s="1" t="s">
        <v>1698</v>
      </c>
      <c r="F204" s="1" t="s">
        <v>1729</v>
      </c>
      <c r="H204" s="1" t="s">
        <v>1707</v>
      </c>
      <c r="I204" s="1" t="s">
        <v>1671</v>
      </c>
      <c r="L204" s="4">
        <v>44797</v>
      </c>
      <c r="M204" s="1" t="s">
        <v>5</v>
      </c>
      <c r="N204" s="1" t="s">
        <v>432</v>
      </c>
      <c r="O204" s="1" t="s">
        <v>10</v>
      </c>
    </row>
    <row r="205" spans="1:16" x14ac:dyDescent="0.3">
      <c r="A205" s="1" t="str">
        <f>HYPERLINK("https://hsdes.intel.com/resource/14013158406","14013158406")</f>
        <v>14013158406</v>
      </c>
      <c r="B205" s="1" t="s">
        <v>433</v>
      </c>
      <c r="C205" s="1" t="s">
        <v>46</v>
      </c>
      <c r="D205" s="1" t="s">
        <v>1683</v>
      </c>
      <c r="E205" s="1" t="s">
        <v>1698</v>
      </c>
      <c r="F205" s="1" t="s">
        <v>1729</v>
      </c>
      <c r="H205" s="8" t="s">
        <v>1707</v>
      </c>
      <c r="I205" s="1" t="s">
        <v>1726</v>
      </c>
      <c r="L205" s="4">
        <v>44803</v>
      </c>
      <c r="M205" s="1" t="s">
        <v>19</v>
      </c>
      <c r="N205" s="1" t="s">
        <v>434</v>
      </c>
      <c r="O205" s="1" t="s">
        <v>10</v>
      </c>
    </row>
    <row r="206" spans="1:16" x14ac:dyDescent="0.3">
      <c r="A206" s="1" t="str">
        <f>HYPERLINK("https://hsdes.intel.com/resource/14013158426","14013158426")</f>
        <v>14013158426</v>
      </c>
      <c r="B206" s="1" t="s">
        <v>435</v>
      </c>
      <c r="C206" s="1" t="s">
        <v>36</v>
      </c>
      <c r="D206" s="1" t="s">
        <v>1683</v>
      </c>
      <c r="E206" s="1" t="s">
        <v>1698</v>
      </c>
      <c r="F206" s="1" t="s">
        <v>1729</v>
      </c>
      <c r="H206" s="4" t="s">
        <v>1707</v>
      </c>
      <c r="I206" s="1" t="s">
        <v>1672</v>
      </c>
      <c r="K206" s="1" t="s">
        <v>1728</v>
      </c>
      <c r="L206" s="4">
        <v>44803</v>
      </c>
      <c r="M206" s="1" t="s">
        <v>37</v>
      </c>
      <c r="N206" s="1" t="s">
        <v>436</v>
      </c>
      <c r="O206" s="1" t="s">
        <v>10</v>
      </c>
      <c r="P206" s="1" t="s">
        <v>1710</v>
      </c>
    </row>
    <row r="207" spans="1:16" x14ac:dyDescent="0.3">
      <c r="A207" s="1" t="str">
        <f>HYPERLINK("https://hsdes.intel.com/resource/14013158443","14013158443")</f>
        <v>14013158443</v>
      </c>
      <c r="B207" s="1" t="s">
        <v>437</v>
      </c>
      <c r="C207" s="1" t="s">
        <v>46</v>
      </c>
      <c r="D207" s="1" t="s">
        <v>1683</v>
      </c>
      <c r="E207" s="1" t="s">
        <v>1698</v>
      </c>
      <c r="F207" s="1" t="s">
        <v>1729</v>
      </c>
      <c r="H207" s="1" t="s">
        <v>1707</v>
      </c>
      <c r="I207" s="1" t="s">
        <v>1672</v>
      </c>
      <c r="L207" s="4">
        <v>44799</v>
      </c>
      <c r="M207" s="1" t="s">
        <v>19</v>
      </c>
      <c r="N207" s="1" t="s">
        <v>438</v>
      </c>
      <c r="O207" s="1" t="s">
        <v>10</v>
      </c>
    </row>
    <row r="208" spans="1:16" x14ac:dyDescent="0.3">
      <c r="A208" s="1" t="str">
        <f>HYPERLINK("https://hsdes.intel.com/resource/14013158470","14013158470")</f>
        <v>14013158470</v>
      </c>
      <c r="B208" s="1" t="s">
        <v>439</v>
      </c>
      <c r="C208" s="1" t="s">
        <v>46</v>
      </c>
      <c r="D208" s="1" t="s">
        <v>1683</v>
      </c>
      <c r="E208" s="1" t="s">
        <v>1698</v>
      </c>
      <c r="F208" s="1" t="s">
        <v>1729</v>
      </c>
      <c r="H208" s="1" t="s">
        <v>1707</v>
      </c>
      <c r="I208" s="1" t="s">
        <v>1671</v>
      </c>
      <c r="L208" s="4">
        <v>44802</v>
      </c>
      <c r="M208" s="1" t="s">
        <v>19</v>
      </c>
      <c r="N208" s="1" t="s">
        <v>440</v>
      </c>
      <c r="O208" s="1" t="s">
        <v>10</v>
      </c>
      <c r="P208" s="1" t="s">
        <v>1711</v>
      </c>
    </row>
    <row r="209" spans="1:15" x14ac:dyDescent="0.3">
      <c r="A209" s="1" t="str">
        <f>HYPERLINK("https://hsdes.intel.com/resource/14013158485","14013158485")</f>
        <v>14013158485</v>
      </c>
      <c r="B209" s="1" t="s">
        <v>441</v>
      </c>
      <c r="C209" s="1" t="s">
        <v>46</v>
      </c>
      <c r="D209" s="1" t="s">
        <v>1683</v>
      </c>
      <c r="E209" s="1" t="s">
        <v>1698</v>
      </c>
      <c r="F209" s="1" t="s">
        <v>1729</v>
      </c>
      <c r="H209" s="1" t="s">
        <v>1707</v>
      </c>
      <c r="I209" s="1" t="s">
        <v>1672</v>
      </c>
      <c r="L209" s="4">
        <v>44798</v>
      </c>
      <c r="M209" s="1" t="s">
        <v>19</v>
      </c>
      <c r="N209" s="1" t="s">
        <v>442</v>
      </c>
      <c r="O209" s="1" t="s">
        <v>10</v>
      </c>
    </row>
    <row r="210" spans="1:15" x14ac:dyDescent="0.3">
      <c r="A210" s="1" t="str">
        <f>HYPERLINK("https://hsdes.intel.com/resource/14013158487","14013158487")</f>
        <v>14013158487</v>
      </c>
      <c r="B210" s="1" t="s">
        <v>443</v>
      </c>
      <c r="C210" s="1" t="s">
        <v>46</v>
      </c>
      <c r="D210" s="1" t="s">
        <v>1683</v>
      </c>
      <c r="E210" s="1" t="s">
        <v>1698</v>
      </c>
      <c r="F210" s="1" t="s">
        <v>1729</v>
      </c>
      <c r="H210" s="1" t="s">
        <v>1707</v>
      </c>
      <c r="I210" s="1" t="s">
        <v>1672</v>
      </c>
      <c r="L210" s="4">
        <v>44802</v>
      </c>
      <c r="M210" s="1" t="s">
        <v>19</v>
      </c>
      <c r="N210" s="1" t="s">
        <v>444</v>
      </c>
      <c r="O210" s="1" t="s">
        <v>7</v>
      </c>
    </row>
    <row r="211" spans="1:15" x14ac:dyDescent="0.3">
      <c r="A211" s="1" t="str">
        <f>HYPERLINK("https://hsdes.intel.com/resource/14013158501","14013158501")</f>
        <v>14013158501</v>
      </c>
      <c r="B211" s="1" t="s">
        <v>445</v>
      </c>
      <c r="C211" s="1" t="s">
        <v>46</v>
      </c>
      <c r="D211" s="1" t="s">
        <v>1683</v>
      </c>
      <c r="E211" s="1" t="s">
        <v>1698</v>
      </c>
      <c r="F211" s="1" t="s">
        <v>1729</v>
      </c>
      <c r="H211" s="1" t="s">
        <v>1707</v>
      </c>
      <c r="I211" s="1" t="s">
        <v>1718</v>
      </c>
      <c r="L211" s="4">
        <v>44798</v>
      </c>
      <c r="M211" s="1" t="s">
        <v>19</v>
      </c>
      <c r="N211" s="1" t="s">
        <v>446</v>
      </c>
      <c r="O211" s="1" t="s">
        <v>10</v>
      </c>
    </row>
    <row r="212" spans="1:15" x14ac:dyDescent="0.3">
      <c r="A212" s="1" t="str">
        <f>HYPERLINK("https://hsdes.intel.com/resource/14013158511","14013158511")</f>
        <v>14013158511</v>
      </c>
      <c r="B212" s="1" t="s">
        <v>447</v>
      </c>
      <c r="C212" s="1" t="s">
        <v>46</v>
      </c>
      <c r="D212" s="1" t="s">
        <v>1683</v>
      </c>
      <c r="E212" s="1" t="s">
        <v>1698</v>
      </c>
      <c r="F212" s="1" t="s">
        <v>1729</v>
      </c>
      <c r="H212" s="1" t="s">
        <v>1707</v>
      </c>
      <c r="I212" s="1" t="s">
        <v>1718</v>
      </c>
      <c r="L212" s="4">
        <v>44798</v>
      </c>
      <c r="M212" s="1" t="s">
        <v>19</v>
      </c>
      <c r="N212" s="1" t="s">
        <v>448</v>
      </c>
      <c r="O212" s="1" t="s">
        <v>10</v>
      </c>
    </row>
    <row r="213" spans="1:15" x14ac:dyDescent="0.3">
      <c r="A213" s="1" t="str">
        <f>HYPERLINK("https://hsdes.intel.com/resource/14013158528","14013158528")</f>
        <v>14013158528</v>
      </c>
      <c r="B213" s="1" t="s">
        <v>449</v>
      </c>
      <c r="C213" s="1" t="s">
        <v>46</v>
      </c>
      <c r="D213" s="1" t="s">
        <v>1683</v>
      </c>
      <c r="E213" s="1" t="s">
        <v>1698</v>
      </c>
      <c r="F213" s="1" t="s">
        <v>1729</v>
      </c>
      <c r="H213" s="1" t="s">
        <v>1707</v>
      </c>
      <c r="I213" s="1" t="s">
        <v>1721</v>
      </c>
      <c r="L213" s="4">
        <v>44802</v>
      </c>
      <c r="M213" s="1" t="s">
        <v>19</v>
      </c>
      <c r="N213" s="1" t="s">
        <v>450</v>
      </c>
      <c r="O213" s="1" t="s">
        <v>10</v>
      </c>
    </row>
    <row r="214" spans="1:15" x14ac:dyDescent="0.3">
      <c r="A214" s="1" t="str">
        <f>HYPERLINK("https://hsdes.intel.com/resource/14013158536","14013158536")</f>
        <v>14013158536</v>
      </c>
      <c r="B214" s="1" t="s">
        <v>451</v>
      </c>
      <c r="C214" s="1" t="s">
        <v>46</v>
      </c>
      <c r="D214" s="1" t="s">
        <v>1683</v>
      </c>
      <c r="E214" s="1" t="s">
        <v>1698</v>
      </c>
      <c r="F214" s="1" t="s">
        <v>1729</v>
      </c>
      <c r="H214" s="1" t="s">
        <v>1707</v>
      </c>
      <c r="I214" s="1" t="s">
        <v>1671</v>
      </c>
      <c r="L214" s="4">
        <v>44798</v>
      </c>
      <c r="M214" s="1" t="s">
        <v>19</v>
      </c>
      <c r="N214" s="1" t="s">
        <v>452</v>
      </c>
      <c r="O214" s="1" t="s">
        <v>10</v>
      </c>
    </row>
    <row r="215" spans="1:15" x14ac:dyDescent="0.3">
      <c r="A215" s="1" t="str">
        <f>HYPERLINK("https://hsdes.intel.com/resource/14013158554","14013158554")</f>
        <v>14013158554</v>
      </c>
      <c r="B215" s="1" t="s">
        <v>453</v>
      </c>
      <c r="C215" s="1" t="s">
        <v>115</v>
      </c>
      <c r="D215" s="1" t="s">
        <v>1683</v>
      </c>
      <c r="E215" s="1" t="s">
        <v>1698</v>
      </c>
      <c r="F215" s="1" t="s">
        <v>1729</v>
      </c>
      <c r="H215" s="1" t="s">
        <v>1707</v>
      </c>
      <c r="I215" s="1" t="s">
        <v>1673</v>
      </c>
      <c r="L215" s="4">
        <v>44802</v>
      </c>
      <c r="M215" s="1" t="s">
        <v>15</v>
      </c>
      <c r="N215" s="1" t="s">
        <v>454</v>
      </c>
      <c r="O215" s="1" t="s">
        <v>32</v>
      </c>
    </row>
    <row r="216" spans="1:15" x14ac:dyDescent="0.3">
      <c r="A216" s="1" t="str">
        <f>HYPERLINK("https://hsdes.intel.com/resource/14013158557","14013158557")</f>
        <v>14013158557</v>
      </c>
      <c r="B216" s="1" t="s">
        <v>455</v>
      </c>
      <c r="C216" s="1" t="s">
        <v>28</v>
      </c>
      <c r="D216" s="1" t="s">
        <v>1683</v>
      </c>
      <c r="E216" s="1" t="s">
        <v>1698</v>
      </c>
      <c r="F216" s="1" t="s">
        <v>1729</v>
      </c>
      <c r="H216" s="1" t="s">
        <v>1707</v>
      </c>
      <c r="I216" s="1" t="s">
        <v>1718</v>
      </c>
      <c r="L216" s="4">
        <v>44798</v>
      </c>
      <c r="M216" s="1" t="s">
        <v>5</v>
      </c>
      <c r="N216" s="1" t="s">
        <v>456</v>
      </c>
      <c r="O216" s="1" t="s">
        <v>10</v>
      </c>
    </row>
    <row r="217" spans="1:15" x14ac:dyDescent="0.3">
      <c r="A217" s="1" t="str">
        <f>HYPERLINK("https://hsdes.intel.com/resource/14013158668","14013158668")</f>
        <v>14013158668</v>
      </c>
      <c r="B217" s="1" t="s">
        <v>457</v>
      </c>
      <c r="C217" s="1" t="s">
        <v>4</v>
      </c>
      <c r="D217" s="1" t="s">
        <v>1683</v>
      </c>
      <c r="E217" s="1" t="s">
        <v>1698</v>
      </c>
      <c r="F217" s="1" t="s">
        <v>1729</v>
      </c>
      <c r="H217" s="1" t="s">
        <v>1707</v>
      </c>
      <c r="I217" s="1" t="s">
        <v>1673</v>
      </c>
      <c r="L217" s="4">
        <v>44799</v>
      </c>
      <c r="M217" s="1" t="s">
        <v>5</v>
      </c>
      <c r="N217" s="1" t="s">
        <v>458</v>
      </c>
      <c r="O217" s="1" t="s">
        <v>7</v>
      </c>
    </row>
    <row r="218" spans="1:15" x14ac:dyDescent="0.3">
      <c r="A218" s="1" t="str">
        <f>HYPERLINK("https://hsdes.intel.com/resource/14013158670","14013158670")</f>
        <v>14013158670</v>
      </c>
      <c r="B218" s="1" t="s">
        <v>459</v>
      </c>
      <c r="C218" s="1" t="s">
        <v>4</v>
      </c>
      <c r="D218" s="1" t="s">
        <v>1683</v>
      </c>
      <c r="E218" s="1" t="s">
        <v>1698</v>
      </c>
      <c r="F218" s="1" t="s">
        <v>1729</v>
      </c>
      <c r="H218" s="1" t="s">
        <v>1707</v>
      </c>
      <c r="I218" s="1" t="s">
        <v>1673</v>
      </c>
      <c r="L218" s="4">
        <v>44799</v>
      </c>
      <c r="M218" s="1" t="s">
        <v>5</v>
      </c>
      <c r="N218" s="1" t="s">
        <v>460</v>
      </c>
      <c r="O218" s="1" t="s">
        <v>7</v>
      </c>
    </row>
    <row r="219" spans="1:15" x14ac:dyDescent="0.3">
      <c r="A219" s="1" t="str">
        <f>HYPERLINK("https://hsdes.intel.com/resource/14013158711","14013158711")</f>
        <v>14013158711</v>
      </c>
      <c r="B219" s="1" t="s">
        <v>461</v>
      </c>
      <c r="C219" s="1" t="s">
        <v>4</v>
      </c>
      <c r="D219" s="1" t="s">
        <v>1683</v>
      </c>
      <c r="E219" s="1" t="s">
        <v>1698</v>
      </c>
      <c r="F219" s="1" t="s">
        <v>1729</v>
      </c>
      <c r="H219" s="1" t="s">
        <v>1707</v>
      </c>
      <c r="I219" s="1" t="s">
        <v>1671</v>
      </c>
      <c r="L219" s="4">
        <v>44798</v>
      </c>
      <c r="M219" s="1" t="s">
        <v>5</v>
      </c>
      <c r="N219" s="1" t="s">
        <v>462</v>
      </c>
      <c r="O219" s="1" t="s">
        <v>32</v>
      </c>
    </row>
    <row r="220" spans="1:15" x14ac:dyDescent="0.3">
      <c r="A220" s="1" t="str">
        <f>HYPERLINK("https://hsdes.intel.com/resource/14013158729","14013158729")</f>
        <v>14013158729</v>
      </c>
      <c r="B220" s="1" t="s">
        <v>463</v>
      </c>
      <c r="C220" s="1" t="s">
        <v>98</v>
      </c>
      <c r="D220" s="1" t="s">
        <v>1683</v>
      </c>
      <c r="E220" s="1" t="s">
        <v>1698</v>
      </c>
      <c r="F220" s="1" t="s">
        <v>1729</v>
      </c>
      <c r="H220" s="1" t="s">
        <v>1707</v>
      </c>
      <c r="I220" s="1" t="s">
        <v>1672</v>
      </c>
      <c r="L220" s="4">
        <v>44802</v>
      </c>
      <c r="M220" s="1" t="s">
        <v>76</v>
      </c>
      <c r="N220" s="1" t="s">
        <v>464</v>
      </c>
      <c r="O220" s="1" t="s">
        <v>10</v>
      </c>
    </row>
    <row r="221" spans="1:15" x14ac:dyDescent="0.3">
      <c r="A221" s="11" t="str">
        <f>HYPERLINK("https://hsdes.intel.com/resource/14013158746","14013158746")</f>
        <v>14013158746</v>
      </c>
      <c r="B221" s="1" t="s">
        <v>465</v>
      </c>
      <c r="C221" s="1" t="s">
        <v>46</v>
      </c>
      <c r="D221" s="1" t="s">
        <v>1683</v>
      </c>
      <c r="E221" s="1" t="s">
        <v>1698</v>
      </c>
      <c r="F221" s="1" t="s">
        <v>1729</v>
      </c>
      <c r="H221" s="1" t="s">
        <v>1707</v>
      </c>
      <c r="I221" s="1" t="s">
        <v>1672</v>
      </c>
      <c r="L221" s="4">
        <v>44802</v>
      </c>
      <c r="M221" s="1" t="s">
        <v>19</v>
      </c>
      <c r="N221" s="1" t="s">
        <v>466</v>
      </c>
      <c r="O221" s="1" t="s">
        <v>10</v>
      </c>
    </row>
    <row r="222" spans="1:15" x14ac:dyDescent="0.3">
      <c r="A222" s="1" t="str">
        <f>HYPERLINK("https://hsdes.intel.com/resource/14013158782","14013158782")</f>
        <v>14013158782</v>
      </c>
      <c r="B222" s="1" t="s">
        <v>467</v>
      </c>
      <c r="C222" s="1" t="s">
        <v>18</v>
      </c>
      <c r="D222" s="1" t="s">
        <v>1683</v>
      </c>
      <c r="E222" s="1" t="s">
        <v>1698</v>
      </c>
      <c r="F222" s="1" t="s">
        <v>1729</v>
      </c>
      <c r="H222" s="1" t="s">
        <v>1707</v>
      </c>
      <c r="I222" s="1" t="s">
        <v>1672</v>
      </c>
      <c r="L222" s="4">
        <v>44798</v>
      </c>
      <c r="M222" s="1" t="s">
        <v>5</v>
      </c>
      <c r="N222" s="1" t="s">
        <v>468</v>
      </c>
      <c r="O222" s="1" t="s">
        <v>32</v>
      </c>
    </row>
    <row r="223" spans="1:15" x14ac:dyDescent="0.3">
      <c r="A223" s="1" t="str">
        <f>HYPERLINK("https://hsdes.intel.com/resource/14013158784","14013158784")</f>
        <v>14013158784</v>
      </c>
      <c r="B223" s="1" t="s">
        <v>469</v>
      </c>
      <c r="C223" s="1" t="s">
        <v>18</v>
      </c>
      <c r="D223" s="1" t="s">
        <v>1683</v>
      </c>
      <c r="E223" s="1" t="s">
        <v>1698</v>
      </c>
      <c r="F223" s="1" t="s">
        <v>1729</v>
      </c>
      <c r="H223" s="1" t="s">
        <v>1707</v>
      </c>
      <c r="I223" s="1" t="s">
        <v>1671</v>
      </c>
      <c r="L223" s="4">
        <v>44798</v>
      </c>
      <c r="M223" s="1" t="s">
        <v>5</v>
      </c>
      <c r="N223" s="1" t="s">
        <v>470</v>
      </c>
      <c r="O223" s="1" t="s">
        <v>10</v>
      </c>
    </row>
    <row r="224" spans="1:15" x14ac:dyDescent="0.3">
      <c r="A224" s="1" t="str">
        <f>HYPERLINK("https://hsdes.intel.com/resource/14013158786","14013158786")</f>
        <v>14013158786</v>
      </c>
      <c r="B224" s="1" t="s">
        <v>471</v>
      </c>
      <c r="C224" s="1" t="s">
        <v>18</v>
      </c>
      <c r="D224" s="1" t="s">
        <v>1683</v>
      </c>
      <c r="E224" s="1" t="s">
        <v>1698</v>
      </c>
      <c r="F224" s="1" t="s">
        <v>1729</v>
      </c>
      <c r="H224" s="1" t="s">
        <v>1707</v>
      </c>
      <c r="I224" s="1" t="s">
        <v>1672</v>
      </c>
      <c r="L224" s="4">
        <v>44798</v>
      </c>
      <c r="M224" s="1" t="s">
        <v>5</v>
      </c>
      <c r="N224" s="1" t="s">
        <v>472</v>
      </c>
      <c r="O224" s="1" t="s">
        <v>10</v>
      </c>
    </row>
    <row r="225" spans="1:15" x14ac:dyDescent="0.3">
      <c r="A225" s="1" t="str">
        <f>HYPERLINK("https://hsdes.intel.com/resource/14013158788","14013158788")</f>
        <v>14013158788</v>
      </c>
      <c r="B225" s="1" t="s">
        <v>473</v>
      </c>
      <c r="C225" s="1" t="s">
        <v>18</v>
      </c>
      <c r="D225" s="1" t="s">
        <v>1683</v>
      </c>
      <c r="E225" s="1" t="s">
        <v>1698</v>
      </c>
      <c r="F225" s="1" t="s">
        <v>1729</v>
      </c>
      <c r="H225" s="1" t="s">
        <v>1707</v>
      </c>
      <c r="I225" s="1" t="s">
        <v>1673</v>
      </c>
      <c r="L225" s="4">
        <v>44799</v>
      </c>
      <c r="M225" s="1" t="s">
        <v>5</v>
      </c>
      <c r="N225" s="1" t="s">
        <v>474</v>
      </c>
      <c r="O225" s="1" t="s">
        <v>7</v>
      </c>
    </row>
    <row r="226" spans="1:15" x14ac:dyDescent="0.3">
      <c r="A226" s="1" t="str">
        <f>HYPERLINK("https://hsdes.intel.com/resource/14013158797","14013158797")</f>
        <v>14013158797</v>
      </c>
      <c r="B226" s="1" t="s">
        <v>475</v>
      </c>
      <c r="C226" s="1" t="s">
        <v>4</v>
      </c>
      <c r="D226" s="1" t="s">
        <v>1683</v>
      </c>
      <c r="E226" s="1" t="s">
        <v>1698</v>
      </c>
      <c r="F226" s="1" t="s">
        <v>1729</v>
      </c>
      <c r="H226" s="1" t="s">
        <v>1707</v>
      </c>
      <c r="I226" s="1" t="s">
        <v>1718</v>
      </c>
      <c r="L226" s="4">
        <v>44799</v>
      </c>
      <c r="M226" s="1" t="s">
        <v>5</v>
      </c>
      <c r="N226" s="1" t="s">
        <v>476</v>
      </c>
      <c r="O226" s="1" t="s">
        <v>10</v>
      </c>
    </row>
    <row r="227" spans="1:15" x14ac:dyDescent="0.3">
      <c r="A227" s="1" t="str">
        <f>HYPERLINK("https://hsdes.intel.com/resource/14013158804","14013158804")</f>
        <v>14013158804</v>
      </c>
      <c r="B227" s="1" t="s">
        <v>477</v>
      </c>
      <c r="C227" s="1" t="s">
        <v>4</v>
      </c>
      <c r="D227" s="1" t="s">
        <v>1683</v>
      </c>
      <c r="E227" s="1" t="s">
        <v>1698</v>
      </c>
      <c r="F227" s="1" t="s">
        <v>1729</v>
      </c>
      <c r="H227" s="1" t="s">
        <v>1707</v>
      </c>
      <c r="I227" s="1" t="s">
        <v>1718</v>
      </c>
      <c r="L227" s="4">
        <v>44799</v>
      </c>
      <c r="M227" s="1" t="s">
        <v>5</v>
      </c>
      <c r="N227" s="1" t="s">
        <v>478</v>
      </c>
      <c r="O227" s="1" t="s">
        <v>10</v>
      </c>
    </row>
    <row r="228" spans="1:15" x14ac:dyDescent="0.3">
      <c r="A228" s="1" t="str">
        <f>HYPERLINK("https://hsdes.intel.com/resource/14013158806","14013158806")</f>
        <v>14013158806</v>
      </c>
      <c r="B228" s="1" t="s">
        <v>479</v>
      </c>
      <c r="C228" s="1" t="s">
        <v>4</v>
      </c>
      <c r="D228" s="1" t="s">
        <v>1683</v>
      </c>
      <c r="E228" s="1" t="s">
        <v>1698</v>
      </c>
      <c r="F228" s="1" t="s">
        <v>1729</v>
      </c>
      <c r="H228" s="1" t="s">
        <v>1707</v>
      </c>
      <c r="I228" s="1" t="s">
        <v>1718</v>
      </c>
      <c r="L228" s="4">
        <v>44798</v>
      </c>
      <c r="M228" s="1" t="s">
        <v>5</v>
      </c>
      <c r="N228" s="1" t="s">
        <v>480</v>
      </c>
      <c r="O228" s="1" t="s">
        <v>7</v>
      </c>
    </row>
    <row r="229" spans="1:15" x14ac:dyDescent="0.3">
      <c r="A229" s="1" t="str">
        <f>HYPERLINK("https://hsdes.intel.com/resource/14013158809","14013158809")</f>
        <v>14013158809</v>
      </c>
      <c r="B229" s="1" t="s">
        <v>481</v>
      </c>
      <c r="C229" s="1" t="s">
        <v>4</v>
      </c>
      <c r="D229" s="1" t="s">
        <v>1683</v>
      </c>
      <c r="E229" s="1" t="s">
        <v>1698</v>
      </c>
      <c r="F229" s="1" t="s">
        <v>1729</v>
      </c>
      <c r="H229" s="1" t="s">
        <v>1707</v>
      </c>
      <c r="I229" s="1" t="s">
        <v>1718</v>
      </c>
      <c r="L229" s="4">
        <v>44799</v>
      </c>
      <c r="M229" s="1" t="s">
        <v>5</v>
      </c>
      <c r="N229" s="1" t="s">
        <v>482</v>
      </c>
      <c r="O229" s="1" t="s">
        <v>7</v>
      </c>
    </row>
    <row r="230" spans="1:15" x14ac:dyDescent="0.3">
      <c r="A230" s="1" t="str">
        <f>HYPERLINK("https://hsdes.intel.com/resource/14013158811","14013158811")</f>
        <v>14013158811</v>
      </c>
      <c r="B230" s="1" t="s">
        <v>483</v>
      </c>
      <c r="C230" s="1" t="s">
        <v>115</v>
      </c>
      <c r="D230" s="1" t="s">
        <v>1683</v>
      </c>
      <c r="E230" s="1" t="s">
        <v>1698</v>
      </c>
      <c r="F230" s="1" t="s">
        <v>1729</v>
      </c>
      <c r="H230" s="1" t="s">
        <v>1715</v>
      </c>
      <c r="I230" s="1" t="s">
        <v>1671</v>
      </c>
      <c r="J230" s="10">
        <f>HYPERLINK("https://hsdes.intel.com/resource/16016907328",16016907328)</f>
        <v>16016907328</v>
      </c>
      <c r="L230" s="4">
        <v>44803</v>
      </c>
      <c r="M230" s="1" t="s">
        <v>15</v>
      </c>
      <c r="N230" s="1" t="s">
        <v>484</v>
      </c>
      <c r="O230" s="1" t="s">
        <v>32</v>
      </c>
    </row>
    <row r="231" spans="1:15" x14ac:dyDescent="0.3">
      <c r="A231" s="1" t="str">
        <f>HYPERLINK("https://hsdes.intel.com/resource/14013158815","14013158815")</f>
        <v>14013158815</v>
      </c>
      <c r="B231" s="1" t="s">
        <v>485</v>
      </c>
      <c r="C231" s="1" t="s">
        <v>4</v>
      </c>
      <c r="D231" s="1" t="s">
        <v>1683</v>
      </c>
      <c r="E231" s="1" t="s">
        <v>1698</v>
      </c>
      <c r="F231" s="1" t="s">
        <v>1729</v>
      </c>
      <c r="H231" s="1" t="s">
        <v>1707</v>
      </c>
      <c r="I231" s="1" t="s">
        <v>1672</v>
      </c>
      <c r="L231" s="4">
        <v>44799</v>
      </c>
      <c r="M231" s="1" t="s">
        <v>5</v>
      </c>
      <c r="N231" s="1" t="s">
        <v>486</v>
      </c>
      <c r="O231" s="1" t="s">
        <v>32</v>
      </c>
    </row>
    <row r="232" spans="1:15" x14ac:dyDescent="0.3">
      <c r="A232" s="1" t="str">
        <f>HYPERLINK("https://hsdes.intel.com/resource/14013158817","14013158817")</f>
        <v>14013158817</v>
      </c>
      <c r="B232" s="1" t="s">
        <v>487</v>
      </c>
      <c r="C232" s="1" t="s">
        <v>4</v>
      </c>
      <c r="D232" s="1" t="s">
        <v>1683</v>
      </c>
      <c r="E232" s="1" t="s">
        <v>1698</v>
      </c>
      <c r="F232" s="1" t="s">
        <v>1729</v>
      </c>
      <c r="H232" s="1" t="s">
        <v>1707</v>
      </c>
      <c r="I232" s="1" t="s">
        <v>1672</v>
      </c>
      <c r="L232" s="4">
        <v>44799</v>
      </c>
      <c r="M232" s="1" t="s">
        <v>5</v>
      </c>
      <c r="N232" s="1" t="s">
        <v>488</v>
      </c>
      <c r="O232" s="1" t="s">
        <v>32</v>
      </c>
    </row>
    <row r="233" spans="1:15" x14ac:dyDescent="0.3">
      <c r="A233" s="1" t="str">
        <f>HYPERLINK("https://hsdes.intel.com/resource/14013158819","14013158819")</f>
        <v>14013158819</v>
      </c>
      <c r="B233" s="1" t="s">
        <v>489</v>
      </c>
      <c r="C233" s="1" t="s">
        <v>4</v>
      </c>
      <c r="D233" s="1" t="s">
        <v>1683</v>
      </c>
      <c r="E233" s="1" t="s">
        <v>1698</v>
      </c>
      <c r="F233" s="1" t="s">
        <v>1729</v>
      </c>
      <c r="H233" s="1" t="s">
        <v>1707</v>
      </c>
      <c r="I233" s="1" t="s">
        <v>1672</v>
      </c>
      <c r="L233" s="4">
        <v>44799</v>
      </c>
      <c r="M233" s="1" t="s">
        <v>5</v>
      </c>
      <c r="N233" s="1" t="s">
        <v>490</v>
      </c>
      <c r="O233" s="1" t="s">
        <v>32</v>
      </c>
    </row>
    <row r="234" spans="1:15" x14ac:dyDescent="0.3">
      <c r="A234" s="1" t="str">
        <f>HYPERLINK("https://hsdes.intel.com/resource/14013158821","14013158821")</f>
        <v>14013158821</v>
      </c>
      <c r="B234" s="1" t="s">
        <v>491</v>
      </c>
      <c r="C234" s="1" t="s">
        <v>4</v>
      </c>
      <c r="D234" s="1" t="s">
        <v>1683</v>
      </c>
      <c r="E234" s="1" t="s">
        <v>1698</v>
      </c>
      <c r="F234" s="1" t="s">
        <v>1729</v>
      </c>
      <c r="H234" s="1" t="s">
        <v>1707</v>
      </c>
      <c r="I234" s="1" t="s">
        <v>1718</v>
      </c>
      <c r="L234" s="4">
        <v>44798</v>
      </c>
      <c r="M234" s="1" t="s">
        <v>5</v>
      </c>
      <c r="N234" s="1" t="s">
        <v>492</v>
      </c>
      <c r="O234" s="1" t="s">
        <v>32</v>
      </c>
    </row>
    <row r="235" spans="1:15" x14ac:dyDescent="0.3">
      <c r="A235" s="1" t="str">
        <f>HYPERLINK("https://hsdes.intel.com/resource/14013158823","14013158823")</f>
        <v>14013158823</v>
      </c>
      <c r="B235" s="1" t="s">
        <v>493</v>
      </c>
      <c r="C235" s="1" t="s">
        <v>4</v>
      </c>
      <c r="D235" s="1" t="s">
        <v>1683</v>
      </c>
      <c r="E235" s="1" t="s">
        <v>1698</v>
      </c>
      <c r="F235" s="1" t="s">
        <v>1729</v>
      </c>
      <c r="H235" s="1" t="s">
        <v>1707</v>
      </c>
      <c r="I235" s="1" t="s">
        <v>1672</v>
      </c>
      <c r="L235" s="4">
        <v>44802</v>
      </c>
      <c r="M235" s="1" t="s">
        <v>5</v>
      </c>
      <c r="N235" s="1" t="s">
        <v>494</v>
      </c>
      <c r="O235" s="1" t="s">
        <v>32</v>
      </c>
    </row>
    <row r="236" spans="1:15" x14ac:dyDescent="0.3">
      <c r="A236" s="1" t="str">
        <f>HYPERLINK("https://hsdes.intel.com/resource/14013158825","14013158825")</f>
        <v>14013158825</v>
      </c>
      <c r="B236" s="1" t="s">
        <v>495</v>
      </c>
      <c r="C236" s="1" t="s">
        <v>4</v>
      </c>
      <c r="D236" s="1" t="s">
        <v>1683</v>
      </c>
      <c r="E236" s="1" t="s">
        <v>1698</v>
      </c>
      <c r="F236" s="1" t="s">
        <v>1729</v>
      </c>
      <c r="H236" s="1" t="s">
        <v>1707</v>
      </c>
      <c r="I236" s="1" t="s">
        <v>1718</v>
      </c>
      <c r="L236" s="4">
        <v>44798</v>
      </c>
      <c r="M236" s="1" t="s">
        <v>5</v>
      </c>
      <c r="N236" s="1" t="s">
        <v>496</v>
      </c>
      <c r="O236" s="1" t="s">
        <v>32</v>
      </c>
    </row>
    <row r="237" spans="1:15" x14ac:dyDescent="0.3">
      <c r="A237" s="1" t="str">
        <f>HYPERLINK("https://hsdes.intel.com/resource/14013158827","14013158827")</f>
        <v>14013158827</v>
      </c>
      <c r="B237" s="1" t="s">
        <v>497</v>
      </c>
      <c r="C237" s="1" t="s">
        <v>4</v>
      </c>
      <c r="D237" s="1" t="s">
        <v>1683</v>
      </c>
      <c r="E237" s="1" t="s">
        <v>1698</v>
      </c>
      <c r="F237" s="1" t="s">
        <v>1729</v>
      </c>
      <c r="H237" s="1" t="s">
        <v>1707</v>
      </c>
      <c r="I237" s="1" t="s">
        <v>1723</v>
      </c>
      <c r="L237" s="4">
        <v>44802</v>
      </c>
      <c r="M237" s="1" t="s">
        <v>5</v>
      </c>
      <c r="N237" s="1" t="s">
        <v>498</v>
      </c>
      <c r="O237" s="1" t="s">
        <v>32</v>
      </c>
    </row>
    <row r="238" spans="1:15" x14ac:dyDescent="0.3">
      <c r="A238" s="1" t="str">
        <f>HYPERLINK("https://hsdes.intel.com/resource/14013158828","14013158828")</f>
        <v>14013158828</v>
      </c>
      <c r="B238" s="1" t="s">
        <v>499</v>
      </c>
      <c r="C238" s="1" t="s">
        <v>4</v>
      </c>
      <c r="D238" s="1" t="s">
        <v>1683</v>
      </c>
      <c r="E238" s="1" t="s">
        <v>1698</v>
      </c>
      <c r="F238" s="1" t="s">
        <v>1729</v>
      </c>
      <c r="H238" s="1" t="s">
        <v>1707</v>
      </c>
      <c r="I238" s="1" t="s">
        <v>1672</v>
      </c>
      <c r="L238" s="4">
        <v>44802</v>
      </c>
      <c r="M238" s="1" t="s">
        <v>5</v>
      </c>
      <c r="N238" s="1" t="s">
        <v>500</v>
      </c>
      <c r="O238" s="1" t="s">
        <v>32</v>
      </c>
    </row>
    <row r="239" spans="1:15" x14ac:dyDescent="0.3">
      <c r="A239" s="1" t="str">
        <f>HYPERLINK("https://hsdes.intel.com/resource/14013158830","14013158830")</f>
        <v>14013158830</v>
      </c>
      <c r="B239" s="1" t="s">
        <v>501</v>
      </c>
      <c r="C239" s="1" t="s">
        <v>4</v>
      </c>
      <c r="D239" s="1" t="s">
        <v>1683</v>
      </c>
      <c r="E239" s="1" t="s">
        <v>1698</v>
      </c>
      <c r="F239" s="1" t="s">
        <v>1729</v>
      </c>
      <c r="H239" s="1" t="s">
        <v>1707</v>
      </c>
      <c r="I239" s="1" t="s">
        <v>1718</v>
      </c>
      <c r="L239" s="4">
        <v>44798</v>
      </c>
      <c r="M239" s="1" t="s">
        <v>5</v>
      </c>
      <c r="N239" s="1" t="s">
        <v>502</v>
      </c>
      <c r="O239" s="1" t="s">
        <v>32</v>
      </c>
    </row>
    <row r="240" spans="1:15" x14ac:dyDescent="0.3">
      <c r="A240" s="1" t="str">
        <f>HYPERLINK("https://hsdes.intel.com/resource/14013158834","14013158834")</f>
        <v>14013158834</v>
      </c>
      <c r="B240" s="1" t="s">
        <v>503</v>
      </c>
      <c r="C240" s="1" t="s">
        <v>4</v>
      </c>
      <c r="D240" s="1" t="s">
        <v>1683</v>
      </c>
      <c r="E240" s="1" t="s">
        <v>1698</v>
      </c>
      <c r="F240" s="1" t="s">
        <v>1729</v>
      </c>
      <c r="H240" s="1" t="s">
        <v>1707</v>
      </c>
      <c r="I240" s="1" t="s">
        <v>1723</v>
      </c>
      <c r="L240" s="4">
        <v>44802</v>
      </c>
      <c r="M240" s="1" t="s">
        <v>5</v>
      </c>
      <c r="N240" s="1" t="s">
        <v>504</v>
      </c>
      <c r="O240" s="1" t="s">
        <v>32</v>
      </c>
    </row>
    <row r="241" spans="1:16" x14ac:dyDescent="0.3">
      <c r="A241" s="1" t="str">
        <f>HYPERLINK("https://hsdes.intel.com/resource/14013158836","14013158836")</f>
        <v>14013158836</v>
      </c>
      <c r="B241" s="1" t="s">
        <v>505</v>
      </c>
      <c r="C241" s="1" t="s">
        <v>4</v>
      </c>
      <c r="D241" s="1" t="s">
        <v>1683</v>
      </c>
      <c r="E241" s="1" t="s">
        <v>1698</v>
      </c>
      <c r="F241" s="1" t="s">
        <v>1729</v>
      </c>
      <c r="H241" s="1" t="s">
        <v>1707</v>
      </c>
      <c r="I241" s="1" t="s">
        <v>1718</v>
      </c>
      <c r="L241" s="4">
        <v>44799</v>
      </c>
      <c r="M241" s="1" t="s">
        <v>5</v>
      </c>
      <c r="N241" s="1" t="s">
        <v>506</v>
      </c>
      <c r="O241" s="1" t="s">
        <v>32</v>
      </c>
    </row>
    <row r="242" spans="1:16" x14ac:dyDescent="0.3">
      <c r="A242" s="1" t="str">
        <f>HYPERLINK("https://hsdes.intel.com/resource/14013158841","14013158841")</f>
        <v>14013158841</v>
      </c>
      <c r="B242" s="1" t="s">
        <v>507</v>
      </c>
      <c r="C242" s="1" t="s">
        <v>4</v>
      </c>
      <c r="D242" s="1" t="s">
        <v>1683</v>
      </c>
      <c r="E242" s="1" t="s">
        <v>1698</v>
      </c>
      <c r="F242" s="1" t="s">
        <v>1729</v>
      </c>
      <c r="H242" s="1" t="s">
        <v>1707</v>
      </c>
      <c r="I242" s="1" t="s">
        <v>1671</v>
      </c>
      <c r="L242" s="4">
        <v>44798</v>
      </c>
      <c r="M242" s="1" t="s">
        <v>5</v>
      </c>
      <c r="N242" s="1" t="s">
        <v>508</v>
      </c>
      <c r="O242" s="1" t="s">
        <v>7</v>
      </c>
    </row>
    <row r="243" spans="1:16" x14ac:dyDescent="0.3">
      <c r="A243" s="1" t="str">
        <f>HYPERLINK("https://hsdes.intel.com/resource/14013158843","14013158843")</f>
        <v>14013158843</v>
      </c>
      <c r="B243" s="1" t="s">
        <v>509</v>
      </c>
      <c r="C243" s="1" t="s">
        <v>4</v>
      </c>
      <c r="D243" s="1" t="s">
        <v>1683</v>
      </c>
      <c r="E243" s="1" t="s">
        <v>1698</v>
      </c>
      <c r="F243" s="1" t="s">
        <v>1729</v>
      </c>
      <c r="H243" s="7" t="s">
        <v>1707</v>
      </c>
      <c r="I243" s="1" t="s">
        <v>1671</v>
      </c>
      <c r="L243" s="4">
        <v>44798</v>
      </c>
      <c r="M243" s="1" t="s">
        <v>5</v>
      </c>
      <c r="N243" s="1" t="s">
        <v>510</v>
      </c>
      <c r="O243" s="1" t="s">
        <v>32</v>
      </c>
    </row>
    <row r="244" spans="1:16" x14ac:dyDescent="0.3">
      <c r="A244" s="1" t="str">
        <f>HYPERLINK("https://hsdes.intel.com/resource/14013158846","14013158846")</f>
        <v>14013158846</v>
      </c>
      <c r="B244" s="1" t="s">
        <v>511</v>
      </c>
      <c r="C244" s="1" t="s">
        <v>4</v>
      </c>
      <c r="D244" s="1" t="s">
        <v>1683</v>
      </c>
      <c r="E244" s="1" t="s">
        <v>1698</v>
      </c>
      <c r="F244" s="1" t="s">
        <v>1729</v>
      </c>
      <c r="H244" s="1" t="s">
        <v>1707</v>
      </c>
      <c r="I244" s="1" t="s">
        <v>1671</v>
      </c>
      <c r="L244" s="4">
        <v>44798</v>
      </c>
      <c r="M244" s="1" t="s">
        <v>5</v>
      </c>
      <c r="N244" s="1" t="s">
        <v>512</v>
      </c>
      <c r="O244" s="1" t="s">
        <v>7</v>
      </c>
    </row>
    <row r="245" spans="1:16" x14ac:dyDescent="0.3">
      <c r="A245" s="1" t="str">
        <f>HYPERLINK("https://hsdes.intel.com/resource/14013158949","14013158949")</f>
        <v>14013158949</v>
      </c>
      <c r="B245" s="1" t="s">
        <v>513</v>
      </c>
      <c r="C245" s="1" t="s">
        <v>98</v>
      </c>
      <c r="D245" s="1" t="s">
        <v>1683</v>
      </c>
      <c r="E245" s="1" t="s">
        <v>1698</v>
      </c>
      <c r="F245" s="1" t="s">
        <v>1729</v>
      </c>
      <c r="H245" s="1" t="s">
        <v>1707</v>
      </c>
      <c r="I245" s="1" t="s">
        <v>1673</v>
      </c>
      <c r="L245" s="4">
        <v>44797</v>
      </c>
      <c r="M245" s="1" t="s">
        <v>76</v>
      </c>
      <c r="N245" s="1" t="s">
        <v>514</v>
      </c>
      <c r="O245" s="1" t="s">
        <v>10</v>
      </c>
    </row>
    <row r="246" spans="1:16" x14ac:dyDescent="0.3">
      <c r="A246" s="1" t="str">
        <f>HYPERLINK("https://hsdes.intel.com/resource/14013158951","14013158951")</f>
        <v>14013158951</v>
      </c>
      <c r="B246" s="1" t="s">
        <v>515</v>
      </c>
      <c r="C246" s="1" t="s">
        <v>98</v>
      </c>
      <c r="D246" s="1" t="s">
        <v>1683</v>
      </c>
      <c r="E246" s="1" t="s">
        <v>1698</v>
      </c>
      <c r="F246" s="1" t="s">
        <v>1729</v>
      </c>
      <c r="H246" s="1" t="s">
        <v>1707</v>
      </c>
      <c r="I246" s="1" t="s">
        <v>1673</v>
      </c>
      <c r="L246" s="4">
        <v>44797</v>
      </c>
      <c r="M246" s="1" t="s">
        <v>76</v>
      </c>
      <c r="N246" s="1" t="s">
        <v>516</v>
      </c>
      <c r="O246" s="1" t="s">
        <v>10</v>
      </c>
    </row>
    <row r="247" spans="1:16" x14ac:dyDescent="0.3">
      <c r="A247" s="1" t="str">
        <f>HYPERLINK("https://hsdes.intel.com/resource/14013158965","14013158965")</f>
        <v>14013158965</v>
      </c>
      <c r="B247" s="1" t="s">
        <v>517</v>
      </c>
      <c r="C247" s="1" t="s">
        <v>46</v>
      </c>
      <c r="D247" s="1" t="s">
        <v>1683</v>
      </c>
      <c r="E247" s="1" t="s">
        <v>1698</v>
      </c>
      <c r="F247" s="1" t="s">
        <v>1729</v>
      </c>
      <c r="H247" s="1" t="s">
        <v>1707</v>
      </c>
      <c r="I247" s="1" t="s">
        <v>1671</v>
      </c>
      <c r="L247" s="4">
        <v>44803</v>
      </c>
      <c r="M247" s="1" t="s">
        <v>19</v>
      </c>
      <c r="N247" s="1" t="s">
        <v>518</v>
      </c>
      <c r="O247" s="1" t="s">
        <v>10</v>
      </c>
      <c r="P247" s="1" t="s">
        <v>1711</v>
      </c>
    </row>
    <row r="248" spans="1:16" x14ac:dyDescent="0.3">
      <c r="A248" s="1" t="str">
        <f>HYPERLINK("https://hsdes.intel.com/resource/14013158967","14013158967")</f>
        <v>14013158967</v>
      </c>
      <c r="B248" s="1" t="s">
        <v>519</v>
      </c>
      <c r="C248" s="1" t="s">
        <v>46</v>
      </c>
      <c r="D248" s="1" t="s">
        <v>1683</v>
      </c>
      <c r="E248" s="1" t="s">
        <v>1698</v>
      </c>
      <c r="F248" s="1" t="s">
        <v>1729</v>
      </c>
      <c r="H248" s="1" t="s">
        <v>1707</v>
      </c>
      <c r="I248" s="1" t="s">
        <v>1672</v>
      </c>
      <c r="L248" s="4">
        <v>44803</v>
      </c>
      <c r="M248" s="1" t="s">
        <v>19</v>
      </c>
      <c r="N248" s="1" t="s">
        <v>520</v>
      </c>
      <c r="O248" s="1" t="s">
        <v>10</v>
      </c>
      <c r="P248" s="1" t="s">
        <v>1711</v>
      </c>
    </row>
    <row r="249" spans="1:16" x14ac:dyDescent="0.3">
      <c r="A249" s="1" t="str">
        <f>HYPERLINK("https://hsdes.intel.com/resource/14013158971","14013158971")</f>
        <v>14013158971</v>
      </c>
      <c r="B249" s="1" t="s">
        <v>521</v>
      </c>
      <c r="C249" s="1" t="s">
        <v>89</v>
      </c>
      <c r="D249" s="1" t="s">
        <v>1683</v>
      </c>
      <c r="E249" s="1" t="s">
        <v>1698</v>
      </c>
      <c r="F249" s="1" t="s">
        <v>1729</v>
      </c>
      <c r="H249" s="1" t="s">
        <v>1707</v>
      </c>
      <c r="I249" s="1" t="s">
        <v>1673</v>
      </c>
      <c r="L249" s="4">
        <v>44798</v>
      </c>
      <c r="M249" s="1" t="s">
        <v>23</v>
      </c>
      <c r="N249" s="1" t="s">
        <v>522</v>
      </c>
      <c r="O249" s="1" t="s">
        <v>10</v>
      </c>
    </row>
    <row r="250" spans="1:16" x14ac:dyDescent="0.3">
      <c r="A250" s="11" t="str">
        <f>HYPERLINK("https://hsdes.intel.com/resource/14013158985","14013158985")</f>
        <v>14013158985</v>
      </c>
      <c r="B250" s="1" t="s">
        <v>523</v>
      </c>
      <c r="C250" s="1" t="s">
        <v>89</v>
      </c>
      <c r="D250" s="1" t="s">
        <v>1683</v>
      </c>
      <c r="E250" s="1" t="s">
        <v>1698</v>
      </c>
      <c r="F250" s="1" t="s">
        <v>1729</v>
      </c>
      <c r="H250" s="1" t="s">
        <v>1707</v>
      </c>
      <c r="I250" s="1" t="s">
        <v>1673</v>
      </c>
      <c r="L250" s="4">
        <v>44798</v>
      </c>
      <c r="M250" s="1" t="s">
        <v>23</v>
      </c>
      <c r="N250" s="1" t="s">
        <v>524</v>
      </c>
      <c r="O250" s="1" t="s">
        <v>10</v>
      </c>
    </row>
    <row r="251" spans="1:16" x14ac:dyDescent="0.3">
      <c r="A251" s="1" t="str">
        <f>HYPERLINK("https://hsdes.intel.com/resource/14013158987","14013158987")</f>
        <v>14013158987</v>
      </c>
      <c r="B251" s="1" t="s">
        <v>525</v>
      </c>
      <c r="C251" s="1" t="s">
        <v>46</v>
      </c>
      <c r="D251" s="1" t="s">
        <v>1683</v>
      </c>
      <c r="E251" s="1" t="s">
        <v>1698</v>
      </c>
      <c r="F251" s="1" t="s">
        <v>1729</v>
      </c>
      <c r="H251" s="1" t="s">
        <v>1707</v>
      </c>
      <c r="I251" s="1" t="s">
        <v>1671</v>
      </c>
      <c r="L251" s="4">
        <v>44798</v>
      </c>
      <c r="M251" s="1" t="s">
        <v>19</v>
      </c>
      <c r="N251" s="1" t="s">
        <v>526</v>
      </c>
      <c r="O251" s="1" t="s">
        <v>10</v>
      </c>
    </row>
    <row r="252" spans="1:16" x14ac:dyDescent="0.3">
      <c r="A252" s="11" t="str">
        <f>HYPERLINK("https://hsdes.intel.com/resource/14013158991","14013158991")</f>
        <v>14013158991</v>
      </c>
      <c r="B252" s="1" t="s">
        <v>527</v>
      </c>
      <c r="C252" s="1" t="s">
        <v>46</v>
      </c>
      <c r="D252" s="1" t="s">
        <v>1683</v>
      </c>
      <c r="E252" s="1" t="s">
        <v>1698</v>
      </c>
      <c r="F252" s="1" t="s">
        <v>1729</v>
      </c>
      <c r="H252" s="11" t="s">
        <v>1707</v>
      </c>
      <c r="I252" s="1" t="s">
        <v>1672</v>
      </c>
      <c r="K252" s="1" t="s">
        <v>1704</v>
      </c>
      <c r="L252" s="4">
        <v>44802</v>
      </c>
      <c r="M252" s="1" t="s">
        <v>19</v>
      </c>
      <c r="N252" s="1" t="s">
        <v>528</v>
      </c>
      <c r="O252" s="1" t="s">
        <v>10</v>
      </c>
    </row>
    <row r="253" spans="1:16" x14ac:dyDescent="0.3">
      <c r="A253" s="1" t="str">
        <f>HYPERLINK("https://hsdes.intel.com/resource/14013158993","14013158993")</f>
        <v>14013158993</v>
      </c>
      <c r="B253" s="1" t="s">
        <v>529</v>
      </c>
      <c r="C253" s="1" t="s">
        <v>46</v>
      </c>
      <c r="D253" s="1" t="s">
        <v>1683</v>
      </c>
      <c r="E253" s="1" t="s">
        <v>1698</v>
      </c>
      <c r="F253" s="1" t="s">
        <v>1729</v>
      </c>
      <c r="H253" s="1" t="s">
        <v>1707</v>
      </c>
      <c r="I253" s="1" t="s">
        <v>1718</v>
      </c>
      <c r="L253" s="4">
        <v>44799</v>
      </c>
      <c r="M253" s="1" t="s">
        <v>19</v>
      </c>
      <c r="N253" s="1" t="s">
        <v>530</v>
      </c>
      <c r="O253" s="1" t="s">
        <v>10</v>
      </c>
    </row>
    <row r="254" spans="1:16" x14ac:dyDescent="0.3">
      <c r="A254" s="1" t="str">
        <f>HYPERLINK("https://hsdes.intel.com/resource/14013159002","14013159002")</f>
        <v>14013159002</v>
      </c>
      <c r="B254" s="1" t="s">
        <v>531</v>
      </c>
      <c r="C254" s="1" t="s">
        <v>115</v>
      </c>
      <c r="D254" s="1" t="s">
        <v>1683</v>
      </c>
      <c r="E254" s="1" t="s">
        <v>1698</v>
      </c>
      <c r="F254" s="1" t="s">
        <v>1729</v>
      </c>
      <c r="H254" s="1" t="s">
        <v>1707</v>
      </c>
      <c r="I254" s="1" t="s">
        <v>1673</v>
      </c>
      <c r="L254" s="4">
        <v>44802</v>
      </c>
      <c r="M254" s="1" t="s">
        <v>15</v>
      </c>
      <c r="N254" s="1" t="s">
        <v>532</v>
      </c>
      <c r="O254" s="1" t="s">
        <v>32</v>
      </c>
    </row>
    <row r="255" spans="1:16" x14ac:dyDescent="0.3">
      <c r="A255" s="1" t="str">
        <f>HYPERLINK("https://hsdes.intel.com/resource/14013159008","14013159008")</f>
        <v>14013159008</v>
      </c>
      <c r="B255" s="1" t="s">
        <v>533</v>
      </c>
      <c r="C255" s="1" t="s">
        <v>46</v>
      </c>
      <c r="D255" s="1" t="s">
        <v>1683</v>
      </c>
      <c r="E255" s="1" t="s">
        <v>1698</v>
      </c>
      <c r="F255" s="1" t="s">
        <v>1729</v>
      </c>
      <c r="H255" s="1" t="s">
        <v>1707</v>
      </c>
      <c r="I255" s="1" t="s">
        <v>1721</v>
      </c>
      <c r="L255" s="4">
        <v>44802</v>
      </c>
      <c r="M255" s="1" t="s">
        <v>19</v>
      </c>
      <c r="N255" s="1" t="s">
        <v>534</v>
      </c>
      <c r="O255" s="1" t="s">
        <v>7</v>
      </c>
    </row>
    <row r="256" spans="1:16" x14ac:dyDescent="0.3">
      <c r="A256" s="1" t="str">
        <f>HYPERLINK("https://hsdes.intel.com/resource/14013159027","14013159027")</f>
        <v>14013159027</v>
      </c>
      <c r="B256" s="1" t="s">
        <v>535</v>
      </c>
      <c r="C256" s="1" t="s">
        <v>4</v>
      </c>
      <c r="D256" s="1" t="s">
        <v>1684</v>
      </c>
      <c r="E256" s="1" t="s">
        <v>1698</v>
      </c>
      <c r="F256" s="1" t="s">
        <v>1729</v>
      </c>
      <c r="H256" s="1" t="s">
        <v>1674</v>
      </c>
      <c r="I256" s="1" t="s">
        <v>1674</v>
      </c>
      <c r="M256" s="1" t="s">
        <v>5</v>
      </c>
      <c r="N256" s="1" t="s">
        <v>536</v>
      </c>
      <c r="O256" s="1" t="s">
        <v>32</v>
      </c>
    </row>
    <row r="257" spans="1:15" x14ac:dyDescent="0.3">
      <c r="A257" s="1" t="str">
        <f>HYPERLINK("https://hsdes.intel.com/resource/14013159034","14013159034")</f>
        <v>14013159034</v>
      </c>
      <c r="B257" s="1" t="s">
        <v>537</v>
      </c>
      <c r="C257" s="1" t="s">
        <v>46</v>
      </c>
      <c r="D257" s="1" t="s">
        <v>1683</v>
      </c>
      <c r="E257" s="1" t="s">
        <v>1698</v>
      </c>
      <c r="F257" s="1" t="s">
        <v>1729</v>
      </c>
      <c r="H257" s="1" t="s">
        <v>1707</v>
      </c>
      <c r="I257" s="1" t="s">
        <v>1672</v>
      </c>
      <c r="L257" s="4">
        <v>44799</v>
      </c>
      <c r="M257" s="1" t="s">
        <v>19</v>
      </c>
      <c r="N257" s="1" t="s">
        <v>538</v>
      </c>
      <c r="O257" s="1" t="s">
        <v>7</v>
      </c>
    </row>
    <row r="258" spans="1:15" x14ac:dyDescent="0.3">
      <c r="A258" s="1" t="str">
        <f>HYPERLINK("https://hsdes.intel.com/resource/14013159048","14013159048")</f>
        <v>14013159048</v>
      </c>
      <c r="B258" s="1" t="s">
        <v>539</v>
      </c>
      <c r="C258" s="1" t="s">
        <v>46</v>
      </c>
      <c r="D258" s="1" t="s">
        <v>1683</v>
      </c>
      <c r="E258" s="1" t="s">
        <v>1698</v>
      </c>
      <c r="F258" s="1" t="s">
        <v>1729</v>
      </c>
      <c r="H258" s="1" t="s">
        <v>1707</v>
      </c>
      <c r="I258" s="1" t="s">
        <v>1672</v>
      </c>
      <c r="L258" s="4">
        <v>44799</v>
      </c>
      <c r="M258" s="1" t="s">
        <v>19</v>
      </c>
      <c r="N258" s="1" t="s">
        <v>540</v>
      </c>
      <c r="O258" s="1" t="s">
        <v>10</v>
      </c>
    </row>
    <row r="259" spans="1:15" x14ac:dyDescent="0.3">
      <c r="A259" s="1" t="str">
        <f>HYPERLINK("https://hsdes.intel.com/resource/14013159050","14013159050")</f>
        <v>14013159050</v>
      </c>
      <c r="B259" s="1" t="s">
        <v>541</v>
      </c>
      <c r="C259" s="1" t="s">
        <v>18</v>
      </c>
      <c r="D259" s="1" t="s">
        <v>1683</v>
      </c>
      <c r="E259" s="1" t="s">
        <v>1698</v>
      </c>
      <c r="F259" s="1" t="s">
        <v>1729</v>
      </c>
      <c r="H259" s="1" t="s">
        <v>1707</v>
      </c>
      <c r="I259" s="1" t="s">
        <v>1672</v>
      </c>
      <c r="L259" s="4">
        <v>44799</v>
      </c>
      <c r="M259" s="1" t="s">
        <v>19</v>
      </c>
      <c r="N259" s="1" t="s">
        <v>542</v>
      </c>
      <c r="O259" s="1" t="s">
        <v>10</v>
      </c>
    </row>
    <row r="260" spans="1:15" x14ac:dyDescent="0.3">
      <c r="A260" s="12" t="str">
        <f>HYPERLINK("https://hsdes.intel.com/resource/14013159287","14013159287")</f>
        <v>14013159287</v>
      </c>
      <c r="B260" s="1" t="s">
        <v>543</v>
      </c>
      <c r="C260" s="1" t="s">
        <v>4</v>
      </c>
      <c r="D260" s="1" t="s">
        <v>1683</v>
      </c>
      <c r="E260" s="1" t="s">
        <v>1698</v>
      </c>
      <c r="F260" s="1" t="s">
        <v>1729</v>
      </c>
      <c r="H260" s="1" t="s">
        <v>1707</v>
      </c>
      <c r="I260" s="1" t="s">
        <v>1671</v>
      </c>
      <c r="L260" s="4">
        <v>44798</v>
      </c>
      <c r="M260" s="1" t="s">
        <v>5</v>
      </c>
      <c r="N260" s="1" t="s">
        <v>544</v>
      </c>
      <c r="O260" s="1" t="s">
        <v>7</v>
      </c>
    </row>
    <row r="261" spans="1:15" x14ac:dyDescent="0.3">
      <c r="A261" s="1" t="str">
        <f>HYPERLINK("https://hsdes.intel.com/resource/14013159294","14013159294")</f>
        <v>14013159294</v>
      </c>
      <c r="B261" s="1" t="s">
        <v>545</v>
      </c>
      <c r="C261" s="1" t="s">
        <v>4</v>
      </c>
      <c r="D261" s="1" t="s">
        <v>1683</v>
      </c>
      <c r="E261" s="1" t="s">
        <v>1698</v>
      </c>
      <c r="F261" s="1" t="s">
        <v>1729</v>
      </c>
      <c r="H261" s="1" t="s">
        <v>1707</v>
      </c>
      <c r="I261" s="1" t="s">
        <v>1671</v>
      </c>
      <c r="L261" s="4">
        <v>44798</v>
      </c>
      <c r="M261" s="1" t="s">
        <v>5</v>
      </c>
      <c r="N261" s="1" t="s">
        <v>546</v>
      </c>
      <c r="O261" s="1" t="s">
        <v>32</v>
      </c>
    </row>
    <row r="262" spans="1:15" x14ac:dyDescent="0.3">
      <c r="A262" s="1" t="str">
        <f>HYPERLINK("https://hsdes.intel.com/resource/14013159296","14013159296")</f>
        <v>14013159296</v>
      </c>
      <c r="B262" s="1" t="s">
        <v>547</v>
      </c>
      <c r="C262" s="1" t="s">
        <v>4</v>
      </c>
      <c r="D262" s="1" t="s">
        <v>1683</v>
      </c>
      <c r="E262" s="1" t="s">
        <v>1698</v>
      </c>
      <c r="F262" s="1" t="s">
        <v>1729</v>
      </c>
      <c r="H262" s="1" t="s">
        <v>1707</v>
      </c>
      <c r="I262" s="1" t="s">
        <v>1671</v>
      </c>
      <c r="L262" s="4">
        <v>44798</v>
      </c>
      <c r="M262" s="1" t="s">
        <v>5</v>
      </c>
      <c r="N262" s="1" t="s">
        <v>548</v>
      </c>
      <c r="O262" s="1" t="s">
        <v>32</v>
      </c>
    </row>
    <row r="263" spans="1:15" x14ac:dyDescent="0.3">
      <c r="A263" s="1" t="str">
        <f>HYPERLINK("https://hsdes.intel.com/resource/14013159299","14013159299")</f>
        <v>14013159299</v>
      </c>
      <c r="B263" s="1" t="s">
        <v>549</v>
      </c>
      <c r="C263" s="1" t="s">
        <v>4</v>
      </c>
      <c r="D263" s="1" t="s">
        <v>1683</v>
      </c>
      <c r="E263" s="1" t="s">
        <v>1698</v>
      </c>
      <c r="F263" s="1" t="s">
        <v>1729</v>
      </c>
      <c r="H263" s="1" t="s">
        <v>1707</v>
      </c>
      <c r="I263" s="1" t="s">
        <v>1671</v>
      </c>
      <c r="L263" s="4">
        <v>44798</v>
      </c>
      <c r="M263" s="1" t="s">
        <v>5</v>
      </c>
      <c r="N263" s="1" t="s">
        <v>550</v>
      </c>
      <c r="O263" s="1" t="s">
        <v>32</v>
      </c>
    </row>
    <row r="264" spans="1:15" x14ac:dyDescent="0.3">
      <c r="A264" s="1" t="str">
        <f>HYPERLINK("https://hsdes.intel.com/resource/14013159302","14013159302")</f>
        <v>14013159302</v>
      </c>
      <c r="B264" s="1" t="s">
        <v>551</v>
      </c>
      <c r="C264" s="1" t="s">
        <v>4</v>
      </c>
      <c r="D264" s="1" t="s">
        <v>1683</v>
      </c>
      <c r="E264" s="1" t="s">
        <v>1698</v>
      </c>
      <c r="F264" s="1" t="s">
        <v>1729</v>
      </c>
      <c r="H264" s="1" t="s">
        <v>1707</v>
      </c>
      <c r="I264" s="1" t="s">
        <v>1672</v>
      </c>
      <c r="L264" s="4">
        <v>44798</v>
      </c>
      <c r="M264" s="1" t="s">
        <v>5</v>
      </c>
      <c r="N264" s="1" t="s">
        <v>552</v>
      </c>
      <c r="O264" s="1" t="s">
        <v>32</v>
      </c>
    </row>
    <row r="265" spans="1:15" x14ac:dyDescent="0.3">
      <c r="A265" s="1" t="str">
        <f>HYPERLINK("https://hsdes.intel.com/resource/14013159310","14013159310")</f>
        <v>14013159310</v>
      </c>
      <c r="B265" s="1" t="s">
        <v>553</v>
      </c>
      <c r="C265" s="1" t="s">
        <v>46</v>
      </c>
      <c r="D265" s="1" t="s">
        <v>1683</v>
      </c>
      <c r="E265" s="1" t="s">
        <v>1698</v>
      </c>
      <c r="F265" s="1" t="s">
        <v>1729</v>
      </c>
      <c r="H265" s="1" t="s">
        <v>1707</v>
      </c>
      <c r="I265" s="1" t="s">
        <v>1718</v>
      </c>
      <c r="L265" s="4">
        <v>44798</v>
      </c>
      <c r="M265" s="1" t="s">
        <v>19</v>
      </c>
      <c r="N265" s="1" t="s">
        <v>554</v>
      </c>
      <c r="O265" s="1" t="s">
        <v>7</v>
      </c>
    </row>
    <row r="266" spans="1:15" x14ac:dyDescent="0.3">
      <c r="A266" s="1" t="str">
        <f>HYPERLINK("https://hsdes.intel.com/resource/14013159323","14013159323")</f>
        <v>14013159323</v>
      </c>
      <c r="B266" s="1" t="s">
        <v>555</v>
      </c>
      <c r="C266" s="1" t="s">
        <v>46</v>
      </c>
      <c r="D266" s="1" t="s">
        <v>1683</v>
      </c>
      <c r="E266" s="1" t="s">
        <v>1698</v>
      </c>
      <c r="F266" s="1" t="s">
        <v>1729</v>
      </c>
      <c r="H266" s="8" t="s">
        <v>1707</v>
      </c>
      <c r="I266" s="1" t="s">
        <v>1726</v>
      </c>
      <c r="L266" s="4">
        <v>44803</v>
      </c>
      <c r="M266" s="1" t="s">
        <v>19</v>
      </c>
      <c r="N266" s="1" t="s">
        <v>556</v>
      </c>
      <c r="O266" s="1" t="s">
        <v>10</v>
      </c>
    </row>
    <row r="267" spans="1:15" x14ac:dyDescent="0.3">
      <c r="A267" s="1" t="str">
        <f>HYPERLINK("https://hsdes.intel.com/resource/14013159329","14013159329")</f>
        <v>14013159329</v>
      </c>
      <c r="B267" s="1" t="s">
        <v>557</v>
      </c>
      <c r="C267" s="1" t="s">
        <v>4</v>
      </c>
      <c r="D267" s="1" t="s">
        <v>1683</v>
      </c>
      <c r="E267" s="1" t="s">
        <v>1698</v>
      </c>
      <c r="F267" s="1" t="s">
        <v>1729</v>
      </c>
      <c r="H267" s="1" t="s">
        <v>1707</v>
      </c>
      <c r="I267" s="1" t="s">
        <v>1718</v>
      </c>
      <c r="L267" s="4">
        <v>44799</v>
      </c>
      <c r="M267" s="1" t="s">
        <v>5</v>
      </c>
      <c r="N267" s="1" t="s">
        <v>558</v>
      </c>
      <c r="O267" s="1" t="s">
        <v>7</v>
      </c>
    </row>
    <row r="268" spans="1:15" x14ac:dyDescent="0.3">
      <c r="A268" s="1" t="str">
        <f>HYPERLINK("https://hsdes.intel.com/resource/14013159340","14013159340")</f>
        <v>14013159340</v>
      </c>
      <c r="B268" s="1" t="s">
        <v>559</v>
      </c>
      <c r="C268" s="1" t="s">
        <v>4</v>
      </c>
      <c r="D268" s="1" t="s">
        <v>1683</v>
      </c>
      <c r="E268" s="1" t="s">
        <v>1698</v>
      </c>
      <c r="F268" s="1" t="s">
        <v>1729</v>
      </c>
      <c r="H268" s="1" t="s">
        <v>1707</v>
      </c>
      <c r="I268" s="1" t="s">
        <v>1718</v>
      </c>
      <c r="L268" s="4">
        <v>44798</v>
      </c>
      <c r="M268" s="1" t="s">
        <v>5</v>
      </c>
      <c r="N268" s="1" t="s">
        <v>560</v>
      </c>
      <c r="O268" s="1" t="s">
        <v>32</v>
      </c>
    </row>
    <row r="269" spans="1:15" x14ac:dyDescent="0.3">
      <c r="A269" s="1" t="str">
        <f>HYPERLINK("https://hsdes.intel.com/resource/14013159343","14013159343")</f>
        <v>14013159343</v>
      </c>
      <c r="B269" s="1" t="s">
        <v>561</v>
      </c>
      <c r="C269" s="1" t="s">
        <v>4</v>
      </c>
      <c r="D269" s="1" t="s">
        <v>1683</v>
      </c>
      <c r="E269" s="1" t="s">
        <v>1698</v>
      </c>
      <c r="F269" s="1" t="s">
        <v>1729</v>
      </c>
      <c r="H269" s="7" t="s">
        <v>1707</v>
      </c>
      <c r="I269" s="1" t="s">
        <v>1718</v>
      </c>
      <c r="L269" s="4">
        <v>44802</v>
      </c>
      <c r="M269" s="1" t="s">
        <v>5</v>
      </c>
      <c r="N269" s="1" t="s">
        <v>562</v>
      </c>
      <c r="O269" s="1" t="s">
        <v>32</v>
      </c>
    </row>
    <row r="270" spans="1:15" x14ac:dyDescent="0.3">
      <c r="A270" s="1" t="str">
        <f>HYPERLINK("https://hsdes.intel.com/resource/14013159344","14013159344")</f>
        <v>14013159344</v>
      </c>
      <c r="B270" s="1" t="s">
        <v>563</v>
      </c>
      <c r="C270" s="1" t="s">
        <v>4</v>
      </c>
      <c r="D270" s="1" t="s">
        <v>1683</v>
      </c>
      <c r="E270" s="1" t="s">
        <v>1698</v>
      </c>
      <c r="F270" s="1" t="s">
        <v>1729</v>
      </c>
      <c r="H270" s="7" t="s">
        <v>1707</v>
      </c>
      <c r="I270" s="1" t="s">
        <v>1718</v>
      </c>
      <c r="L270" s="4">
        <v>44802</v>
      </c>
      <c r="M270" s="1" t="s">
        <v>5</v>
      </c>
      <c r="N270" s="1" t="s">
        <v>564</v>
      </c>
      <c r="O270" s="1" t="s">
        <v>32</v>
      </c>
    </row>
    <row r="271" spans="1:15" x14ac:dyDescent="0.3">
      <c r="A271" s="1" t="str">
        <f>HYPERLINK("https://hsdes.intel.com/resource/14013159349","14013159349")</f>
        <v>14013159349</v>
      </c>
      <c r="B271" s="1" t="s">
        <v>565</v>
      </c>
      <c r="C271" s="1" t="s">
        <v>4</v>
      </c>
      <c r="D271" s="1" t="s">
        <v>1683</v>
      </c>
      <c r="E271" s="1" t="s">
        <v>1698</v>
      </c>
      <c r="F271" s="1" t="s">
        <v>1729</v>
      </c>
      <c r="H271" s="7" t="s">
        <v>1707</v>
      </c>
      <c r="I271" s="1" t="s">
        <v>1718</v>
      </c>
      <c r="L271" s="4">
        <v>44802</v>
      </c>
      <c r="M271" s="1" t="s">
        <v>5</v>
      </c>
      <c r="N271" s="1" t="s">
        <v>566</v>
      </c>
      <c r="O271" s="1" t="s">
        <v>32</v>
      </c>
    </row>
    <row r="272" spans="1:15" x14ac:dyDescent="0.3">
      <c r="A272" s="1" t="str">
        <f>HYPERLINK("https://hsdes.intel.com/resource/14013159351","14013159351")</f>
        <v>14013159351</v>
      </c>
      <c r="B272" s="1" t="s">
        <v>567</v>
      </c>
      <c r="C272" s="1" t="s">
        <v>4</v>
      </c>
      <c r="D272" s="1" t="s">
        <v>1683</v>
      </c>
      <c r="E272" s="1" t="s">
        <v>1698</v>
      </c>
      <c r="F272" s="1" t="s">
        <v>1729</v>
      </c>
      <c r="H272" s="7" t="s">
        <v>1707</v>
      </c>
      <c r="I272" s="1" t="s">
        <v>1718</v>
      </c>
      <c r="L272" s="4">
        <v>44802</v>
      </c>
      <c r="M272" s="1" t="s">
        <v>5</v>
      </c>
      <c r="N272" s="1" t="s">
        <v>568</v>
      </c>
      <c r="O272" s="1" t="s">
        <v>32</v>
      </c>
    </row>
    <row r="273" spans="1:15" x14ac:dyDescent="0.3">
      <c r="A273" s="1" t="str">
        <f>HYPERLINK("https://hsdes.intel.com/resource/14013159356","14013159356")</f>
        <v>14013159356</v>
      </c>
      <c r="B273" s="1" t="s">
        <v>569</v>
      </c>
      <c r="C273" s="1" t="s">
        <v>4</v>
      </c>
      <c r="D273" s="1" t="s">
        <v>1683</v>
      </c>
      <c r="E273" s="1" t="s">
        <v>1698</v>
      </c>
      <c r="F273" s="1" t="s">
        <v>1729</v>
      </c>
      <c r="H273" s="7" t="s">
        <v>1707</v>
      </c>
      <c r="I273" s="1" t="s">
        <v>1718</v>
      </c>
      <c r="L273" s="4">
        <v>44802</v>
      </c>
      <c r="M273" s="1" t="s">
        <v>5</v>
      </c>
      <c r="N273" s="1" t="s">
        <v>570</v>
      </c>
      <c r="O273" s="1" t="s">
        <v>32</v>
      </c>
    </row>
    <row r="274" spans="1:15" x14ac:dyDescent="0.3">
      <c r="A274" s="1" t="str">
        <f>HYPERLINK("https://hsdes.intel.com/resource/14013159363","14013159363")</f>
        <v>14013159363</v>
      </c>
      <c r="B274" s="1" t="s">
        <v>571</v>
      </c>
      <c r="C274" s="1" t="s">
        <v>4</v>
      </c>
      <c r="D274" s="1" t="s">
        <v>1683</v>
      </c>
      <c r="E274" s="1" t="s">
        <v>1698</v>
      </c>
      <c r="F274" s="1" t="s">
        <v>1729</v>
      </c>
      <c r="H274" s="7" t="s">
        <v>1707</v>
      </c>
      <c r="I274" s="1" t="s">
        <v>1718</v>
      </c>
      <c r="L274" s="4">
        <v>44802</v>
      </c>
      <c r="M274" s="1" t="s">
        <v>5</v>
      </c>
      <c r="N274" s="1" t="s">
        <v>572</v>
      </c>
      <c r="O274" s="1" t="s">
        <v>32</v>
      </c>
    </row>
    <row r="275" spans="1:15" x14ac:dyDescent="0.3">
      <c r="A275" s="1" t="str">
        <f>HYPERLINK("https://hsdes.intel.com/resource/14013159365","14013159365")</f>
        <v>14013159365</v>
      </c>
      <c r="B275" s="1" t="s">
        <v>573</v>
      </c>
      <c r="C275" s="1" t="s">
        <v>4</v>
      </c>
      <c r="D275" s="1" t="s">
        <v>1683</v>
      </c>
      <c r="E275" s="1" t="s">
        <v>1698</v>
      </c>
      <c r="F275" s="1" t="s">
        <v>1729</v>
      </c>
      <c r="H275" s="7" t="s">
        <v>1707</v>
      </c>
      <c r="I275" s="1" t="s">
        <v>1718</v>
      </c>
      <c r="L275" s="4">
        <v>44802</v>
      </c>
      <c r="M275" s="1" t="s">
        <v>5</v>
      </c>
      <c r="N275" s="1" t="s">
        <v>574</v>
      </c>
      <c r="O275" s="1" t="s">
        <v>32</v>
      </c>
    </row>
    <row r="276" spans="1:15" x14ac:dyDescent="0.3">
      <c r="A276" s="1" t="str">
        <f>HYPERLINK("https://hsdes.intel.com/resource/14013159407","14013159407")</f>
        <v>14013159407</v>
      </c>
      <c r="B276" s="1" t="s">
        <v>575</v>
      </c>
      <c r="C276" s="1" t="s">
        <v>4</v>
      </c>
      <c r="D276" s="1" t="s">
        <v>1684</v>
      </c>
      <c r="E276" s="1" t="s">
        <v>1698</v>
      </c>
      <c r="F276" s="1" t="s">
        <v>1729</v>
      </c>
      <c r="H276" s="1" t="s">
        <v>1707</v>
      </c>
      <c r="I276" s="1" t="s">
        <v>1673</v>
      </c>
      <c r="L276" s="4">
        <v>44798</v>
      </c>
      <c r="M276" s="1" t="s">
        <v>5</v>
      </c>
      <c r="N276" s="1" t="s">
        <v>576</v>
      </c>
      <c r="O276" s="1" t="s">
        <v>32</v>
      </c>
    </row>
    <row r="277" spans="1:15" x14ac:dyDescent="0.3">
      <c r="A277" s="1" t="str">
        <f>HYPERLINK("https://hsdes.intel.com/resource/14013159413","14013159413")</f>
        <v>14013159413</v>
      </c>
      <c r="B277" s="1" t="s">
        <v>577</v>
      </c>
      <c r="C277" s="1" t="s">
        <v>4</v>
      </c>
      <c r="D277" s="1" t="s">
        <v>1684</v>
      </c>
      <c r="E277" s="1" t="s">
        <v>1698</v>
      </c>
      <c r="F277" s="1" t="s">
        <v>1729</v>
      </c>
      <c r="H277" s="1" t="s">
        <v>1707</v>
      </c>
      <c r="I277" s="1" t="s">
        <v>1673</v>
      </c>
      <c r="L277" s="4">
        <v>44799</v>
      </c>
      <c r="M277" s="1" t="s">
        <v>5</v>
      </c>
      <c r="N277" s="1" t="s">
        <v>578</v>
      </c>
      <c r="O277" s="1" t="s">
        <v>32</v>
      </c>
    </row>
    <row r="278" spans="1:15" x14ac:dyDescent="0.3">
      <c r="A278" s="1" t="str">
        <f>HYPERLINK("https://hsdes.intel.com/resource/14013159419","14013159419")</f>
        <v>14013159419</v>
      </c>
      <c r="B278" s="1" t="s">
        <v>579</v>
      </c>
      <c r="C278" s="1" t="s">
        <v>4</v>
      </c>
      <c r="D278" s="1" t="s">
        <v>1683</v>
      </c>
      <c r="E278" s="1" t="s">
        <v>1698</v>
      </c>
      <c r="F278" s="1" t="s">
        <v>1729</v>
      </c>
      <c r="H278" s="1" t="s">
        <v>1707</v>
      </c>
      <c r="I278" s="1" t="s">
        <v>1671</v>
      </c>
      <c r="L278" s="4">
        <v>44803</v>
      </c>
      <c r="M278" s="1" t="s">
        <v>5</v>
      </c>
      <c r="N278" s="1" t="s">
        <v>580</v>
      </c>
      <c r="O278" s="1" t="s">
        <v>32</v>
      </c>
    </row>
    <row r="279" spans="1:15" x14ac:dyDescent="0.3">
      <c r="A279" s="1" t="str">
        <f>HYPERLINK("https://hsdes.intel.com/resource/14013159421","14013159421")</f>
        <v>14013159421</v>
      </c>
      <c r="B279" s="1" t="s">
        <v>581</v>
      </c>
      <c r="C279" s="1" t="s">
        <v>4</v>
      </c>
      <c r="D279" s="1" t="s">
        <v>1683</v>
      </c>
      <c r="E279" s="1" t="s">
        <v>1698</v>
      </c>
      <c r="F279" s="1" t="s">
        <v>1729</v>
      </c>
      <c r="H279" s="1" t="s">
        <v>1707</v>
      </c>
      <c r="I279" s="1" t="s">
        <v>1671</v>
      </c>
      <c r="L279" s="4">
        <v>44799</v>
      </c>
      <c r="M279" s="1" t="s">
        <v>5</v>
      </c>
      <c r="N279" s="1" t="s">
        <v>582</v>
      </c>
      <c r="O279" s="1" t="s">
        <v>32</v>
      </c>
    </row>
    <row r="280" spans="1:15" x14ac:dyDescent="0.3">
      <c r="A280" s="1" t="str">
        <f>HYPERLINK("https://hsdes.intel.com/resource/14013159423","14013159423")</f>
        <v>14013159423</v>
      </c>
      <c r="B280" s="1" t="s">
        <v>583</v>
      </c>
      <c r="C280" s="1" t="s">
        <v>4</v>
      </c>
      <c r="D280" s="1" t="s">
        <v>1683</v>
      </c>
      <c r="E280" s="1" t="s">
        <v>1698</v>
      </c>
      <c r="F280" s="1" t="s">
        <v>1729</v>
      </c>
      <c r="H280" s="1" t="s">
        <v>1707</v>
      </c>
      <c r="I280" s="1" t="s">
        <v>1671</v>
      </c>
      <c r="L280" s="4">
        <v>44799</v>
      </c>
      <c r="M280" s="1" t="s">
        <v>5</v>
      </c>
      <c r="N280" s="1" t="s">
        <v>584</v>
      </c>
      <c r="O280" s="1" t="s">
        <v>32</v>
      </c>
    </row>
    <row r="281" spans="1:15" x14ac:dyDescent="0.3">
      <c r="A281" s="1" t="str">
        <f>HYPERLINK("https://hsdes.intel.com/resource/14013159425","14013159425")</f>
        <v>14013159425</v>
      </c>
      <c r="B281" s="1" t="s">
        <v>585</v>
      </c>
      <c r="C281" s="1" t="s">
        <v>4</v>
      </c>
      <c r="D281" s="1" t="s">
        <v>1683</v>
      </c>
      <c r="E281" s="1" t="s">
        <v>1698</v>
      </c>
      <c r="F281" s="1" t="s">
        <v>1729</v>
      </c>
      <c r="H281" s="1" t="s">
        <v>1707</v>
      </c>
      <c r="I281" s="1" t="s">
        <v>1673</v>
      </c>
      <c r="L281" s="4">
        <v>44798</v>
      </c>
      <c r="M281" s="1" t="s">
        <v>5</v>
      </c>
      <c r="N281" s="1" t="s">
        <v>586</v>
      </c>
      <c r="O281" s="1" t="s">
        <v>32</v>
      </c>
    </row>
    <row r="282" spans="1:15" x14ac:dyDescent="0.3">
      <c r="A282" s="1" t="str">
        <f>HYPERLINK("https://hsdes.intel.com/resource/14013159431","14013159431")</f>
        <v>14013159431</v>
      </c>
      <c r="B282" s="1" t="s">
        <v>587</v>
      </c>
      <c r="C282" s="1" t="s">
        <v>4</v>
      </c>
      <c r="D282" s="1" t="s">
        <v>1683</v>
      </c>
      <c r="E282" s="1" t="s">
        <v>1698</v>
      </c>
      <c r="F282" s="1" t="s">
        <v>1729</v>
      </c>
      <c r="H282" s="7" t="s">
        <v>1707</v>
      </c>
      <c r="I282" s="1" t="s">
        <v>1718</v>
      </c>
      <c r="L282" s="4">
        <v>44802</v>
      </c>
      <c r="M282" s="1" t="s">
        <v>5</v>
      </c>
      <c r="N282" s="1" t="s">
        <v>588</v>
      </c>
      <c r="O282" s="1" t="s">
        <v>32</v>
      </c>
    </row>
    <row r="283" spans="1:15" x14ac:dyDescent="0.3">
      <c r="A283" s="1" t="str">
        <f>HYPERLINK("https://hsdes.intel.com/resource/14013159433","14013159433")</f>
        <v>14013159433</v>
      </c>
      <c r="B283" s="1" t="s">
        <v>589</v>
      </c>
      <c r="C283" s="1" t="s">
        <v>4</v>
      </c>
      <c r="D283" s="1" t="s">
        <v>1683</v>
      </c>
      <c r="E283" s="1" t="s">
        <v>1698</v>
      </c>
      <c r="F283" s="1" t="s">
        <v>1729</v>
      </c>
      <c r="H283" s="1" t="s">
        <v>1707</v>
      </c>
      <c r="I283" s="1" t="s">
        <v>1673</v>
      </c>
      <c r="L283" s="4">
        <v>44799</v>
      </c>
      <c r="M283" s="1" t="s">
        <v>5</v>
      </c>
      <c r="N283" s="1" t="s">
        <v>590</v>
      </c>
      <c r="O283" s="1" t="s">
        <v>32</v>
      </c>
    </row>
    <row r="284" spans="1:15" x14ac:dyDescent="0.3">
      <c r="A284" s="1" t="str">
        <f>HYPERLINK("https://hsdes.intel.com/resource/14013159441","14013159441")</f>
        <v>14013159441</v>
      </c>
      <c r="B284" s="1" t="s">
        <v>591</v>
      </c>
      <c r="C284" s="1" t="s">
        <v>4</v>
      </c>
      <c r="D284" s="1" t="s">
        <v>1683</v>
      </c>
      <c r="E284" s="1" t="s">
        <v>1698</v>
      </c>
      <c r="F284" s="1" t="s">
        <v>1729</v>
      </c>
      <c r="H284" s="1" t="s">
        <v>1708</v>
      </c>
      <c r="I284" s="1" t="s">
        <v>1671</v>
      </c>
      <c r="L284" s="4">
        <v>44797</v>
      </c>
      <c r="M284" s="1" t="s">
        <v>5</v>
      </c>
      <c r="N284" s="1" t="s">
        <v>592</v>
      </c>
      <c r="O284" s="1" t="s">
        <v>32</v>
      </c>
    </row>
    <row r="285" spans="1:15" x14ac:dyDescent="0.3">
      <c r="A285" s="1" t="str">
        <f>HYPERLINK("https://hsdes.intel.com/resource/14013159443","14013159443")</f>
        <v>14013159443</v>
      </c>
      <c r="B285" s="1" t="s">
        <v>593</v>
      </c>
      <c r="C285" s="1" t="s">
        <v>4</v>
      </c>
      <c r="D285" s="1" t="s">
        <v>1683</v>
      </c>
      <c r="E285" s="1" t="s">
        <v>1698</v>
      </c>
      <c r="F285" s="1" t="s">
        <v>1729</v>
      </c>
      <c r="H285" s="1" t="s">
        <v>1707</v>
      </c>
      <c r="I285" s="1" t="s">
        <v>1673</v>
      </c>
      <c r="L285" s="4">
        <v>44798</v>
      </c>
      <c r="M285" s="1" t="s">
        <v>5</v>
      </c>
      <c r="N285" s="1" t="s">
        <v>594</v>
      </c>
      <c r="O285" s="1" t="s">
        <v>32</v>
      </c>
    </row>
    <row r="286" spans="1:15" x14ac:dyDescent="0.3">
      <c r="A286" s="1" t="str">
        <f>HYPERLINK("https://hsdes.intel.com/resource/14013159446","14013159446")</f>
        <v>14013159446</v>
      </c>
      <c r="B286" s="1" t="s">
        <v>595</v>
      </c>
      <c r="C286" s="1" t="s">
        <v>4</v>
      </c>
      <c r="D286" s="1" t="s">
        <v>1683</v>
      </c>
      <c r="E286" s="1" t="s">
        <v>1698</v>
      </c>
      <c r="F286" s="1" t="s">
        <v>1729</v>
      </c>
      <c r="H286" s="1" t="s">
        <v>1707</v>
      </c>
      <c r="I286" s="1" t="s">
        <v>1671</v>
      </c>
      <c r="L286" s="4">
        <v>44799</v>
      </c>
      <c r="M286" s="1" t="s">
        <v>5</v>
      </c>
      <c r="N286" s="1" t="s">
        <v>596</v>
      </c>
      <c r="O286" s="1" t="s">
        <v>32</v>
      </c>
    </row>
    <row r="287" spans="1:15" x14ac:dyDescent="0.3">
      <c r="A287" s="1" t="str">
        <f>HYPERLINK("https://hsdes.intel.com/resource/14013159450","14013159450")</f>
        <v>14013159450</v>
      </c>
      <c r="B287" s="1" t="s">
        <v>597</v>
      </c>
      <c r="C287" s="1" t="s">
        <v>4</v>
      </c>
      <c r="D287" s="1" t="s">
        <v>1683</v>
      </c>
      <c r="E287" s="1" t="s">
        <v>1698</v>
      </c>
      <c r="F287" s="1" t="s">
        <v>1729</v>
      </c>
      <c r="H287" s="1" t="s">
        <v>1707</v>
      </c>
      <c r="I287" s="1" t="s">
        <v>1671</v>
      </c>
      <c r="L287" s="4">
        <v>44798</v>
      </c>
      <c r="M287" s="1" t="s">
        <v>5</v>
      </c>
      <c r="N287" s="1" t="s">
        <v>598</v>
      </c>
      <c r="O287" s="1" t="s">
        <v>32</v>
      </c>
    </row>
    <row r="288" spans="1:15" x14ac:dyDescent="0.3">
      <c r="A288" s="1" t="str">
        <f>HYPERLINK("https://hsdes.intel.com/resource/14013159453","14013159453")</f>
        <v>14013159453</v>
      </c>
      <c r="B288" s="1" t="s">
        <v>599</v>
      </c>
      <c r="C288" s="1" t="s">
        <v>4</v>
      </c>
      <c r="D288" s="1" t="s">
        <v>1683</v>
      </c>
      <c r="E288" s="1" t="s">
        <v>1698</v>
      </c>
      <c r="F288" s="1" t="s">
        <v>1729</v>
      </c>
      <c r="H288" s="1" t="s">
        <v>1707</v>
      </c>
      <c r="I288" s="1" t="s">
        <v>1671</v>
      </c>
      <c r="L288" s="4">
        <v>44799</v>
      </c>
      <c r="M288" s="1" t="s">
        <v>5</v>
      </c>
      <c r="N288" s="1" t="s">
        <v>600</v>
      </c>
      <c r="O288" s="1" t="s">
        <v>32</v>
      </c>
    </row>
    <row r="289" spans="1:15" x14ac:dyDescent="0.3">
      <c r="A289" s="1" t="str">
        <f>HYPERLINK("https://hsdes.intel.com/resource/14013159460","14013159460")</f>
        <v>14013159460</v>
      </c>
      <c r="B289" s="1" t="s">
        <v>601</v>
      </c>
      <c r="C289" s="1" t="s">
        <v>4</v>
      </c>
      <c r="D289" s="1" t="s">
        <v>1683</v>
      </c>
      <c r="E289" s="1" t="s">
        <v>1698</v>
      </c>
      <c r="F289" s="1" t="s">
        <v>1729</v>
      </c>
      <c r="H289" s="1" t="s">
        <v>1707</v>
      </c>
      <c r="I289" s="1" t="s">
        <v>1671</v>
      </c>
      <c r="L289" s="4">
        <v>44799</v>
      </c>
      <c r="M289" s="1" t="s">
        <v>5</v>
      </c>
      <c r="N289" s="1" t="s">
        <v>602</v>
      </c>
      <c r="O289" s="1" t="s">
        <v>32</v>
      </c>
    </row>
    <row r="290" spans="1:15" x14ac:dyDescent="0.3">
      <c r="A290" s="1" t="str">
        <f>HYPERLINK("https://hsdes.intel.com/resource/14013159478","14013159478")</f>
        <v>14013159478</v>
      </c>
      <c r="B290" s="1" t="s">
        <v>603</v>
      </c>
      <c r="C290" s="1" t="s">
        <v>4</v>
      </c>
      <c r="D290" s="1" t="s">
        <v>1683</v>
      </c>
      <c r="E290" s="1" t="s">
        <v>1698</v>
      </c>
      <c r="F290" s="1" t="s">
        <v>1729</v>
      </c>
      <c r="H290" s="8" t="s">
        <v>1707</v>
      </c>
      <c r="I290" s="1" t="s">
        <v>1671</v>
      </c>
      <c r="L290" s="4">
        <v>44799</v>
      </c>
      <c r="M290" s="1" t="s">
        <v>5</v>
      </c>
      <c r="N290" s="1" t="s">
        <v>604</v>
      </c>
      <c r="O290" s="1" t="s">
        <v>32</v>
      </c>
    </row>
    <row r="291" spans="1:15" x14ac:dyDescent="0.3">
      <c r="A291" s="1" t="str">
        <f>HYPERLINK("https://hsdes.intel.com/resource/14013159482","14013159482")</f>
        <v>14013159482</v>
      </c>
      <c r="B291" s="1" t="s">
        <v>605</v>
      </c>
      <c r="C291" s="1" t="s">
        <v>4</v>
      </c>
      <c r="D291" s="1" t="s">
        <v>1683</v>
      </c>
      <c r="E291" s="1" t="s">
        <v>1698</v>
      </c>
      <c r="F291" s="1" t="s">
        <v>1729</v>
      </c>
      <c r="H291" s="1" t="s">
        <v>1707</v>
      </c>
      <c r="I291" s="1" t="s">
        <v>1673</v>
      </c>
      <c r="L291" s="4">
        <v>44799</v>
      </c>
      <c r="M291" s="1" t="s">
        <v>5</v>
      </c>
      <c r="N291" s="1" t="s">
        <v>606</v>
      </c>
      <c r="O291" s="1" t="s">
        <v>32</v>
      </c>
    </row>
    <row r="292" spans="1:15" x14ac:dyDescent="0.3">
      <c r="A292" s="1" t="str">
        <f>HYPERLINK("https://hsdes.intel.com/resource/14013159484","14013159484")</f>
        <v>14013159484</v>
      </c>
      <c r="B292" s="1" t="s">
        <v>607</v>
      </c>
      <c r="C292" s="1" t="s">
        <v>4</v>
      </c>
      <c r="D292" s="1" t="s">
        <v>1683</v>
      </c>
      <c r="E292" s="1" t="s">
        <v>1698</v>
      </c>
      <c r="F292" s="1" t="s">
        <v>1729</v>
      </c>
      <c r="H292" s="1" t="s">
        <v>1707</v>
      </c>
      <c r="I292" s="1" t="s">
        <v>1673</v>
      </c>
      <c r="L292" s="4">
        <v>44799</v>
      </c>
      <c r="M292" s="1" t="s">
        <v>5</v>
      </c>
      <c r="N292" s="1" t="s">
        <v>608</v>
      </c>
      <c r="O292" s="1" t="s">
        <v>32</v>
      </c>
    </row>
    <row r="293" spans="1:15" x14ac:dyDescent="0.3">
      <c r="A293" s="1" t="str">
        <f>HYPERLINK("https://hsdes.intel.com/resource/14013159493","14013159493")</f>
        <v>14013159493</v>
      </c>
      <c r="B293" s="1" t="s">
        <v>609</v>
      </c>
      <c r="C293" s="1" t="s">
        <v>4</v>
      </c>
      <c r="D293" s="1" t="s">
        <v>1683</v>
      </c>
      <c r="E293" s="1" t="s">
        <v>1698</v>
      </c>
      <c r="F293" s="1" t="s">
        <v>1729</v>
      </c>
      <c r="H293" s="1" t="s">
        <v>1707</v>
      </c>
      <c r="I293" s="1" t="s">
        <v>1673</v>
      </c>
      <c r="L293" s="4">
        <v>44798</v>
      </c>
      <c r="M293" s="1" t="s">
        <v>5</v>
      </c>
      <c r="N293" s="1" t="s">
        <v>610</v>
      </c>
      <c r="O293" s="1" t="s">
        <v>32</v>
      </c>
    </row>
    <row r="294" spans="1:15" x14ac:dyDescent="0.3">
      <c r="A294" s="1" t="str">
        <f>HYPERLINK("https://hsdes.intel.com/resource/14013159496","14013159496")</f>
        <v>14013159496</v>
      </c>
      <c r="B294" s="1" t="s">
        <v>611</v>
      </c>
      <c r="C294" s="1" t="s">
        <v>4</v>
      </c>
      <c r="D294" s="1" t="s">
        <v>1683</v>
      </c>
      <c r="E294" s="1" t="s">
        <v>1698</v>
      </c>
      <c r="F294" s="1" t="s">
        <v>1729</v>
      </c>
      <c r="H294" s="1" t="s">
        <v>1707</v>
      </c>
      <c r="I294" s="1" t="s">
        <v>1673</v>
      </c>
      <c r="L294" s="4">
        <v>44798</v>
      </c>
      <c r="M294" s="1" t="s">
        <v>5</v>
      </c>
      <c r="N294" s="1" t="s">
        <v>612</v>
      </c>
      <c r="O294" s="1" t="s">
        <v>32</v>
      </c>
    </row>
    <row r="295" spans="1:15" x14ac:dyDescent="0.3">
      <c r="A295" s="1" t="str">
        <f>HYPERLINK("https://hsdes.intel.com/resource/14013159498","14013159498")</f>
        <v>14013159498</v>
      </c>
      <c r="B295" s="1" t="s">
        <v>613</v>
      </c>
      <c r="C295" s="1" t="s">
        <v>4</v>
      </c>
      <c r="D295" s="1" t="s">
        <v>1683</v>
      </c>
      <c r="E295" s="1" t="s">
        <v>1698</v>
      </c>
      <c r="F295" s="1" t="s">
        <v>1729</v>
      </c>
      <c r="H295" s="1" t="s">
        <v>1707</v>
      </c>
      <c r="I295" s="1" t="s">
        <v>1671</v>
      </c>
      <c r="L295" s="4">
        <v>44797</v>
      </c>
      <c r="M295" s="1" t="s">
        <v>5</v>
      </c>
      <c r="N295" s="1" t="s">
        <v>614</v>
      </c>
      <c r="O295" s="1" t="s">
        <v>32</v>
      </c>
    </row>
    <row r="296" spans="1:15" x14ac:dyDescent="0.3">
      <c r="A296" s="1" t="str">
        <f>HYPERLINK("https://hsdes.intel.com/resource/14013159500","14013159500")</f>
        <v>14013159500</v>
      </c>
      <c r="B296" s="1" t="s">
        <v>615</v>
      </c>
      <c r="C296" s="1" t="s">
        <v>4</v>
      </c>
      <c r="D296" s="1" t="s">
        <v>1683</v>
      </c>
      <c r="E296" s="1" t="s">
        <v>1698</v>
      </c>
      <c r="F296" s="1" t="s">
        <v>1729</v>
      </c>
      <c r="H296" s="1" t="s">
        <v>1707</v>
      </c>
      <c r="I296" s="1" t="s">
        <v>1673</v>
      </c>
      <c r="L296" s="4">
        <v>44798</v>
      </c>
      <c r="M296" s="1" t="s">
        <v>5</v>
      </c>
      <c r="N296" s="1" t="s">
        <v>616</v>
      </c>
      <c r="O296" s="1" t="s">
        <v>32</v>
      </c>
    </row>
    <row r="297" spans="1:15" x14ac:dyDescent="0.3">
      <c r="A297" s="1" t="str">
        <f>HYPERLINK("https://hsdes.intel.com/resource/14013159503","14013159503")</f>
        <v>14013159503</v>
      </c>
      <c r="B297" s="1" t="s">
        <v>617</v>
      </c>
      <c r="C297" s="1" t="s">
        <v>4</v>
      </c>
      <c r="D297" s="1" t="s">
        <v>1683</v>
      </c>
      <c r="E297" s="1" t="s">
        <v>1698</v>
      </c>
      <c r="F297" s="1" t="s">
        <v>1729</v>
      </c>
      <c r="H297" s="1" t="s">
        <v>1707</v>
      </c>
      <c r="I297" s="1" t="s">
        <v>1673</v>
      </c>
      <c r="L297" s="4">
        <v>44798</v>
      </c>
      <c r="M297" s="1" t="s">
        <v>5</v>
      </c>
      <c r="N297" s="1" t="s">
        <v>618</v>
      </c>
      <c r="O297" s="1" t="s">
        <v>32</v>
      </c>
    </row>
    <row r="298" spans="1:15" x14ac:dyDescent="0.3">
      <c r="A298" s="1" t="str">
        <f>HYPERLINK("https://hsdes.intel.com/resource/14013159505","14013159505")</f>
        <v>14013159505</v>
      </c>
      <c r="B298" s="1" t="s">
        <v>619</v>
      </c>
      <c r="C298" s="1" t="s">
        <v>4</v>
      </c>
      <c r="D298" s="1" t="s">
        <v>1683</v>
      </c>
      <c r="E298" s="1" t="s">
        <v>1698</v>
      </c>
      <c r="F298" s="1" t="s">
        <v>1729</v>
      </c>
      <c r="H298" s="1" t="s">
        <v>1707</v>
      </c>
      <c r="I298" s="1" t="s">
        <v>1671</v>
      </c>
      <c r="L298" s="4">
        <v>44798</v>
      </c>
      <c r="M298" s="1" t="s">
        <v>5</v>
      </c>
      <c r="N298" s="1" t="s">
        <v>620</v>
      </c>
      <c r="O298" s="1" t="s">
        <v>32</v>
      </c>
    </row>
    <row r="299" spans="1:15" x14ac:dyDescent="0.3">
      <c r="A299" s="1" t="str">
        <f>HYPERLINK("https://hsdes.intel.com/resource/14013159507","14013159507")</f>
        <v>14013159507</v>
      </c>
      <c r="B299" s="1" t="s">
        <v>621</v>
      </c>
      <c r="C299" s="1" t="s">
        <v>4</v>
      </c>
      <c r="D299" s="1" t="s">
        <v>1683</v>
      </c>
      <c r="E299" s="1" t="s">
        <v>1698</v>
      </c>
      <c r="F299" s="1" t="s">
        <v>1729</v>
      </c>
      <c r="H299" s="1" t="s">
        <v>1707</v>
      </c>
      <c r="I299" s="1" t="s">
        <v>1671</v>
      </c>
      <c r="L299" s="4">
        <v>44799</v>
      </c>
      <c r="M299" s="1" t="s">
        <v>5</v>
      </c>
      <c r="N299" s="1" t="s">
        <v>622</v>
      </c>
      <c r="O299" s="1" t="s">
        <v>32</v>
      </c>
    </row>
    <row r="300" spans="1:15" x14ac:dyDescent="0.3">
      <c r="A300" s="1" t="str">
        <f>HYPERLINK("https://hsdes.intel.com/resource/14013159510","14013159510")</f>
        <v>14013159510</v>
      </c>
      <c r="B300" s="1" t="s">
        <v>623</v>
      </c>
      <c r="C300" s="1" t="s">
        <v>4</v>
      </c>
      <c r="D300" s="1" t="s">
        <v>1683</v>
      </c>
      <c r="E300" s="1" t="s">
        <v>1698</v>
      </c>
      <c r="F300" s="1" t="s">
        <v>1729</v>
      </c>
      <c r="H300" s="1" t="s">
        <v>1707</v>
      </c>
      <c r="I300" s="1" t="s">
        <v>1672</v>
      </c>
      <c r="L300" s="4">
        <v>44798</v>
      </c>
      <c r="M300" s="1" t="s">
        <v>5</v>
      </c>
      <c r="N300" s="1" t="s">
        <v>624</v>
      </c>
      <c r="O300" s="1" t="s">
        <v>32</v>
      </c>
    </row>
    <row r="301" spans="1:15" x14ac:dyDescent="0.3">
      <c r="A301" s="1" t="str">
        <f>HYPERLINK("https://hsdes.intel.com/resource/14013159519","14013159519")</f>
        <v>14013159519</v>
      </c>
      <c r="B301" s="1" t="s">
        <v>625</v>
      </c>
      <c r="C301" s="1" t="s">
        <v>4</v>
      </c>
      <c r="D301" s="1" t="s">
        <v>1683</v>
      </c>
      <c r="E301" s="1" t="s">
        <v>1698</v>
      </c>
      <c r="F301" s="1" t="s">
        <v>1729</v>
      </c>
      <c r="H301" s="1" t="s">
        <v>1707</v>
      </c>
      <c r="I301" s="1" t="s">
        <v>1672</v>
      </c>
      <c r="L301" s="4">
        <v>44798</v>
      </c>
      <c r="M301" s="1" t="s">
        <v>5</v>
      </c>
      <c r="N301" s="1" t="s">
        <v>626</v>
      </c>
      <c r="O301" s="1" t="s">
        <v>32</v>
      </c>
    </row>
    <row r="302" spans="1:15" x14ac:dyDescent="0.3">
      <c r="A302" s="1" t="str">
        <f>HYPERLINK("https://hsdes.intel.com/resource/14013159524","14013159524")</f>
        <v>14013159524</v>
      </c>
      <c r="B302" s="1" t="s">
        <v>627</v>
      </c>
      <c r="C302" s="1" t="s">
        <v>4</v>
      </c>
      <c r="D302" s="1" t="s">
        <v>1683</v>
      </c>
      <c r="E302" s="1" t="s">
        <v>1698</v>
      </c>
      <c r="F302" s="1" t="s">
        <v>1729</v>
      </c>
      <c r="H302" s="1" t="s">
        <v>1707</v>
      </c>
      <c r="I302" s="1" t="s">
        <v>1672</v>
      </c>
      <c r="L302" s="4">
        <v>44798</v>
      </c>
      <c r="M302" s="1" t="s">
        <v>5</v>
      </c>
      <c r="N302" s="1" t="s">
        <v>628</v>
      </c>
      <c r="O302" s="1" t="s">
        <v>32</v>
      </c>
    </row>
    <row r="303" spans="1:15" x14ac:dyDescent="0.3">
      <c r="A303" s="1" t="str">
        <f>HYPERLINK("https://hsdes.intel.com/resource/14013159554","14013159554")</f>
        <v>14013159554</v>
      </c>
      <c r="B303" s="1" t="s">
        <v>629</v>
      </c>
      <c r="C303" s="1" t="s">
        <v>4</v>
      </c>
      <c r="D303" s="1" t="s">
        <v>1683</v>
      </c>
      <c r="E303" s="1" t="s">
        <v>1698</v>
      </c>
      <c r="F303" s="1" t="s">
        <v>1729</v>
      </c>
      <c r="H303" s="1" t="s">
        <v>1707</v>
      </c>
      <c r="I303" s="1" t="s">
        <v>1673</v>
      </c>
      <c r="L303" s="4">
        <v>44798</v>
      </c>
      <c r="M303" s="1" t="s">
        <v>5</v>
      </c>
      <c r="N303" s="1" t="s">
        <v>630</v>
      </c>
      <c r="O303" s="1" t="s">
        <v>32</v>
      </c>
    </row>
    <row r="304" spans="1:15" x14ac:dyDescent="0.3">
      <c r="A304" s="1" t="str">
        <f>HYPERLINK("https://hsdes.intel.com/resource/14013159557","14013159557")</f>
        <v>14013159557</v>
      </c>
      <c r="B304" s="1" t="s">
        <v>631</v>
      </c>
      <c r="C304" s="1" t="s">
        <v>4</v>
      </c>
      <c r="D304" s="1" t="s">
        <v>1683</v>
      </c>
      <c r="E304" s="1" t="s">
        <v>1698</v>
      </c>
      <c r="F304" s="1" t="s">
        <v>1729</v>
      </c>
      <c r="H304" s="1" t="s">
        <v>1707</v>
      </c>
      <c r="I304" s="1" t="s">
        <v>1673</v>
      </c>
      <c r="L304" s="4">
        <v>44798</v>
      </c>
      <c r="M304" s="1" t="s">
        <v>5</v>
      </c>
      <c r="N304" s="1" t="s">
        <v>632</v>
      </c>
      <c r="O304" s="1" t="s">
        <v>32</v>
      </c>
    </row>
    <row r="305" spans="1:15" x14ac:dyDescent="0.3">
      <c r="A305" s="1" t="str">
        <f>HYPERLINK("https://hsdes.intel.com/resource/14013159561","14013159561")</f>
        <v>14013159561</v>
      </c>
      <c r="B305" s="1" t="s">
        <v>633</v>
      </c>
      <c r="C305" s="1" t="s">
        <v>4</v>
      </c>
      <c r="D305" s="1" t="s">
        <v>1684</v>
      </c>
      <c r="E305" s="1" t="s">
        <v>1698</v>
      </c>
      <c r="F305" s="1" t="s">
        <v>1729</v>
      </c>
      <c r="H305" s="1" t="s">
        <v>1707</v>
      </c>
      <c r="I305" s="1" t="s">
        <v>1671</v>
      </c>
      <c r="L305" s="4">
        <v>44803</v>
      </c>
      <c r="M305" s="1" t="s">
        <v>5</v>
      </c>
      <c r="N305" s="1" t="s">
        <v>634</v>
      </c>
      <c r="O305" s="1" t="s">
        <v>32</v>
      </c>
    </row>
    <row r="306" spans="1:15" x14ac:dyDescent="0.3">
      <c r="A306" s="1" t="str">
        <f>HYPERLINK("https://hsdes.intel.com/resource/14013159563","14013159563")</f>
        <v>14013159563</v>
      </c>
      <c r="B306" s="1" t="s">
        <v>635</v>
      </c>
      <c r="C306" s="1" t="s">
        <v>4</v>
      </c>
      <c r="D306" s="1" t="s">
        <v>1684</v>
      </c>
      <c r="E306" s="1" t="s">
        <v>1698</v>
      </c>
      <c r="F306" s="1" t="s">
        <v>1729</v>
      </c>
      <c r="H306" s="1" t="s">
        <v>1707</v>
      </c>
      <c r="I306" s="1" t="s">
        <v>1673</v>
      </c>
      <c r="L306" s="4">
        <v>44803</v>
      </c>
      <c r="M306" s="1" t="s">
        <v>5</v>
      </c>
      <c r="N306" s="1" t="s">
        <v>636</v>
      </c>
      <c r="O306" s="1" t="s">
        <v>32</v>
      </c>
    </row>
    <row r="307" spans="1:15" x14ac:dyDescent="0.3">
      <c r="A307" s="1" t="str">
        <f>HYPERLINK("https://hsdes.intel.com/resource/14013159565","14013159565")</f>
        <v>14013159565</v>
      </c>
      <c r="B307" s="1" t="s">
        <v>637</v>
      </c>
      <c r="C307" s="1" t="s">
        <v>4</v>
      </c>
      <c r="D307" s="1" t="s">
        <v>1684</v>
      </c>
      <c r="E307" s="1" t="s">
        <v>1698</v>
      </c>
      <c r="F307" s="1" t="s">
        <v>1729</v>
      </c>
      <c r="H307" s="1" t="s">
        <v>1707</v>
      </c>
      <c r="I307" s="1" t="s">
        <v>1673</v>
      </c>
      <c r="L307" s="4">
        <v>44799</v>
      </c>
      <c r="M307" s="1" t="s">
        <v>5</v>
      </c>
      <c r="N307" s="1" t="s">
        <v>638</v>
      </c>
      <c r="O307" s="1" t="s">
        <v>32</v>
      </c>
    </row>
    <row r="308" spans="1:15" x14ac:dyDescent="0.3">
      <c r="A308" s="1" t="str">
        <f>HYPERLINK("https://hsdes.intel.com/resource/14013159568","14013159568")</f>
        <v>14013159568</v>
      </c>
      <c r="B308" s="1" t="s">
        <v>639</v>
      </c>
      <c r="C308" s="1" t="s">
        <v>4</v>
      </c>
      <c r="D308" s="1" t="s">
        <v>1684</v>
      </c>
      <c r="E308" s="1" t="s">
        <v>1698</v>
      </c>
      <c r="F308" s="1" t="s">
        <v>1729</v>
      </c>
      <c r="H308" s="1" t="s">
        <v>1707</v>
      </c>
      <c r="I308" s="1" t="s">
        <v>1672</v>
      </c>
      <c r="L308" s="4">
        <v>44798</v>
      </c>
      <c r="M308" s="1" t="s">
        <v>5</v>
      </c>
      <c r="N308" s="1" t="s">
        <v>640</v>
      </c>
      <c r="O308" s="1" t="s">
        <v>32</v>
      </c>
    </row>
    <row r="309" spans="1:15" x14ac:dyDescent="0.3">
      <c r="A309" s="1" t="str">
        <f>HYPERLINK("https://hsdes.intel.com/resource/14013159581","14013159581")</f>
        <v>14013159581</v>
      </c>
      <c r="B309" s="1" t="s">
        <v>641</v>
      </c>
      <c r="C309" s="1" t="s">
        <v>4</v>
      </c>
      <c r="D309" s="1" t="s">
        <v>1683</v>
      </c>
      <c r="E309" s="1" t="s">
        <v>1698</v>
      </c>
      <c r="F309" s="1" t="s">
        <v>1729</v>
      </c>
      <c r="H309" s="1" t="s">
        <v>1707</v>
      </c>
      <c r="I309" s="1" t="s">
        <v>1673</v>
      </c>
      <c r="L309" s="4">
        <v>44798</v>
      </c>
      <c r="M309" s="1" t="s">
        <v>5</v>
      </c>
      <c r="N309" s="1" t="s">
        <v>642</v>
      </c>
      <c r="O309" s="1" t="s">
        <v>32</v>
      </c>
    </row>
    <row r="310" spans="1:15" x14ac:dyDescent="0.3">
      <c r="A310" s="1" t="str">
        <f>HYPERLINK("https://hsdes.intel.com/resource/14013159584","14013159584")</f>
        <v>14013159584</v>
      </c>
      <c r="B310" s="1" t="s">
        <v>643</v>
      </c>
      <c r="C310" s="1" t="s">
        <v>4</v>
      </c>
      <c r="D310" s="1" t="s">
        <v>1683</v>
      </c>
      <c r="E310" s="1" t="s">
        <v>1698</v>
      </c>
      <c r="F310" s="1" t="s">
        <v>1729</v>
      </c>
      <c r="H310" s="1" t="s">
        <v>1707</v>
      </c>
      <c r="I310" s="1" t="s">
        <v>1673</v>
      </c>
      <c r="L310" s="4">
        <v>44798</v>
      </c>
      <c r="M310" s="1" t="s">
        <v>5</v>
      </c>
      <c r="N310" s="1" t="s">
        <v>644</v>
      </c>
      <c r="O310" s="1" t="s">
        <v>32</v>
      </c>
    </row>
    <row r="311" spans="1:15" x14ac:dyDescent="0.3">
      <c r="A311" s="1" t="str">
        <f>HYPERLINK("https://hsdes.intel.com/resource/14013159587","14013159587")</f>
        <v>14013159587</v>
      </c>
      <c r="B311" s="1" t="s">
        <v>645</v>
      </c>
      <c r="C311" s="1" t="s">
        <v>4</v>
      </c>
      <c r="D311" s="1" t="s">
        <v>1683</v>
      </c>
      <c r="E311" s="1" t="s">
        <v>1698</v>
      </c>
      <c r="F311" s="1" t="s">
        <v>1729</v>
      </c>
      <c r="H311" s="1" t="s">
        <v>1707</v>
      </c>
      <c r="I311" s="1" t="s">
        <v>1672</v>
      </c>
      <c r="L311" s="4">
        <v>44798</v>
      </c>
      <c r="M311" s="1" t="s">
        <v>5</v>
      </c>
      <c r="N311" s="1" t="s">
        <v>646</v>
      </c>
      <c r="O311" s="1" t="s">
        <v>32</v>
      </c>
    </row>
    <row r="312" spans="1:15" x14ac:dyDescent="0.3">
      <c r="A312" s="1" t="str">
        <f>HYPERLINK("https://hsdes.intel.com/resource/14013159589","14013159589")</f>
        <v>14013159589</v>
      </c>
      <c r="B312" s="1" t="s">
        <v>647</v>
      </c>
      <c r="C312" s="1" t="s">
        <v>4</v>
      </c>
      <c r="D312" s="1" t="s">
        <v>1683</v>
      </c>
      <c r="E312" s="1" t="s">
        <v>1698</v>
      </c>
      <c r="F312" s="1" t="s">
        <v>1729</v>
      </c>
      <c r="H312" s="1" t="s">
        <v>1707</v>
      </c>
      <c r="I312" s="1" t="s">
        <v>1671</v>
      </c>
      <c r="L312" s="4">
        <v>44799</v>
      </c>
      <c r="M312" s="1" t="s">
        <v>5</v>
      </c>
      <c r="N312" s="1" t="s">
        <v>648</v>
      </c>
      <c r="O312" s="1" t="s">
        <v>32</v>
      </c>
    </row>
    <row r="313" spans="1:15" x14ac:dyDescent="0.3">
      <c r="A313" s="1" t="str">
        <f>HYPERLINK("https://hsdes.intel.com/resource/14013159594","14013159594")</f>
        <v>14013159594</v>
      </c>
      <c r="B313" s="1" t="s">
        <v>649</v>
      </c>
      <c r="C313" s="1" t="s">
        <v>4</v>
      </c>
      <c r="D313" s="1" t="s">
        <v>1683</v>
      </c>
      <c r="E313" s="1" t="s">
        <v>1698</v>
      </c>
      <c r="F313" s="1" t="s">
        <v>1729</v>
      </c>
      <c r="H313" s="1" t="s">
        <v>1707</v>
      </c>
      <c r="I313" s="1" t="s">
        <v>1673</v>
      </c>
      <c r="L313" s="4">
        <v>44798</v>
      </c>
      <c r="M313" s="1" t="s">
        <v>5</v>
      </c>
      <c r="N313" s="1" t="s">
        <v>650</v>
      </c>
      <c r="O313" s="1" t="s">
        <v>32</v>
      </c>
    </row>
    <row r="314" spans="1:15" x14ac:dyDescent="0.3">
      <c r="A314" s="1" t="str">
        <f>HYPERLINK("https://hsdes.intel.com/resource/14013159601","14013159601")</f>
        <v>14013159601</v>
      </c>
      <c r="B314" s="1" t="s">
        <v>651</v>
      </c>
      <c r="C314" s="1" t="s">
        <v>4</v>
      </c>
      <c r="D314" s="1" t="s">
        <v>1683</v>
      </c>
      <c r="E314" s="1" t="s">
        <v>1698</v>
      </c>
      <c r="F314" s="1" t="s">
        <v>1729</v>
      </c>
      <c r="H314" s="1" t="s">
        <v>1707</v>
      </c>
      <c r="I314" s="1" t="s">
        <v>1673</v>
      </c>
      <c r="L314" s="4">
        <v>44799</v>
      </c>
      <c r="M314" s="1" t="s">
        <v>5</v>
      </c>
      <c r="N314" s="1" t="s">
        <v>652</v>
      </c>
      <c r="O314" s="1" t="s">
        <v>7</v>
      </c>
    </row>
    <row r="315" spans="1:15" x14ac:dyDescent="0.3">
      <c r="A315" s="1" t="str">
        <f>HYPERLINK("https://hsdes.intel.com/resource/14013159605","14013159605")</f>
        <v>14013159605</v>
      </c>
      <c r="B315" s="1" t="s">
        <v>653</v>
      </c>
      <c r="C315" s="1" t="s">
        <v>4</v>
      </c>
      <c r="D315" s="1" t="s">
        <v>1683</v>
      </c>
      <c r="E315" s="1" t="s">
        <v>1698</v>
      </c>
      <c r="F315" s="1" t="s">
        <v>1729</v>
      </c>
      <c r="H315" s="1" t="s">
        <v>1707</v>
      </c>
      <c r="I315" s="1" t="s">
        <v>1673</v>
      </c>
      <c r="L315" s="4">
        <v>44799</v>
      </c>
      <c r="M315" s="1" t="s">
        <v>5</v>
      </c>
      <c r="N315" s="1" t="s">
        <v>654</v>
      </c>
      <c r="O315" s="1" t="s">
        <v>32</v>
      </c>
    </row>
    <row r="316" spans="1:15" x14ac:dyDescent="0.3">
      <c r="A316" s="1" t="str">
        <f>HYPERLINK("https://hsdes.intel.com/resource/14013159609","14013159609")</f>
        <v>14013159609</v>
      </c>
      <c r="B316" s="1" t="s">
        <v>655</v>
      </c>
      <c r="C316" s="1" t="s">
        <v>4</v>
      </c>
      <c r="D316" s="1" t="s">
        <v>1683</v>
      </c>
      <c r="E316" s="1" t="s">
        <v>1698</v>
      </c>
      <c r="F316" s="1" t="s">
        <v>1729</v>
      </c>
      <c r="H316" s="1" t="s">
        <v>1707</v>
      </c>
      <c r="I316" s="1" t="s">
        <v>1673</v>
      </c>
      <c r="L316" s="4">
        <v>44799</v>
      </c>
      <c r="M316" s="1" t="s">
        <v>5</v>
      </c>
      <c r="N316" s="1" t="s">
        <v>656</v>
      </c>
      <c r="O316" s="1" t="s">
        <v>32</v>
      </c>
    </row>
    <row r="317" spans="1:15" x14ac:dyDescent="0.3">
      <c r="A317" s="1" t="str">
        <f>HYPERLINK("https://hsdes.intel.com/resource/14013159626","14013159626")</f>
        <v>14013159626</v>
      </c>
      <c r="B317" s="1" t="s">
        <v>657</v>
      </c>
      <c r="C317" s="1" t="s">
        <v>4</v>
      </c>
      <c r="D317" s="1" t="s">
        <v>1683</v>
      </c>
      <c r="E317" s="1" t="s">
        <v>1698</v>
      </c>
      <c r="F317" s="1" t="s">
        <v>1729</v>
      </c>
      <c r="H317" s="1" t="s">
        <v>1707</v>
      </c>
      <c r="I317" s="1" t="s">
        <v>1672</v>
      </c>
      <c r="L317" s="4">
        <v>44798</v>
      </c>
      <c r="M317" s="1" t="s">
        <v>5</v>
      </c>
      <c r="N317" s="1" t="s">
        <v>658</v>
      </c>
      <c r="O317" s="1" t="s">
        <v>32</v>
      </c>
    </row>
    <row r="318" spans="1:15" x14ac:dyDescent="0.3">
      <c r="A318" s="1" t="str">
        <f>HYPERLINK("https://hsdes.intel.com/resource/14013159627","14013159627")</f>
        <v>14013159627</v>
      </c>
      <c r="B318" s="1" t="s">
        <v>659</v>
      </c>
      <c r="C318" s="1" t="s">
        <v>4</v>
      </c>
      <c r="D318" s="1" t="s">
        <v>1683</v>
      </c>
      <c r="E318" s="1" t="s">
        <v>1698</v>
      </c>
      <c r="F318" s="1" t="s">
        <v>1729</v>
      </c>
      <c r="H318" s="1" t="s">
        <v>1707</v>
      </c>
      <c r="I318" s="1" t="s">
        <v>1672</v>
      </c>
      <c r="L318" s="4">
        <v>44798</v>
      </c>
      <c r="M318" s="1" t="s">
        <v>5</v>
      </c>
      <c r="N318" s="1" t="s">
        <v>660</v>
      </c>
      <c r="O318" s="1" t="s">
        <v>32</v>
      </c>
    </row>
    <row r="319" spans="1:15" x14ac:dyDescent="0.3">
      <c r="A319" s="1" t="str">
        <f>HYPERLINK("https://hsdes.intel.com/resource/14013159630","14013159630")</f>
        <v>14013159630</v>
      </c>
      <c r="B319" s="1" t="s">
        <v>661</v>
      </c>
      <c r="C319" s="1" t="s">
        <v>4</v>
      </c>
      <c r="D319" s="1" t="s">
        <v>1683</v>
      </c>
      <c r="E319" s="1" t="s">
        <v>1698</v>
      </c>
      <c r="F319" s="1" t="s">
        <v>1729</v>
      </c>
      <c r="H319" s="1" t="s">
        <v>1707</v>
      </c>
      <c r="I319" s="1" t="s">
        <v>1672</v>
      </c>
      <c r="L319" s="4">
        <v>44798</v>
      </c>
      <c r="M319" s="1" t="s">
        <v>5</v>
      </c>
      <c r="N319" s="1" t="s">
        <v>662</v>
      </c>
      <c r="O319" s="1" t="s">
        <v>32</v>
      </c>
    </row>
    <row r="320" spans="1:15" x14ac:dyDescent="0.3">
      <c r="A320" s="1" t="str">
        <f>HYPERLINK("https://hsdes.intel.com/resource/14013159637","14013159637")</f>
        <v>14013159637</v>
      </c>
      <c r="B320" s="1" t="s">
        <v>663</v>
      </c>
      <c r="C320" s="1" t="s">
        <v>4</v>
      </c>
      <c r="D320" s="1" t="s">
        <v>1684</v>
      </c>
      <c r="E320" s="1" t="s">
        <v>1698</v>
      </c>
      <c r="F320" s="1" t="s">
        <v>1729</v>
      </c>
      <c r="H320" s="1" t="s">
        <v>1707</v>
      </c>
      <c r="I320" s="1" t="s">
        <v>1672</v>
      </c>
      <c r="L320" s="4">
        <v>44798</v>
      </c>
      <c r="M320" s="1" t="s">
        <v>5</v>
      </c>
      <c r="N320" s="1" t="s">
        <v>664</v>
      </c>
      <c r="O320" s="1" t="s">
        <v>32</v>
      </c>
    </row>
    <row r="321" spans="1:15" x14ac:dyDescent="0.3">
      <c r="A321" s="1" t="str">
        <f>HYPERLINK("https://hsdes.intel.com/resource/14013159644","14013159644")</f>
        <v>14013159644</v>
      </c>
      <c r="B321" s="1" t="s">
        <v>665</v>
      </c>
      <c r="C321" s="1" t="s">
        <v>4</v>
      </c>
      <c r="D321" s="1" t="s">
        <v>1683</v>
      </c>
      <c r="E321" s="1" t="s">
        <v>1698</v>
      </c>
      <c r="F321" s="1" t="s">
        <v>1729</v>
      </c>
      <c r="H321" s="1" t="s">
        <v>1708</v>
      </c>
      <c r="I321" s="1" t="s">
        <v>1671</v>
      </c>
      <c r="L321" s="4">
        <v>44797</v>
      </c>
      <c r="M321" s="1" t="s">
        <v>5</v>
      </c>
      <c r="N321" s="1" t="s">
        <v>666</v>
      </c>
      <c r="O321" s="1" t="s">
        <v>32</v>
      </c>
    </row>
    <row r="322" spans="1:15" x14ac:dyDescent="0.3">
      <c r="A322" s="1" t="str">
        <f>HYPERLINK("https://hsdes.intel.com/resource/14013159645","14013159645")</f>
        <v>14013159645</v>
      </c>
      <c r="B322" s="1" t="s">
        <v>667</v>
      </c>
      <c r="C322" s="1" t="s">
        <v>4</v>
      </c>
      <c r="D322" s="1" t="s">
        <v>1683</v>
      </c>
      <c r="E322" s="1" t="s">
        <v>1698</v>
      </c>
      <c r="F322" s="1" t="s">
        <v>1729</v>
      </c>
      <c r="H322" s="1" t="s">
        <v>1707</v>
      </c>
      <c r="I322" s="1" t="s">
        <v>1718</v>
      </c>
      <c r="L322" s="4">
        <v>44799</v>
      </c>
      <c r="M322" s="1" t="s">
        <v>5</v>
      </c>
      <c r="N322" s="1" t="s">
        <v>668</v>
      </c>
      <c r="O322" s="1" t="s">
        <v>32</v>
      </c>
    </row>
    <row r="323" spans="1:15" x14ac:dyDescent="0.3">
      <c r="A323" s="1" t="str">
        <f>HYPERLINK("https://hsdes.intel.com/resource/14013159647","14013159647")</f>
        <v>14013159647</v>
      </c>
      <c r="B323" s="1" t="s">
        <v>669</v>
      </c>
      <c r="C323" s="1" t="s">
        <v>4</v>
      </c>
      <c r="D323" s="1" t="s">
        <v>1683</v>
      </c>
      <c r="E323" s="1" t="s">
        <v>1698</v>
      </c>
      <c r="F323" s="1" t="s">
        <v>1729</v>
      </c>
      <c r="H323" s="1" t="s">
        <v>1707</v>
      </c>
      <c r="I323" s="1" t="s">
        <v>1718</v>
      </c>
      <c r="L323" s="4">
        <v>44798</v>
      </c>
      <c r="M323" s="1" t="s">
        <v>5</v>
      </c>
      <c r="N323" s="1" t="s">
        <v>670</v>
      </c>
      <c r="O323" s="1" t="s">
        <v>7</v>
      </c>
    </row>
    <row r="324" spans="1:15" x14ac:dyDescent="0.3">
      <c r="A324" s="1" t="str">
        <f>HYPERLINK("https://hsdes.intel.com/resource/14013159649","14013159649")</f>
        <v>14013159649</v>
      </c>
      <c r="B324" s="1" t="s">
        <v>671</v>
      </c>
      <c r="C324" s="1" t="s">
        <v>4</v>
      </c>
      <c r="D324" s="1" t="s">
        <v>1683</v>
      </c>
      <c r="E324" s="1" t="s">
        <v>1698</v>
      </c>
      <c r="F324" s="1" t="s">
        <v>1729</v>
      </c>
      <c r="H324" s="1" t="s">
        <v>1707</v>
      </c>
      <c r="I324" s="1" t="s">
        <v>1672</v>
      </c>
      <c r="L324" s="4">
        <v>44798</v>
      </c>
      <c r="M324" s="1" t="s">
        <v>5</v>
      </c>
      <c r="N324" s="1" t="s">
        <v>672</v>
      </c>
      <c r="O324" s="1" t="s">
        <v>32</v>
      </c>
    </row>
    <row r="325" spans="1:15" x14ac:dyDescent="0.3">
      <c r="A325" s="1" t="str">
        <f>HYPERLINK("https://hsdes.intel.com/resource/14013159652","14013159652")</f>
        <v>14013159652</v>
      </c>
      <c r="B325" s="1" t="s">
        <v>673</v>
      </c>
      <c r="C325" s="1" t="s">
        <v>4</v>
      </c>
      <c r="D325" s="1" t="s">
        <v>1683</v>
      </c>
      <c r="E325" s="1" t="s">
        <v>1698</v>
      </c>
      <c r="F325" s="1" t="s">
        <v>1729</v>
      </c>
      <c r="H325" s="1" t="s">
        <v>1707</v>
      </c>
      <c r="I325" s="1" t="s">
        <v>1672</v>
      </c>
      <c r="L325" s="4">
        <v>44798</v>
      </c>
      <c r="M325" s="1" t="s">
        <v>5</v>
      </c>
      <c r="N325" s="1" t="s">
        <v>674</v>
      </c>
      <c r="O325" s="1" t="s">
        <v>32</v>
      </c>
    </row>
    <row r="326" spans="1:15" x14ac:dyDescent="0.3">
      <c r="A326" s="1" t="str">
        <f>HYPERLINK("https://hsdes.intel.com/resource/14013159654","14013159654")</f>
        <v>14013159654</v>
      </c>
      <c r="B326" s="1" t="s">
        <v>675</v>
      </c>
      <c r="C326" s="1" t="s">
        <v>4</v>
      </c>
      <c r="D326" s="1" t="s">
        <v>1683</v>
      </c>
      <c r="E326" s="1" t="s">
        <v>1698</v>
      </c>
      <c r="F326" s="1" t="s">
        <v>1729</v>
      </c>
      <c r="H326" s="1" t="s">
        <v>1707</v>
      </c>
      <c r="I326" s="1" t="s">
        <v>1671</v>
      </c>
      <c r="L326" s="4">
        <v>44799</v>
      </c>
      <c r="M326" s="1" t="s">
        <v>5</v>
      </c>
      <c r="N326" s="1" t="s">
        <v>676</v>
      </c>
      <c r="O326" s="1" t="s">
        <v>32</v>
      </c>
    </row>
    <row r="327" spans="1:15" x14ac:dyDescent="0.3">
      <c r="A327" s="1" t="str">
        <f>HYPERLINK("https://hsdes.intel.com/resource/14013159656","14013159656")</f>
        <v>14013159656</v>
      </c>
      <c r="B327" s="1" t="s">
        <v>677</v>
      </c>
      <c r="C327" s="1" t="s">
        <v>4</v>
      </c>
      <c r="D327" s="1" t="s">
        <v>1683</v>
      </c>
      <c r="E327" s="1" t="s">
        <v>1698</v>
      </c>
      <c r="F327" s="1" t="s">
        <v>1729</v>
      </c>
      <c r="H327" s="1" t="s">
        <v>1707</v>
      </c>
      <c r="I327" s="1" t="s">
        <v>1671</v>
      </c>
      <c r="L327" s="4">
        <v>44799</v>
      </c>
      <c r="M327" s="1" t="s">
        <v>5</v>
      </c>
      <c r="N327" s="1" t="s">
        <v>678</v>
      </c>
      <c r="O327" s="1" t="s">
        <v>32</v>
      </c>
    </row>
    <row r="328" spans="1:15" x14ac:dyDescent="0.3">
      <c r="A328" s="1" t="str">
        <f>HYPERLINK("https://hsdes.intel.com/resource/14013159658","14013159658")</f>
        <v>14013159658</v>
      </c>
      <c r="B328" s="1" t="s">
        <v>679</v>
      </c>
      <c r="C328" s="1" t="s">
        <v>4</v>
      </c>
      <c r="D328" s="1" t="s">
        <v>1683</v>
      </c>
      <c r="E328" s="1" t="s">
        <v>1698</v>
      </c>
      <c r="F328" s="1" t="s">
        <v>1729</v>
      </c>
      <c r="H328" s="1" t="s">
        <v>1708</v>
      </c>
      <c r="I328" s="1" t="s">
        <v>1671</v>
      </c>
      <c r="L328" s="4">
        <v>44798</v>
      </c>
      <c r="M328" s="1" t="s">
        <v>5</v>
      </c>
      <c r="N328" s="1" t="s">
        <v>680</v>
      </c>
      <c r="O328" s="1" t="s">
        <v>32</v>
      </c>
    </row>
    <row r="329" spans="1:15" x14ac:dyDescent="0.3">
      <c r="A329" s="1" t="str">
        <f>HYPERLINK("https://hsdes.intel.com/resource/14013159662","14013159662")</f>
        <v>14013159662</v>
      </c>
      <c r="B329" s="1" t="s">
        <v>681</v>
      </c>
      <c r="C329" s="1" t="s">
        <v>4</v>
      </c>
      <c r="D329" s="1" t="s">
        <v>1683</v>
      </c>
      <c r="E329" s="1" t="s">
        <v>1698</v>
      </c>
      <c r="F329" s="1" t="s">
        <v>1729</v>
      </c>
      <c r="H329" s="1" t="s">
        <v>1707</v>
      </c>
      <c r="I329" s="1" t="s">
        <v>1671</v>
      </c>
      <c r="L329" s="4">
        <v>44799</v>
      </c>
      <c r="M329" s="1" t="s">
        <v>5</v>
      </c>
      <c r="N329" s="1" t="s">
        <v>682</v>
      </c>
      <c r="O329" s="1" t="s">
        <v>7</v>
      </c>
    </row>
    <row r="330" spans="1:15" x14ac:dyDescent="0.3">
      <c r="A330" s="1" t="str">
        <f>HYPERLINK("https://hsdes.intel.com/resource/14013159664","14013159664")</f>
        <v>14013159664</v>
      </c>
      <c r="B330" s="1" t="s">
        <v>683</v>
      </c>
      <c r="C330" s="1" t="s">
        <v>4</v>
      </c>
      <c r="D330" s="1" t="s">
        <v>1683</v>
      </c>
      <c r="E330" s="1" t="s">
        <v>1698</v>
      </c>
      <c r="F330" s="1" t="s">
        <v>1729</v>
      </c>
      <c r="H330" s="1" t="s">
        <v>1707</v>
      </c>
      <c r="I330" s="1" t="s">
        <v>1672</v>
      </c>
      <c r="L330" s="4">
        <v>44799</v>
      </c>
      <c r="M330" s="1" t="s">
        <v>5</v>
      </c>
      <c r="N330" s="1" t="s">
        <v>684</v>
      </c>
      <c r="O330" s="1" t="s">
        <v>32</v>
      </c>
    </row>
    <row r="331" spans="1:15" x14ac:dyDescent="0.3">
      <c r="A331" s="1" t="str">
        <f>HYPERLINK("https://hsdes.intel.com/resource/14013159668","14013159668")</f>
        <v>14013159668</v>
      </c>
      <c r="B331" s="1" t="s">
        <v>685</v>
      </c>
      <c r="C331" s="1" t="s">
        <v>4</v>
      </c>
      <c r="D331" s="1" t="s">
        <v>1683</v>
      </c>
      <c r="E331" s="1" t="s">
        <v>1698</v>
      </c>
      <c r="F331" s="1" t="s">
        <v>1729</v>
      </c>
      <c r="H331" s="7" t="s">
        <v>1707</v>
      </c>
      <c r="I331" s="1" t="s">
        <v>1672</v>
      </c>
      <c r="L331" s="4">
        <v>44799</v>
      </c>
      <c r="M331" s="1" t="s">
        <v>5</v>
      </c>
      <c r="N331" s="1" t="s">
        <v>686</v>
      </c>
      <c r="O331" s="1" t="s">
        <v>32</v>
      </c>
    </row>
    <row r="332" spans="1:15" x14ac:dyDescent="0.3">
      <c r="A332" s="1" t="str">
        <f>HYPERLINK("https://hsdes.intel.com/resource/14013159682","14013159682")</f>
        <v>14013159682</v>
      </c>
      <c r="B332" s="1" t="s">
        <v>687</v>
      </c>
      <c r="C332" s="1" t="s">
        <v>98</v>
      </c>
      <c r="D332" s="1" t="s">
        <v>1683</v>
      </c>
      <c r="E332" s="1" t="s">
        <v>1698</v>
      </c>
      <c r="F332" s="1" t="s">
        <v>1729</v>
      </c>
      <c r="H332" s="1" t="s">
        <v>1707</v>
      </c>
      <c r="I332" s="1" t="s">
        <v>1673</v>
      </c>
      <c r="L332" s="4">
        <v>44797</v>
      </c>
      <c r="M332" s="1" t="s">
        <v>76</v>
      </c>
      <c r="N332" s="1" t="s">
        <v>688</v>
      </c>
      <c r="O332" s="1" t="s">
        <v>7</v>
      </c>
    </row>
    <row r="333" spans="1:15" x14ac:dyDescent="0.3">
      <c r="A333" s="1" t="str">
        <f>HYPERLINK("https://hsdes.intel.com/resource/14013159687","14013159687")</f>
        <v>14013159687</v>
      </c>
      <c r="B333" s="1" t="s">
        <v>689</v>
      </c>
      <c r="C333" s="1" t="s">
        <v>98</v>
      </c>
      <c r="D333" s="1" t="s">
        <v>1683</v>
      </c>
      <c r="E333" s="1" t="s">
        <v>1698</v>
      </c>
      <c r="F333" s="1" t="s">
        <v>1729</v>
      </c>
      <c r="H333" s="1" t="s">
        <v>1707</v>
      </c>
      <c r="I333" s="1" t="s">
        <v>1673</v>
      </c>
      <c r="L333" s="4">
        <v>44797</v>
      </c>
      <c r="M333" s="1" t="s">
        <v>76</v>
      </c>
      <c r="N333" s="1" t="s">
        <v>690</v>
      </c>
      <c r="O333" s="1" t="s">
        <v>7</v>
      </c>
    </row>
    <row r="334" spans="1:15" x14ac:dyDescent="0.3">
      <c r="A334" s="1" t="str">
        <f>HYPERLINK("https://hsdes.intel.com/resource/14013159726","14013159726")</f>
        <v>14013159726</v>
      </c>
      <c r="B334" s="1" t="s">
        <v>691</v>
      </c>
      <c r="C334" s="1" t="s">
        <v>98</v>
      </c>
      <c r="D334" s="1" t="s">
        <v>1683</v>
      </c>
      <c r="E334" s="1" t="s">
        <v>1698</v>
      </c>
      <c r="F334" s="1" t="s">
        <v>1729</v>
      </c>
      <c r="H334" s="1" t="s">
        <v>1707</v>
      </c>
      <c r="I334" s="1" t="s">
        <v>1673</v>
      </c>
      <c r="L334" s="4">
        <v>44797</v>
      </c>
      <c r="M334" s="1" t="s">
        <v>76</v>
      </c>
      <c r="N334" s="1" t="s">
        <v>692</v>
      </c>
      <c r="O334" s="1" t="s">
        <v>10</v>
      </c>
    </row>
    <row r="335" spans="1:15" x14ac:dyDescent="0.3">
      <c r="A335" s="1" t="str">
        <f>HYPERLINK("https://hsdes.intel.com/resource/14013159812","14013159812")</f>
        <v>14013159812</v>
      </c>
      <c r="B335" s="1" t="s">
        <v>693</v>
      </c>
      <c r="C335" s="1" t="s">
        <v>115</v>
      </c>
      <c r="D335" s="1" t="s">
        <v>1683</v>
      </c>
      <c r="E335" s="1" t="s">
        <v>1698</v>
      </c>
      <c r="F335" s="1" t="s">
        <v>1729</v>
      </c>
      <c r="H335" s="1" t="s">
        <v>1707</v>
      </c>
      <c r="I335" s="1" t="s">
        <v>1673</v>
      </c>
      <c r="L335" s="4">
        <v>44802</v>
      </c>
      <c r="M335" s="1" t="s">
        <v>15</v>
      </c>
      <c r="N335" s="1" t="s">
        <v>694</v>
      </c>
      <c r="O335" s="1" t="s">
        <v>32</v>
      </c>
    </row>
    <row r="336" spans="1:15" x14ac:dyDescent="0.3">
      <c r="A336" s="1" t="str">
        <f>HYPERLINK("https://hsdes.intel.com/resource/14013159840","14013159840")</f>
        <v>14013159840</v>
      </c>
      <c r="B336" s="1" t="s">
        <v>695</v>
      </c>
      <c r="C336" s="1" t="s">
        <v>59</v>
      </c>
      <c r="D336" s="1" t="s">
        <v>1683</v>
      </c>
      <c r="E336" s="1" t="s">
        <v>1698</v>
      </c>
      <c r="F336" s="1" t="s">
        <v>1729</v>
      </c>
      <c r="H336" s="1" t="s">
        <v>1707</v>
      </c>
      <c r="I336" s="1" t="s">
        <v>1721</v>
      </c>
      <c r="L336" s="4">
        <v>44802</v>
      </c>
      <c r="M336" s="1" t="s">
        <v>15</v>
      </c>
      <c r="N336" s="1" t="s">
        <v>696</v>
      </c>
      <c r="O336" s="1" t="s">
        <v>10</v>
      </c>
    </row>
    <row r="337" spans="1:15" x14ac:dyDescent="0.3">
      <c r="A337" s="1" t="str">
        <f>HYPERLINK("https://hsdes.intel.com/resource/14013159844","14013159844")</f>
        <v>14013159844</v>
      </c>
      <c r="B337" s="1" t="s">
        <v>697</v>
      </c>
      <c r="C337" s="1" t="s">
        <v>46</v>
      </c>
      <c r="D337" s="1" t="s">
        <v>1683</v>
      </c>
      <c r="E337" s="1" t="s">
        <v>1698</v>
      </c>
      <c r="F337" s="1" t="s">
        <v>1729</v>
      </c>
      <c r="H337" s="8" t="s">
        <v>1707</v>
      </c>
      <c r="I337" s="1" t="s">
        <v>1718</v>
      </c>
      <c r="L337" s="4">
        <v>44799</v>
      </c>
      <c r="M337" s="1" t="s">
        <v>19</v>
      </c>
      <c r="N337" s="1" t="s">
        <v>698</v>
      </c>
      <c r="O337" s="1" t="s">
        <v>7</v>
      </c>
    </row>
    <row r="338" spans="1:15" x14ac:dyDescent="0.3">
      <c r="A338" s="1" t="str">
        <f>HYPERLINK("https://hsdes.intel.com/resource/14013159852","14013159852")</f>
        <v>14013159852</v>
      </c>
      <c r="B338" s="1" t="s">
        <v>699</v>
      </c>
      <c r="C338" s="1" t="s">
        <v>46</v>
      </c>
      <c r="D338" s="1" t="s">
        <v>1683</v>
      </c>
      <c r="E338" s="1" t="s">
        <v>1698</v>
      </c>
      <c r="F338" s="1" t="s">
        <v>1729</v>
      </c>
      <c r="H338" s="1" t="s">
        <v>1707</v>
      </c>
      <c r="I338" s="1" t="s">
        <v>1723</v>
      </c>
      <c r="L338" s="4">
        <v>44802</v>
      </c>
      <c r="M338" s="1" t="s">
        <v>19</v>
      </c>
      <c r="N338" s="1" t="s">
        <v>700</v>
      </c>
      <c r="O338" s="1" t="s">
        <v>10</v>
      </c>
    </row>
    <row r="339" spans="1:15" x14ac:dyDescent="0.3">
      <c r="A339" s="1" t="str">
        <f>HYPERLINK("https://hsdes.intel.com/resource/14013159855","14013159855")</f>
        <v>14013159855</v>
      </c>
      <c r="B339" s="1" t="s">
        <v>701</v>
      </c>
      <c r="C339" s="1" t="s">
        <v>46</v>
      </c>
      <c r="D339" s="1" t="s">
        <v>1683</v>
      </c>
      <c r="E339" s="1" t="s">
        <v>1698</v>
      </c>
      <c r="F339" s="1" t="s">
        <v>1729</v>
      </c>
      <c r="H339" s="1" t="s">
        <v>1707</v>
      </c>
      <c r="I339" s="1" t="s">
        <v>1671</v>
      </c>
      <c r="L339" s="4">
        <v>44799</v>
      </c>
      <c r="M339" s="1" t="s">
        <v>19</v>
      </c>
      <c r="N339" s="1" t="s">
        <v>702</v>
      </c>
      <c r="O339" s="1" t="s">
        <v>10</v>
      </c>
    </row>
    <row r="340" spans="1:15" x14ac:dyDescent="0.3">
      <c r="A340" s="1" t="str">
        <f>HYPERLINK("https://hsdes.intel.com/resource/14013159940","14013159940")</f>
        <v>14013159940</v>
      </c>
      <c r="B340" s="1" t="s">
        <v>703</v>
      </c>
      <c r="C340" s="1" t="s">
        <v>115</v>
      </c>
      <c r="D340" s="1" t="s">
        <v>1683</v>
      </c>
      <c r="E340" s="1" t="s">
        <v>1698</v>
      </c>
      <c r="F340" s="1" t="s">
        <v>1729</v>
      </c>
      <c r="H340" s="1" t="s">
        <v>1707</v>
      </c>
      <c r="I340" s="1" t="s">
        <v>1673</v>
      </c>
      <c r="L340" s="4">
        <v>44802</v>
      </c>
      <c r="M340" s="1" t="s">
        <v>15</v>
      </c>
      <c r="N340" s="1" t="s">
        <v>704</v>
      </c>
      <c r="O340" s="1" t="s">
        <v>32</v>
      </c>
    </row>
    <row r="341" spans="1:15" x14ac:dyDescent="0.3">
      <c r="A341" s="1" t="str">
        <f>HYPERLINK("https://hsdes.intel.com/resource/14013160089","14013160089")</f>
        <v>14013160089</v>
      </c>
      <c r="B341" s="1" t="s">
        <v>705</v>
      </c>
      <c r="C341" s="1" t="s">
        <v>98</v>
      </c>
      <c r="D341" s="1" t="s">
        <v>1683</v>
      </c>
      <c r="E341" s="1" t="s">
        <v>1698</v>
      </c>
      <c r="F341" s="1" t="s">
        <v>1729</v>
      </c>
      <c r="H341" s="1" t="s">
        <v>1707</v>
      </c>
      <c r="I341" s="1" t="s">
        <v>1672</v>
      </c>
      <c r="L341" s="4">
        <v>44798</v>
      </c>
      <c r="M341" s="1" t="s">
        <v>76</v>
      </c>
      <c r="N341" s="1" t="s">
        <v>706</v>
      </c>
      <c r="O341" s="1" t="s">
        <v>10</v>
      </c>
    </row>
    <row r="342" spans="1:15" x14ac:dyDescent="0.3">
      <c r="A342" s="1" t="str">
        <f>HYPERLINK("https://hsdes.intel.com/resource/14013160125","14013160125")</f>
        <v>14013160125</v>
      </c>
      <c r="B342" s="1" t="s">
        <v>707</v>
      </c>
      <c r="C342" s="1" t="s">
        <v>75</v>
      </c>
      <c r="D342" s="1" t="s">
        <v>1683</v>
      </c>
      <c r="E342" s="1" t="s">
        <v>1698</v>
      </c>
      <c r="F342" s="1" t="s">
        <v>1729</v>
      </c>
      <c r="H342" s="1" t="s">
        <v>1707</v>
      </c>
      <c r="I342" s="1" t="s">
        <v>1672</v>
      </c>
      <c r="L342" s="4">
        <v>44798</v>
      </c>
      <c r="M342" s="1" t="s">
        <v>76</v>
      </c>
      <c r="N342" s="1" t="s">
        <v>708</v>
      </c>
      <c r="O342" s="1" t="s">
        <v>7</v>
      </c>
    </row>
    <row r="343" spans="1:15" x14ac:dyDescent="0.3">
      <c r="A343" s="1" t="str">
        <f>HYPERLINK("https://hsdes.intel.com/resource/14013160127","14013160127")</f>
        <v>14013160127</v>
      </c>
      <c r="B343" s="1" t="s">
        <v>709</v>
      </c>
      <c r="C343" s="1" t="s">
        <v>75</v>
      </c>
      <c r="D343" s="1" t="s">
        <v>1683</v>
      </c>
      <c r="E343" s="1" t="s">
        <v>1698</v>
      </c>
      <c r="F343" s="1" t="s">
        <v>1729</v>
      </c>
      <c r="H343" s="1" t="s">
        <v>1707</v>
      </c>
      <c r="I343" s="1" t="s">
        <v>1672</v>
      </c>
      <c r="L343" s="4">
        <v>44797</v>
      </c>
      <c r="M343" s="1" t="s">
        <v>76</v>
      </c>
      <c r="N343" s="1" t="s">
        <v>710</v>
      </c>
      <c r="O343" s="1" t="s">
        <v>7</v>
      </c>
    </row>
    <row r="344" spans="1:15" x14ac:dyDescent="0.3">
      <c r="A344" s="1" t="str">
        <f>HYPERLINK("https://hsdes.intel.com/resource/14013160130","14013160130")</f>
        <v>14013160130</v>
      </c>
      <c r="B344" s="1" t="s">
        <v>711</v>
      </c>
      <c r="C344" s="1" t="s">
        <v>75</v>
      </c>
      <c r="D344" s="1" t="s">
        <v>1683</v>
      </c>
      <c r="E344" s="1" t="s">
        <v>1698</v>
      </c>
      <c r="F344" s="1" t="s">
        <v>1729</v>
      </c>
      <c r="H344" s="1" t="s">
        <v>1707</v>
      </c>
      <c r="I344" s="1" t="s">
        <v>1672</v>
      </c>
      <c r="L344" s="4">
        <v>44802</v>
      </c>
      <c r="M344" s="1" t="s">
        <v>76</v>
      </c>
      <c r="N344" s="1" t="s">
        <v>712</v>
      </c>
      <c r="O344" s="1" t="s">
        <v>10</v>
      </c>
    </row>
    <row r="345" spans="1:15" x14ac:dyDescent="0.3">
      <c r="A345" s="1" t="str">
        <f>HYPERLINK("https://hsdes.intel.com/resource/14013160431","14013160431")</f>
        <v>14013160431</v>
      </c>
      <c r="B345" s="1" t="s">
        <v>713</v>
      </c>
      <c r="C345" s="1" t="s">
        <v>75</v>
      </c>
      <c r="D345" s="1" t="s">
        <v>1683</v>
      </c>
      <c r="E345" s="1" t="s">
        <v>1698</v>
      </c>
      <c r="F345" s="1" t="s">
        <v>1729</v>
      </c>
      <c r="H345" s="1" t="s">
        <v>1707</v>
      </c>
      <c r="I345" s="1" t="s">
        <v>1671</v>
      </c>
      <c r="L345" s="4">
        <v>44803</v>
      </c>
      <c r="M345" s="1" t="s">
        <v>76</v>
      </c>
      <c r="N345" s="1" t="s">
        <v>714</v>
      </c>
      <c r="O345" s="1" t="s">
        <v>10</v>
      </c>
    </row>
    <row r="346" spans="1:15" x14ac:dyDescent="0.3">
      <c r="A346" s="1" t="str">
        <f>HYPERLINK("https://hsdes.intel.com/resource/14013160435","14013160435")</f>
        <v>14013160435</v>
      </c>
      <c r="B346" s="1" t="s">
        <v>715</v>
      </c>
      <c r="C346" s="1" t="s">
        <v>75</v>
      </c>
      <c r="D346" s="1" t="s">
        <v>1683</v>
      </c>
      <c r="E346" s="1" t="s">
        <v>1698</v>
      </c>
      <c r="F346" s="1" t="s">
        <v>1729</v>
      </c>
      <c r="H346" s="1" t="s">
        <v>1707</v>
      </c>
      <c r="I346" s="1" t="s">
        <v>1673</v>
      </c>
      <c r="L346" s="4">
        <v>44803</v>
      </c>
      <c r="M346" s="1" t="s">
        <v>76</v>
      </c>
      <c r="N346" s="1" t="s">
        <v>716</v>
      </c>
      <c r="O346" s="1" t="s">
        <v>7</v>
      </c>
    </row>
    <row r="347" spans="1:15" x14ac:dyDescent="0.3">
      <c r="A347" s="1" t="str">
        <f>HYPERLINK("https://hsdes.intel.com/resource/14013160456","14013160456")</f>
        <v>14013160456</v>
      </c>
      <c r="B347" s="1" t="s">
        <v>717</v>
      </c>
      <c r="C347" s="1" t="s">
        <v>36</v>
      </c>
      <c r="D347" s="1" t="s">
        <v>1683</v>
      </c>
      <c r="E347" s="1" t="s">
        <v>1698</v>
      </c>
      <c r="F347" s="1" t="s">
        <v>1729</v>
      </c>
      <c r="H347" s="7" t="s">
        <v>1707</v>
      </c>
      <c r="I347" s="1" t="s">
        <v>1718</v>
      </c>
      <c r="L347" s="4">
        <v>44802</v>
      </c>
      <c r="M347" s="1" t="s">
        <v>37</v>
      </c>
      <c r="N347" s="1" t="s">
        <v>718</v>
      </c>
      <c r="O347" s="1" t="s">
        <v>32</v>
      </c>
    </row>
    <row r="348" spans="1:15" x14ac:dyDescent="0.3">
      <c r="A348" s="1" t="str">
        <f>HYPERLINK("https://hsdes.intel.com/resource/14013160580","14013160580")</f>
        <v>14013160580</v>
      </c>
      <c r="B348" s="1" t="s">
        <v>719</v>
      </c>
      <c r="C348" s="1" t="s">
        <v>28</v>
      </c>
      <c r="D348" s="1" t="s">
        <v>1683</v>
      </c>
      <c r="E348" s="1" t="s">
        <v>1698</v>
      </c>
      <c r="F348" s="1" t="s">
        <v>1729</v>
      </c>
      <c r="H348" s="7" t="s">
        <v>1707</v>
      </c>
      <c r="I348" s="1" t="s">
        <v>1718</v>
      </c>
      <c r="L348" s="4">
        <v>44802</v>
      </c>
      <c r="M348" s="1" t="s">
        <v>5</v>
      </c>
      <c r="N348" s="1" t="s">
        <v>720</v>
      </c>
      <c r="O348" s="1" t="s">
        <v>32</v>
      </c>
    </row>
    <row r="349" spans="1:15" x14ac:dyDescent="0.3">
      <c r="A349" s="1" t="str">
        <f>HYPERLINK("https://hsdes.intel.com/resource/14013160596","14013160596")</f>
        <v>14013160596</v>
      </c>
      <c r="B349" s="1" t="s">
        <v>721</v>
      </c>
      <c r="C349" s="1" t="s">
        <v>28</v>
      </c>
      <c r="D349" s="1" t="s">
        <v>1683</v>
      </c>
      <c r="E349" s="1" t="s">
        <v>1698</v>
      </c>
      <c r="F349" s="1" t="s">
        <v>1729</v>
      </c>
      <c r="H349" s="7" t="s">
        <v>1707</v>
      </c>
      <c r="I349" s="1" t="s">
        <v>1718</v>
      </c>
      <c r="L349" s="4">
        <v>44802</v>
      </c>
      <c r="M349" s="1" t="s">
        <v>5</v>
      </c>
      <c r="N349" s="1" t="s">
        <v>722</v>
      </c>
      <c r="O349" s="1" t="s">
        <v>32</v>
      </c>
    </row>
    <row r="350" spans="1:15" x14ac:dyDescent="0.3">
      <c r="A350" s="11" t="str">
        <f>HYPERLINK("https://hsdes.intel.com/resource/14013160612","14013160612")</f>
        <v>14013160612</v>
      </c>
      <c r="B350" s="1" t="s">
        <v>723</v>
      </c>
      <c r="C350" s="1" t="s">
        <v>46</v>
      </c>
      <c r="D350" s="1" t="s">
        <v>1683</v>
      </c>
      <c r="E350" s="1" t="s">
        <v>1698</v>
      </c>
      <c r="F350" s="1" t="s">
        <v>1729</v>
      </c>
      <c r="H350" s="1" t="s">
        <v>1707</v>
      </c>
      <c r="I350" s="1" t="s">
        <v>1673</v>
      </c>
      <c r="L350" s="4">
        <v>44802</v>
      </c>
      <c r="M350" s="1" t="s">
        <v>19</v>
      </c>
      <c r="N350" s="1" t="s">
        <v>724</v>
      </c>
      <c r="O350" s="1" t="s">
        <v>10</v>
      </c>
    </row>
    <row r="351" spans="1:15" x14ac:dyDescent="0.3">
      <c r="A351" s="1" t="str">
        <f>HYPERLINK("https://hsdes.intel.com/resource/14013160618","14013160618")</f>
        <v>14013160618</v>
      </c>
      <c r="B351" s="1" t="s">
        <v>725</v>
      </c>
      <c r="C351" s="1" t="s">
        <v>98</v>
      </c>
      <c r="D351" s="1" t="s">
        <v>1683</v>
      </c>
      <c r="E351" s="1" t="s">
        <v>1698</v>
      </c>
      <c r="F351" s="1" t="s">
        <v>1729</v>
      </c>
      <c r="H351" s="1" t="s">
        <v>1707</v>
      </c>
      <c r="I351" s="1" t="s">
        <v>1673</v>
      </c>
      <c r="L351" s="4">
        <v>44797</v>
      </c>
      <c r="M351" s="1" t="s">
        <v>76</v>
      </c>
      <c r="N351" s="1" t="s">
        <v>726</v>
      </c>
      <c r="O351" s="1" t="s">
        <v>10</v>
      </c>
    </row>
    <row r="352" spans="1:15" x14ac:dyDescent="0.3">
      <c r="A352" s="1" t="str">
        <f>HYPERLINK("https://hsdes.intel.com/resource/14013160655","14013160655")</f>
        <v>14013160655</v>
      </c>
      <c r="B352" s="1" t="s">
        <v>727</v>
      </c>
      <c r="C352" s="1" t="s">
        <v>115</v>
      </c>
      <c r="D352" s="1" t="s">
        <v>1683</v>
      </c>
      <c r="E352" s="1" t="s">
        <v>1698</v>
      </c>
      <c r="F352" s="1" t="s">
        <v>1729</v>
      </c>
      <c r="H352" s="1" t="s">
        <v>1707</v>
      </c>
      <c r="I352" s="1" t="s">
        <v>1673</v>
      </c>
      <c r="L352" s="4">
        <v>44802</v>
      </c>
      <c r="M352" s="1" t="s">
        <v>15</v>
      </c>
      <c r="N352" s="1" t="s">
        <v>728</v>
      </c>
      <c r="O352" s="1" t="s">
        <v>32</v>
      </c>
    </row>
    <row r="353" spans="1:15" x14ac:dyDescent="0.3">
      <c r="A353" s="1" t="str">
        <f>HYPERLINK("https://hsdes.intel.com/resource/14013160659","14013160659")</f>
        <v>14013160659</v>
      </c>
      <c r="B353" s="1" t="s">
        <v>729</v>
      </c>
      <c r="C353" s="1" t="s">
        <v>115</v>
      </c>
      <c r="D353" s="1" t="s">
        <v>1683</v>
      </c>
      <c r="E353" s="1" t="s">
        <v>1698</v>
      </c>
      <c r="F353" s="1" t="s">
        <v>1729</v>
      </c>
      <c r="H353" s="1" t="s">
        <v>1707</v>
      </c>
      <c r="I353" s="1" t="s">
        <v>1673</v>
      </c>
      <c r="L353" s="4">
        <v>44802</v>
      </c>
      <c r="M353" s="1" t="s">
        <v>15</v>
      </c>
      <c r="N353" s="1" t="s">
        <v>730</v>
      </c>
      <c r="O353" s="1" t="s">
        <v>32</v>
      </c>
    </row>
    <row r="354" spans="1:15" x14ac:dyDescent="0.3">
      <c r="A354" s="1" t="str">
        <f>HYPERLINK("https://hsdes.intel.com/resource/14013160660","14013160660")</f>
        <v>14013160660</v>
      </c>
      <c r="B354" s="1" t="s">
        <v>731</v>
      </c>
      <c r="C354" s="1" t="s">
        <v>115</v>
      </c>
      <c r="D354" s="1" t="s">
        <v>1683</v>
      </c>
      <c r="E354" s="1" t="s">
        <v>1698</v>
      </c>
      <c r="F354" s="1" t="s">
        <v>1729</v>
      </c>
      <c r="H354" s="1" t="s">
        <v>1707</v>
      </c>
      <c r="I354" s="1" t="s">
        <v>1673</v>
      </c>
      <c r="L354" s="4">
        <v>44802</v>
      </c>
      <c r="M354" s="1" t="s">
        <v>15</v>
      </c>
      <c r="N354" s="1" t="s">
        <v>732</v>
      </c>
      <c r="O354" s="1" t="s">
        <v>32</v>
      </c>
    </row>
    <row r="355" spans="1:15" x14ac:dyDescent="0.3">
      <c r="A355" s="1" t="str">
        <f>HYPERLINK("https://hsdes.intel.com/resource/14013160677","14013160677")</f>
        <v>14013160677</v>
      </c>
      <c r="B355" s="1" t="s">
        <v>733</v>
      </c>
      <c r="C355" s="1" t="s">
        <v>89</v>
      </c>
      <c r="D355" s="1" t="s">
        <v>1683</v>
      </c>
      <c r="E355" s="1" t="s">
        <v>1698</v>
      </c>
      <c r="F355" s="1" t="s">
        <v>1729</v>
      </c>
      <c r="H355" s="1" t="s">
        <v>1707</v>
      </c>
      <c r="I355" s="1" t="s">
        <v>1673</v>
      </c>
      <c r="L355" s="4">
        <v>44798</v>
      </c>
      <c r="M355" s="1" t="s">
        <v>23</v>
      </c>
      <c r="N355" s="1" t="s">
        <v>734</v>
      </c>
      <c r="O355" s="1" t="s">
        <v>10</v>
      </c>
    </row>
    <row r="356" spans="1:15" x14ac:dyDescent="0.3">
      <c r="A356" s="1" t="str">
        <f>HYPERLINK("https://hsdes.intel.com/resource/14013160678","14013160678")</f>
        <v>14013160678</v>
      </c>
      <c r="B356" s="1" t="s">
        <v>735</v>
      </c>
      <c r="C356" s="1" t="s">
        <v>89</v>
      </c>
      <c r="D356" s="1" t="s">
        <v>1683</v>
      </c>
      <c r="E356" s="1" t="s">
        <v>1698</v>
      </c>
      <c r="F356" s="1" t="s">
        <v>1729</v>
      </c>
      <c r="H356" s="1" t="s">
        <v>1707</v>
      </c>
      <c r="I356" s="1" t="s">
        <v>1673</v>
      </c>
      <c r="L356" s="4">
        <v>44798</v>
      </c>
      <c r="M356" s="1" t="s">
        <v>23</v>
      </c>
      <c r="N356" s="1" t="s">
        <v>736</v>
      </c>
      <c r="O356" s="1" t="s">
        <v>10</v>
      </c>
    </row>
    <row r="357" spans="1:15" x14ac:dyDescent="0.3">
      <c r="A357" s="1" t="str">
        <f>HYPERLINK("https://hsdes.intel.com/resource/14013160683","14013160683")</f>
        <v>14013160683</v>
      </c>
      <c r="B357" s="1" t="s">
        <v>737</v>
      </c>
      <c r="C357" s="1" t="s">
        <v>89</v>
      </c>
      <c r="D357" s="1" t="s">
        <v>1683</v>
      </c>
      <c r="E357" s="1" t="s">
        <v>1698</v>
      </c>
      <c r="F357" s="1" t="s">
        <v>1729</v>
      </c>
      <c r="H357" s="1" t="s">
        <v>1674</v>
      </c>
      <c r="I357" s="1" t="s">
        <v>1674</v>
      </c>
      <c r="M357" s="1" t="s">
        <v>23</v>
      </c>
      <c r="N357" s="1" t="s">
        <v>738</v>
      </c>
      <c r="O357" s="1" t="s">
        <v>10</v>
      </c>
    </row>
    <row r="358" spans="1:15" x14ac:dyDescent="0.3">
      <c r="A358" s="1" t="str">
        <f>HYPERLINK("https://hsdes.intel.com/resource/14013160685","14013160685")</f>
        <v>14013160685</v>
      </c>
      <c r="B358" s="1" t="s">
        <v>739</v>
      </c>
      <c r="C358" s="1" t="s">
        <v>98</v>
      </c>
      <c r="D358" s="1" t="s">
        <v>1683</v>
      </c>
      <c r="E358" s="1" t="s">
        <v>1698</v>
      </c>
      <c r="F358" s="1" t="s">
        <v>1729</v>
      </c>
      <c r="H358" s="1" t="s">
        <v>1707</v>
      </c>
      <c r="I358" s="1" t="s">
        <v>1673</v>
      </c>
      <c r="L358" s="4">
        <v>44797</v>
      </c>
      <c r="M358" s="1" t="s">
        <v>76</v>
      </c>
      <c r="N358" s="1" t="s">
        <v>740</v>
      </c>
      <c r="O358" s="1" t="s">
        <v>10</v>
      </c>
    </row>
    <row r="359" spans="1:15" x14ac:dyDescent="0.3">
      <c r="A359" s="1" t="str">
        <f>HYPERLINK("https://hsdes.intel.com/resource/14013160687","14013160687")</f>
        <v>14013160687</v>
      </c>
      <c r="B359" s="1" t="s">
        <v>741</v>
      </c>
      <c r="C359" s="1" t="s">
        <v>98</v>
      </c>
      <c r="D359" s="1" t="s">
        <v>1683</v>
      </c>
      <c r="E359" s="1" t="s">
        <v>1698</v>
      </c>
      <c r="F359" s="1" t="s">
        <v>1729</v>
      </c>
      <c r="H359" s="1" t="s">
        <v>1707</v>
      </c>
      <c r="I359" s="1" t="s">
        <v>1673</v>
      </c>
      <c r="L359" s="4">
        <v>44797</v>
      </c>
      <c r="M359" s="1" t="s">
        <v>76</v>
      </c>
      <c r="N359" s="1" t="s">
        <v>742</v>
      </c>
      <c r="O359" s="1" t="s">
        <v>7</v>
      </c>
    </row>
    <row r="360" spans="1:15" x14ac:dyDescent="0.3">
      <c r="A360" s="1" t="str">
        <f>HYPERLINK("https://hsdes.intel.com/resource/14013160688","14013160688")</f>
        <v>14013160688</v>
      </c>
      <c r="B360" s="1" t="s">
        <v>743</v>
      </c>
      <c r="C360" s="1" t="s">
        <v>98</v>
      </c>
      <c r="D360" s="1" t="s">
        <v>1683</v>
      </c>
      <c r="E360" s="1" t="s">
        <v>1698</v>
      </c>
      <c r="F360" s="1" t="s">
        <v>1729</v>
      </c>
      <c r="H360" s="1" t="s">
        <v>1707</v>
      </c>
      <c r="I360" s="1" t="s">
        <v>1673</v>
      </c>
      <c r="L360" s="4">
        <v>44797</v>
      </c>
      <c r="M360" s="1" t="s">
        <v>76</v>
      </c>
      <c r="N360" s="1" t="s">
        <v>744</v>
      </c>
      <c r="O360" s="1" t="s">
        <v>7</v>
      </c>
    </row>
    <row r="361" spans="1:15" x14ac:dyDescent="0.3">
      <c r="A361" s="1" t="str">
        <f>HYPERLINK("https://hsdes.intel.com/resource/14013160691","14013160691")</f>
        <v>14013160691</v>
      </c>
      <c r="B361" s="1" t="s">
        <v>745</v>
      </c>
      <c r="C361" s="1" t="s">
        <v>98</v>
      </c>
      <c r="D361" s="1" t="s">
        <v>1683</v>
      </c>
      <c r="E361" s="1" t="s">
        <v>1698</v>
      </c>
      <c r="F361" s="1" t="s">
        <v>1729</v>
      </c>
      <c r="H361" s="1" t="s">
        <v>1707</v>
      </c>
      <c r="I361" s="1" t="s">
        <v>1673</v>
      </c>
      <c r="L361" s="4">
        <v>44797</v>
      </c>
      <c r="M361" s="1" t="s">
        <v>76</v>
      </c>
      <c r="N361" s="1" t="s">
        <v>746</v>
      </c>
      <c r="O361" s="1" t="s">
        <v>7</v>
      </c>
    </row>
    <row r="362" spans="1:15" x14ac:dyDescent="0.3">
      <c r="A362" s="1" t="str">
        <f>HYPERLINK("https://hsdes.intel.com/resource/14013160703","14013160703")</f>
        <v>14013160703</v>
      </c>
      <c r="B362" s="1" t="s">
        <v>747</v>
      </c>
      <c r="C362" s="1" t="s">
        <v>89</v>
      </c>
      <c r="D362" s="1" t="s">
        <v>1683</v>
      </c>
      <c r="E362" s="1" t="s">
        <v>1698</v>
      </c>
      <c r="F362" s="1" t="s">
        <v>1729</v>
      </c>
      <c r="H362" s="1" t="s">
        <v>1707</v>
      </c>
      <c r="I362" s="1" t="s">
        <v>1673</v>
      </c>
      <c r="L362" s="4">
        <v>44798</v>
      </c>
      <c r="M362" s="1" t="s">
        <v>23</v>
      </c>
      <c r="N362" s="1" t="s">
        <v>748</v>
      </c>
      <c r="O362" s="1" t="s">
        <v>10</v>
      </c>
    </row>
    <row r="363" spans="1:15" x14ac:dyDescent="0.3">
      <c r="A363" s="1" t="str">
        <f>HYPERLINK("https://hsdes.intel.com/resource/14013160704","14013160704")</f>
        <v>14013160704</v>
      </c>
      <c r="B363" s="1" t="s">
        <v>749</v>
      </c>
      <c r="C363" s="1" t="s">
        <v>98</v>
      </c>
      <c r="D363" s="1" t="s">
        <v>1683</v>
      </c>
      <c r="E363" s="1" t="s">
        <v>1698</v>
      </c>
      <c r="F363" s="1" t="s">
        <v>1729</v>
      </c>
      <c r="H363" s="1" t="s">
        <v>1707</v>
      </c>
      <c r="I363" s="1" t="s">
        <v>1673</v>
      </c>
      <c r="L363" s="4">
        <v>44797</v>
      </c>
      <c r="M363" s="1" t="s">
        <v>76</v>
      </c>
      <c r="N363" s="1" t="s">
        <v>750</v>
      </c>
      <c r="O363" s="1" t="s">
        <v>7</v>
      </c>
    </row>
    <row r="364" spans="1:15" x14ac:dyDescent="0.3">
      <c r="A364" s="1" t="str">
        <f>HYPERLINK("https://hsdes.intel.com/resource/14013160708","14013160708")</f>
        <v>14013160708</v>
      </c>
      <c r="B364" s="1" t="s">
        <v>751</v>
      </c>
      <c r="C364" s="1" t="s">
        <v>98</v>
      </c>
      <c r="D364" s="1" t="s">
        <v>1683</v>
      </c>
      <c r="E364" s="1" t="s">
        <v>1698</v>
      </c>
      <c r="F364" s="1" t="s">
        <v>1729</v>
      </c>
      <c r="H364" s="1" t="s">
        <v>1707</v>
      </c>
      <c r="I364" s="1" t="s">
        <v>1673</v>
      </c>
      <c r="L364" s="4">
        <v>44797</v>
      </c>
      <c r="M364" s="1" t="s">
        <v>76</v>
      </c>
      <c r="N364" s="1" t="s">
        <v>752</v>
      </c>
      <c r="O364" s="1" t="s">
        <v>10</v>
      </c>
    </row>
    <row r="365" spans="1:15" x14ac:dyDescent="0.3">
      <c r="A365" s="1" t="str">
        <f>HYPERLINK("https://hsdes.intel.com/resource/14013160714","14013160714")</f>
        <v>14013160714</v>
      </c>
      <c r="B365" s="1" t="s">
        <v>753</v>
      </c>
      <c r="C365" s="1" t="s">
        <v>89</v>
      </c>
      <c r="D365" s="1" t="s">
        <v>1683</v>
      </c>
      <c r="E365" s="1" t="s">
        <v>1698</v>
      </c>
      <c r="F365" s="1" t="s">
        <v>1729</v>
      </c>
      <c r="H365" s="1" t="s">
        <v>1707</v>
      </c>
      <c r="I365" s="1" t="s">
        <v>1673</v>
      </c>
      <c r="L365" s="4">
        <v>44798</v>
      </c>
      <c r="M365" s="1" t="s">
        <v>23</v>
      </c>
      <c r="N365" s="1" t="s">
        <v>754</v>
      </c>
      <c r="O365" s="1" t="s">
        <v>10</v>
      </c>
    </row>
    <row r="366" spans="1:15" x14ac:dyDescent="0.3">
      <c r="A366" s="1" t="str">
        <f>HYPERLINK("https://hsdes.intel.com/resource/14013160716","14013160716")</f>
        <v>14013160716</v>
      </c>
      <c r="B366" s="1" t="s">
        <v>755</v>
      </c>
      <c r="C366" s="1" t="s">
        <v>115</v>
      </c>
      <c r="D366" s="1" t="s">
        <v>1683</v>
      </c>
      <c r="E366" s="1" t="s">
        <v>1698</v>
      </c>
      <c r="F366" s="1" t="s">
        <v>1729</v>
      </c>
      <c r="H366" s="1" t="s">
        <v>1715</v>
      </c>
      <c r="I366" s="1" t="s">
        <v>1671</v>
      </c>
      <c r="J366" s="10">
        <f>HYPERLINK("https://hsdes.intel.com/resource/16016907328",16016907328)</f>
        <v>16016907328</v>
      </c>
      <c r="L366" s="4">
        <v>44803</v>
      </c>
      <c r="M366" s="1" t="s">
        <v>15</v>
      </c>
      <c r="N366" s="1" t="s">
        <v>756</v>
      </c>
      <c r="O366" s="1" t="s">
        <v>32</v>
      </c>
    </row>
    <row r="367" spans="1:15" x14ac:dyDescent="0.3">
      <c r="A367" s="1" t="str">
        <f>HYPERLINK("https://hsdes.intel.com/resource/14013160718","14013160718")</f>
        <v>14013160718</v>
      </c>
      <c r="B367" s="1" t="s">
        <v>757</v>
      </c>
      <c r="C367" s="1" t="s">
        <v>115</v>
      </c>
      <c r="D367" s="1" t="s">
        <v>1683</v>
      </c>
      <c r="E367" s="1" t="s">
        <v>1698</v>
      </c>
      <c r="F367" s="1" t="s">
        <v>1729</v>
      </c>
      <c r="H367" s="1" t="s">
        <v>1715</v>
      </c>
      <c r="I367" s="1" t="s">
        <v>1671</v>
      </c>
      <c r="J367" s="10">
        <f>HYPERLINK("https://hsdes.intel.com/resource/16016907328",16016907328)</f>
        <v>16016907328</v>
      </c>
      <c r="L367" s="4">
        <v>44803</v>
      </c>
      <c r="M367" s="1" t="s">
        <v>15</v>
      </c>
      <c r="N367" s="1" t="s">
        <v>758</v>
      </c>
      <c r="O367" s="1" t="s">
        <v>32</v>
      </c>
    </row>
    <row r="368" spans="1:15" x14ac:dyDescent="0.3">
      <c r="A368" s="1" t="str">
        <f>HYPERLINK("https://hsdes.intel.com/resource/14013160721","14013160721")</f>
        <v>14013160721</v>
      </c>
      <c r="B368" s="1" t="s">
        <v>759</v>
      </c>
      <c r="C368" s="1" t="s">
        <v>115</v>
      </c>
      <c r="D368" s="1" t="s">
        <v>1683</v>
      </c>
      <c r="E368" s="1" t="s">
        <v>1698</v>
      </c>
      <c r="F368" s="1" t="s">
        <v>1729</v>
      </c>
      <c r="H368" s="1" t="s">
        <v>1707</v>
      </c>
      <c r="I368" s="1" t="s">
        <v>1673</v>
      </c>
      <c r="L368" s="4">
        <v>44802</v>
      </c>
      <c r="M368" s="1" t="s">
        <v>15</v>
      </c>
      <c r="N368" s="1" t="s">
        <v>760</v>
      </c>
      <c r="O368" s="1" t="s">
        <v>32</v>
      </c>
    </row>
    <row r="369" spans="1:15" x14ac:dyDescent="0.3">
      <c r="A369" s="1" t="str">
        <f>HYPERLINK("https://hsdes.intel.com/resource/14013160722","14013160722")</f>
        <v>14013160722</v>
      </c>
      <c r="B369" s="1" t="s">
        <v>761</v>
      </c>
      <c r="C369" s="1" t="s">
        <v>115</v>
      </c>
      <c r="D369" s="1" t="s">
        <v>1683</v>
      </c>
      <c r="E369" s="1" t="s">
        <v>1698</v>
      </c>
      <c r="F369" s="1" t="s">
        <v>1729</v>
      </c>
      <c r="H369" s="1" t="s">
        <v>1707</v>
      </c>
      <c r="I369" s="1" t="s">
        <v>1673</v>
      </c>
      <c r="L369" s="4">
        <v>44802</v>
      </c>
      <c r="M369" s="1" t="s">
        <v>15</v>
      </c>
      <c r="N369" s="1" t="s">
        <v>762</v>
      </c>
      <c r="O369" s="1" t="s">
        <v>32</v>
      </c>
    </row>
    <row r="370" spans="1:15" x14ac:dyDescent="0.3">
      <c r="A370" s="1" t="str">
        <f>HYPERLINK("https://hsdes.intel.com/resource/14013160724","14013160724")</f>
        <v>14013160724</v>
      </c>
      <c r="B370" s="1" t="s">
        <v>763</v>
      </c>
      <c r="C370" s="1" t="s">
        <v>4</v>
      </c>
      <c r="D370" s="1" t="s">
        <v>1683</v>
      </c>
      <c r="E370" s="1" t="s">
        <v>1698</v>
      </c>
      <c r="F370" s="1" t="s">
        <v>1729</v>
      </c>
      <c r="H370" s="1" t="s">
        <v>1707</v>
      </c>
      <c r="I370" s="1" t="s">
        <v>1671</v>
      </c>
      <c r="L370" s="4">
        <v>44799</v>
      </c>
      <c r="M370" s="1" t="s">
        <v>5</v>
      </c>
      <c r="N370" s="1" t="s">
        <v>764</v>
      </c>
      <c r="O370" s="1" t="s">
        <v>10</v>
      </c>
    </row>
    <row r="371" spans="1:15" x14ac:dyDescent="0.3">
      <c r="A371" s="1" t="str">
        <f>HYPERLINK("https://hsdes.intel.com/resource/14013160725","14013160725")</f>
        <v>14013160725</v>
      </c>
      <c r="B371" s="1" t="s">
        <v>765</v>
      </c>
      <c r="C371" s="1" t="s">
        <v>46</v>
      </c>
      <c r="D371" s="1" t="s">
        <v>1683</v>
      </c>
      <c r="E371" s="1" t="s">
        <v>1698</v>
      </c>
      <c r="F371" s="1" t="s">
        <v>1729</v>
      </c>
      <c r="H371" s="1" t="s">
        <v>1708</v>
      </c>
      <c r="I371" s="1" t="s">
        <v>1672</v>
      </c>
      <c r="L371" s="4">
        <v>44798</v>
      </c>
      <c r="M371" s="1" t="s">
        <v>19</v>
      </c>
      <c r="N371" s="1" t="s">
        <v>766</v>
      </c>
      <c r="O371" s="1" t="s">
        <v>10</v>
      </c>
    </row>
    <row r="372" spans="1:15" x14ac:dyDescent="0.3">
      <c r="A372" s="1" t="str">
        <f>HYPERLINK("https://hsdes.intel.com/resource/14013160726","14013160726")</f>
        <v>14013160726</v>
      </c>
      <c r="B372" s="1" t="s">
        <v>767</v>
      </c>
      <c r="C372" s="1" t="s">
        <v>4</v>
      </c>
      <c r="D372" s="1" t="s">
        <v>1683</v>
      </c>
      <c r="E372" s="1" t="s">
        <v>1698</v>
      </c>
      <c r="F372" s="1" t="s">
        <v>1729</v>
      </c>
      <c r="H372" s="1" t="s">
        <v>1708</v>
      </c>
      <c r="I372" s="1" t="s">
        <v>1671</v>
      </c>
      <c r="L372" s="4">
        <v>44798</v>
      </c>
      <c r="M372" s="1" t="s">
        <v>5</v>
      </c>
      <c r="N372" s="1" t="s">
        <v>768</v>
      </c>
      <c r="O372" s="1" t="s">
        <v>10</v>
      </c>
    </row>
    <row r="373" spans="1:15" x14ac:dyDescent="0.3">
      <c r="A373" s="1" t="str">
        <f>HYPERLINK("https://hsdes.intel.com/resource/14013160728","14013160728")</f>
        <v>14013160728</v>
      </c>
      <c r="B373" s="1" t="s">
        <v>769</v>
      </c>
      <c r="C373" s="1" t="s">
        <v>4</v>
      </c>
      <c r="D373" s="1" t="s">
        <v>1683</v>
      </c>
      <c r="E373" s="1" t="s">
        <v>1698</v>
      </c>
      <c r="F373" s="1" t="s">
        <v>1729</v>
      </c>
      <c r="H373" s="7" t="s">
        <v>1707</v>
      </c>
      <c r="I373" s="1" t="s">
        <v>1718</v>
      </c>
      <c r="L373" s="4">
        <v>44802</v>
      </c>
      <c r="M373" s="1" t="s">
        <v>5</v>
      </c>
      <c r="N373" s="1" t="s">
        <v>770</v>
      </c>
      <c r="O373" s="1" t="s">
        <v>7</v>
      </c>
    </row>
    <row r="374" spans="1:15" x14ac:dyDescent="0.3">
      <c r="A374" s="1" t="str">
        <f>HYPERLINK("https://hsdes.intel.com/resource/14013160747","14013160747")</f>
        <v>14013160747</v>
      </c>
      <c r="B374" s="1" t="s">
        <v>771</v>
      </c>
      <c r="C374" s="1" t="s">
        <v>46</v>
      </c>
      <c r="D374" s="1" t="s">
        <v>1683</v>
      </c>
      <c r="E374" s="1" t="s">
        <v>1698</v>
      </c>
      <c r="F374" s="1" t="s">
        <v>1729</v>
      </c>
      <c r="H374" s="1" t="s">
        <v>1707</v>
      </c>
      <c r="I374" s="1" t="s">
        <v>1723</v>
      </c>
      <c r="L374" s="4">
        <v>44803</v>
      </c>
      <c r="M374" s="1" t="s">
        <v>19</v>
      </c>
      <c r="N374" s="1" t="s">
        <v>772</v>
      </c>
      <c r="O374" s="1" t="s">
        <v>32</v>
      </c>
    </row>
    <row r="375" spans="1:15" x14ac:dyDescent="0.3">
      <c r="A375" s="1" t="str">
        <f>HYPERLINK("https://hsdes.intel.com/resource/14013160750","14013160750")</f>
        <v>14013160750</v>
      </c>
      <c r="B375" s="1" t="s">
        <v>773</v>
      </c>
      <c r="C375" s="1" t="s">
        <v>75</v>
      </c>
      <c r="D375" s="1" t="s">
        <v>1683</v>
      </c>
      <c r="E375" s="1" t="s">
        <v>1698</v>
      </c>
      <c r="F375" s="1" t="s">
        <v>1729</v>
      </c>
      <c r="H375" s="1" t="s">
        <v>1707</v>
      </c>
      <c r="I375" s="1" t="s">
        <v>1672</v>
      </c>
      <c r="L375" s="4">
        <v>44802</v>
      </c>
      <c r="M375" s="1" t="s">
        <v>76</v>
      </c>
      <c r="N375" s="1" t="s">
        <v>774</v>
      </c>
      <c r="O375" s="1" t="s">
        <v>10</v>
      </c>
    </row>
    <row r="376" spans="1:15" x14ac:dyDescent="0.3">
      <c r="A376" s="1" t="str">
        <f>HYPERLINK("https://hsdes.intel.com/resource/14013160762","14013160762")</f>
        <v>14013160762</v>
      </c>
      <c r="B376" s="1" t="s">
        <v>775</v>
      </c>
      <c r="C376" s="1" t="s">
        <v>776</v>
      </c>
      <c r="D376" s="1" t="s">
        <v>1683</v>
      </c>
      <c r="E376" s="1" t="s">
        <v>1698</v>
      </c>
      <c r="F376" s="1" t="s">
        <v>1729</v>
      </c>
      <c r="H376" s="1" t="s">
        <v>1707</v>
      </c>
      <c r="I376" s="1" t="s">
        <v>1672</v>
      </c>
      <c r="L376" s="4">
        <v>44799</v>
      </c>
      <c r="M376" s="1" t="s">
        <v>23</v>
      </c>
      <c r="N376" s="1" t="s">
        <v>777</v>
      </c>
      <c r="O376" s="1" t="s">
        <v>10</v>
      </c>
    </row>
    <row r="377" spans="1:15" x14ac:dyDescent="0.3">
      <c r="A377" s="1" t="str">
        <f>HYPERLINK("https://hsdes.intel.com/resource/14013160804","14013160804")</f>
        <v>14013160804</v>
      </c>
      <c r="B377" s="1" t="s">
        <v>778</v>
      </c>
      <c r="C377" s="1" t="s">
        <v>4</v>
      </c>
      <c r="D377" s="1" t="s">
        <v>1683</v>
      </c>
      <c r="E377" s="1" t="s">
        <v>1698</v>
      </c>
      <c r="F377" s="1" t="s">
        <v>1729</v>
      </c>
      <c r="H377" s="1" t="s">
        <v>1707</v>
      </c>
      <c r="I377" s="1" t="s">
        <v>1718</v>
      </c>
      <c r="L377" s="4">
        <v>44799</v>
      </c>
      <c r="M377" s="1" t="s">
        <v>5</v>
      </c>
      <c r="N377" s="1" t="s">
        <v>779</v>
      </c>
      <c r="O377" s="1" t="s">
        <v>10</v>
      </c>
    </row>
    <row r="378" spans="1:15" x14ac:dyDescent="0.3">
      <c r="A378" s="1" t="str">
        <f>HYPERLINK("https://hsdes.intel.com/resource/14013160825","14013160825")</f>
        <v>14013160825</v>
      </c>
      <c r="B378" s="1" t="s">
        <v>780</v>
      </c>
      <c r="C378" s="1" t="s">
        <v>75</v>
      </c>
      <c r="D378" s="1" t="s">
        <v>1683</v>
      </c>
      <c r="E378" s="1" t="s">
        <v>1698</v>
      </c>
      <c r="F378" s="1" t="s">
        <v>1729</v>
      </c>
      <c r="H378" s="1" t="s">
        <v>1708</v>
      </c>
      <c r="I378" s="1" t="s">
        <v>1671</v>
      </c>
      <c r="L378" s="4">
        <v>44802</v>
      </c>
      <c r="M378" s="1" t="s">
        <v>19</v>
      </c>
      <c r="N378" s="1" t="s">
        <v>781</v>
      </c>
      <c r="O378" s="1" t="s">
        <v>10</v>
      </c>
    </row>
    <row r="379" spans="1:15" x14ac:dyDescent="0.3">
      <c r="A379" s="1" t="str">
        <f>HYPERLINK("https://hsdes.intel.com/resource/14013160828","14013160828")</f>
        <v>14013160828</v>
      </c>
      <c r="B379" s="1" t="s">
        <v>782</v>
      </c>
      <c r="C379" s="1" t="s">
        <v>98</v>
      </c>
      <c r="D379" s="1" t="s">
        <v>1683</v>
      </c>
      <c r="E379" s="1" t="s">
        <v>1698</v>
      </c>
      <c r="F379" s="1" t="s">
        <v>1729</v>
      </c>
      <c r="H379" s="1" t="s">
        <v>1707</v>
      </c>
      <c r="I379" s="1" t="s">
        <v>1673</v>
      </c>
      <c r="L379" s="4">
        <v>44799</v>
      </c>
      <c r="M379" s="1" t="s">
        <v>76</v>
      </c>
      <c r="N379" s="1" t="s">
        <v>783</v>
      </c>
      <c r="O379" s="1" t="s">
        <v>10</v>
      </c>
    </row>
    <row r="380" spans="1:15" x14ac:dyDescent="0.3">
      <c r="A380" s="1" t="str">
        <f>HYPERLINK("https://hsdes.intel.com/resource/14013160845","14013160845")</f>
        <v>14013160845</v>
      </c>
      <c r="B380" s="1" t="s">
        <v>784</v>
      </c>
      <c r="C380" s="1" t="s">
        <v>46</v>
      </c>
      <c r="D380" s="1" t="s">
        <v>1683</v>
      </c>
      <c r="E380" s="1" t="s">
        <v>1698</v>
      </c>
      <c r="F380" s="1" t="s">
        <v>1729</v>
      </c>
      <c r="H380" s="1" t="s">
        <v>1707</v>
      </c>
      <c r="I380" s="1" t="s">
        <v>1671</v>
      </c>
      <c r="L380" s="4">
        <v>44803</v>
      </c>
      <c r="M380" s="1" t="s">
        <v>19</v>
      </c>
      <c r="N380" s="1" t="s">
        <v>785</v>
      </c>
      <c r="O380" s="1" t="s">
        <v>10</v>
      </c>
    </row>
    <row r="381" spans="1:15" x14ac:dyDescent="0.3">
      <c r="A381" s="1" t="str">
        <f>HYPERLINK("https://hsdes.intel.com/resource/14013160917","14013160917")</f>
        <v>14013160917</v>
      </c>
      <c r="B381" s="1" t="s">
        <v>786</v>
      </c>
      <c r="C381" s="1" t="s">
        <v>125</v>
      </c>
      <c r="D381" s="1" t="s">
        <v>1683</v>
      </c>
      <c r="E381" s="1" t="s">
        <v>1698</v>
      </c>
      <c r="F381" s="1" t="s">
        <v>1729</v>
      </c>
      <c r="H381" s="1" t="s">
        <v>1707</v>
      </c>
      <c r="I381" s="1" t="s">
        <v>1672</v>
      </c>
      <c r="L381" s="4">
        <v>44802</v>
      </c>
      <c r="M381" s="1" t="s">
        <v>37</v>
      </c>
      <c r="N381" s="1" t="s">
        <v>787</v>
      </c>
      <c r="O381" s="1" t="s">
        <v>7</v>
      </c>
    </row>
    <row r="382" spans="1:15" x14ac:dyDescent="0.3">
      <c r="A382" s="1" t="str">
        <f>HYPERLINK("https://hsdes.intel.com/resource/14013160965","14013160965")</f>
        <v>14013160965</v>
      </c>
      <c r="B382" s="1" t="s">
        <v>788</v>
      </c>
      <c r="C382" s="1" t="s">
        <v>89</v>
      </c>
      <c r="D382" s="1" t="s">
        <v>1683</v>
      </c>
      <c r="E382" s="1" t="s">
        <v>1698</v>
      </c>
      <c r="F382" s="1" t="s">
        <v>1729</v>
      </c>
      <c r="H382" s="7" t="s">
        <v>1707</v>
      </c>
      <c r="I382" s="1" t="s">
        <v>1673</v>
      </c>
      <c r="K382" s="4"/>
      <c r="L382" s="4">
        <v>44799</v>
      </c>
      <c r="M382" s="1" t="s">
        <v>23</v>
      </c>
      <c r="N382" s="1" t="s">
        <v>789</v>
      </c>
      <c r="O382" s="1" t="s">
        <v>10</v>
      </c>
    </row>
    <row r="383" spans="1:15" x14ac:dyDescent="0.3">
      <c r="A383" s="1" t="str">
        <f>HYPERLINK("https://hsdes.intel.com/resource/14013160973","14013160973")</f>
        <v>14013160973</v>
      </c>
      <c r="B383" s="1" t="s">
        <v>790</v>
      </c>
      <c r="C383" s="1" t="s">
        <v>89</v>
      </c>
      <c r="D383" s="1" t="s">
        <v>1683</v>
      </c>
      <c r="E383" s="1" t="s">
        <v>1698</v>
      </c>
      <c r="F383" s="1" t="s">
        <v>1729</v>
      </c>
      <c r="H383" s="1" t="s">
        <v>1707</v>
      </c>
      <c r="I383" s="1" t="s">
        <v>1726</v>
      </c>
      <c r="L383" s="4">
        <v>44803</v>
      </c>
      <c r="M383" s="1" t="s">
        <v>23</v>
      </c>
      <c r="N383" s="1" t="s">
        <v>791</v>
      </c>
      <c r="O383" s="1" t="s">
        <v>10</v>
      </c>
    </row>
    <row r="384" spans="1:15" x14ac:dyDescent="0.3">
      <c r="A384" s="1" t="str">
        <f>HYPERLINK("https://hsdes.intel.com/resource/14013160979","14013160979")</f>
        <v>14013160979</v>
      </c>
      <c r="B384" s="1" t="s">
        <v>792</v>
      </c>
      <c r="C384" s="1" t="s">
        <v>89</v>
      </c>
      <c r="D384" s="1" t="s">
        <v>1683</v>
      </c>
      <c r="E384" s="1" t="s">
        <v>1698</v>
      </c>
      <c r="F384" s="1" t="s">
        <v>1729</v>
      </c>
      <c r="H384" s="1" t="s">
        <v>1707</v>
      </c>
      <c r="I384" s="1" t="s">
        <v>1671</v>
      </c>
      <c r="L384" s="4">
        <v>44802</v>
      </c>
      <c r="M384" s="1" t="s">
        <v>23</v>
      </c>
      <c r="N384" s="1" t="s">
        <v>793</v>
      </c>
      <c r="O384" s="1" t="s">
        <v>10</v>
      </c>
    </row>
    <row r="385" spans="1:15" x14ac:dyDescent="0.3">
      <c r="A385" s="1" t="str">
        <f>HYPERLINK("https://hsdes.intel.com/resource/14013161002","14013161002")</f>
        <v>14013161002</v>
      </c>
      <c r="B385" s="1" t="s">
        <v>794</v>
      </c>
      <c r="C385" s="1" t="s">
        <v>115</v>
      </c>
      <c r="D385" s="1" t="s">
        <v>1683</v>
      </c>
      <c r="E385" s="1" t="s">
        <v>1698</v>
      </c>
      <c r="F385" s="1" t="s">
        <v>1729</v>
      </c>
      <c r="H385" s="1" t="s">
        <v>1707</v>
      </c>
      <c r="I385" s="1" t="s">
        <v>1673</v>
      </c>
      <c r="L385" s="4">
        <v>44799</v>
      </c>
      <c r="M385" s="1" t="s">
        <v>15</v>
      </c>
      <c r="N385" s="1" t="s">
        <v>795</v>
      </c>
      <c r="O385" s="1" t="s">
        <v>7</v>
      </c>
    </row>
    <row r="386" spans="1:15" x14ac:dyDescent="0.3">
      <c r="A386" s="1" t="str">
        <f>HYPERLINK("https://hsdes.intel.com/resource/14013161019","14013161019")</f>
        <v>14013161019</v>
      </c>
      <c r="B386" s="1" t="s">
        <v>796</v>
      </c>
      <c r="C386" s="1" t="s">
        <v>115</v>
      </c>
      <c r="D386" s="1" t="s">
        <v>1683</v>
      </c>
      <c r="E386" s="1" t="s">
        <v>1698</v>
      </c>
      <c r="F386" s="1" t="s">
        <v>1729</v>
      </c>
      <c r="H386" s="1" t="s">
        <v>1707</v>
      </c>
      <c r="I386" s="1" t="s">
        <v>1673</v>
      </c>
      <c r="L386" s="4">
        <v>44802</v>
      </c>
      <c r="M386" s="1" t="s">
        <v>15</v>
      </c>
      <c r="N386" s="1" t="s">
        <v>797</v>
      </c>
      <c r="O386" s="1" t="s">
        <v>32</v>
      </c>
    </row>
    <row r="387" spans="1:15" x14ac:dyDescent="0.3">
      <c r="A387" s="1" t="str">
        <f>HYPERLINK("https://hsdes.intel.com/resource/14013161024","14013161024")</f>
        <v>14013161024</v>
      </c>
      <c r="B387" s="1" t="s">
        <v>798</v>
      </c>
      <c r="C387" s="1" t="s">
        <v>115</v>
      </c>
      <c r="D387" s="1" t="s">
        <v>1683</v>
      </c>
      <c r="E387" s="1" t="s">
        <v>1698</v>
      </c>
      <c r="F387" s="1" t="s">
        <v>1729</v>
      </c>
      <c r="H387" s="1" t="s">
        <v>1707</v>
      </c>
      <c r="I387" s="1" t="s">
        <v>1673</v>
      </c>
      <c r="L387" s="4">
        <v>44802</v>
      </c>
      <c r="M387" s="1" t="s">
        <v>15</v>
      </c>
      <c r="N387" s="1" t="s">
        <v>799</v>
      </c>
      <c r="O387" s="1" t="s">
        <v>32</v>
      </c>
    </row>
    <row r="388" spans="1:15" x14ac:dyDescent="0.3">
      <c r="A388" s="1" t="str">
        <f>HYPERLINK("https://hsdes.intel.com/resource/14013161080","14013161080")</f>
        <v>14013161080</v>
      </c>
      <c r="B388" s="1" t="s">
        <v>800</v>
      </c>
      <c r="C388" s="1" t="s">
        <v>68</v>
      </c>
      <c r="D388" s="1" t="s">
        <v>1683</v>
      </c>
      <c r="E388" s="1" t="s">
        <v>1698</v>
      </c>
      <c r="F388" s="1" t="s">
        <v>1729</v>
      </c>
      <c r="H388" s="1" t="s">
        <v>1707</v>
      </c>
      <c r="I388" s="1" t="s">
        <v>1671</v>
      </c>
      <c r="L388" s="4">
        <v>44797</v>
      </c>
      <c r="M388" s="1" t="s">
        <v>15</v>
      </c>
      <c r="N388" s="1" t="s">
        <v>801</v>
      </c>
      <c r="O388" s="1" t="s">
        <v>10</v>
      </c>
    </row>
    <row r="389" spans="1:15" x14ac:dyDescent="0.3">
      <c r="A389" s="1" t="str">
        <f>HYPERLINK("https://hsdes.intel.com/resource/14013161121","14013161121")</f>
        <v>14013161121</v>
      </c>
      <c r="B389" s="1" t="s">
        <v>802</v>
      </c>
      <c r="C389" s="1" t="s">
        <v>115</v>
      </c>
      <c r="D389" s="1" t="s">
        <v>1683</v>
      </c>
      <c r="E389" s="1" t="s">
        <v>1698</v>
      </c>
      <c r="F389" s="1" t="s">
        <v>1729</v>
      </c>
      <c r="H389" s="1" t="s">
        <v>1707</v>
      </c>
      <c r="I389" s="1" t="s">
        <v>1673</v>
      </c>
      <c r="L389" s="4">
        <v>44802</v>
      </c>
      <c r="M389" s="1" t="s">
        <v>15</v>
      </c>
      <c r="N389" s="1" t="s">
        <v>803</v>
      </c>
      <c r="O389" s="1" t="s">
        <v>10</v>
      </c>
    </row>
    <row r="390" spans="1:15" x14ac:dyDescent="0.3">
      <c r="A390" s="1" t="str">
        <f>HYPERLINK("https://hsdes.intel.com/resource/14013161169","14013161169")</f>
        <v>14013161169</v>
      </c>
      <c r="B390" s="1" t="s">
        <v>804</v>
      </c>
      <c r="C390" s="1" t="s">
        <v>98</v>
      </c>
      <c r="D390" s="1" t="s">
        <v>1683</v>
      </c>
      <c r="E390" s="1" t="s">
        <v>1698</v>
      </c>
      <c r="F390" s="1" t="s">
        <v>1729</v>
      </c>
      <c r="H390" s="1" t="s">
        <v>1707</v>
      </c>
      <c r="I390" s="1" t="s">
        <v>1673</v>
      </c>
      <c r="L390" s="4">
        <v>44797</v>
      </c>
      <c r="M390" s="1" t="s">
        <v>76</v>
      </c>
      <c r="N390" s="1" t="s">
        <v>805</v>
      </c>
      <c r="O390" s="1" t="s">
        <v>7</v>
      </c>
    </row>
    <row r="391" spans="1:15" x14ac:dyDescent="0.3">
      <c r="A391" s="1" t="str">
        <f>HYPERLINK("https://hsdes.intel.com/resource/14013161173","14013161173")</f>
        <v>14013161173</v>
      </c>
      <c r="B391" s="1" t="s">
        <v>806</v>
      </c>
      <c r="C391" s="1" t="s">
        <v>98</v>
      </c>
      <c r="D391" s="1" t="s">
        <v>1683</v>
      </c>
      <c r="E391" s="1" t="s">
        <v>1698</v>
      </c>
      <c r="F391" s="1" t="s">
        <v>1729</v>
      </c>
      <c r="H391" s="1" t="s">
        <v>1707</v>
      </c>
      <c r="I391" s="1" t="s">
        <v>1672</v>
      </c>
      <c r="L391" s="4">
        <v>44802</v>
      </c>
      <c r="M391" s="1" t="s">
        <v>76</v>
      </c>
      <c r="N391" s="1" t="s">
        <v>807</v>
      </c>
      <c r="O391" s="1" t="s">
        <v>7</v>
      </c>
    </row>
    <row r="392" spans="1:15" x14ac:dyDescent="0.3">
      <c r="A392" s="1" t="str">
        <f>HYPERLINK("https://hsdes.intel.com/resource/14013161181","14013161181")</f>
        <v>14013161181</v>
      </c>
      <c r="B392" s="1" t="s">
        <v>808</v>
      </c>
      <c r="C392" s="1" t="s">
        <v>46</v>
      </c>
      <c r="D392" s="1" t="s">
        <v>1683</v>
      </c>
      <c r="E392" s="1" t="s">
        <v>1698</v>
      </c>
      <c r="F392" s="1" t="s">
        <v>1729</v>
      </c>
      <c r="H392" s="1" t="s">
        <v>1707</v>
      </c>
      <c r="I392" s="1" t="s">
        <v>1671</v>
      </c>
      <c r="L392" s="4">
        <v>44799</v>
      </c>
      <c r="M392" s="1" t="s">
        <v>5</v>
      </c>
      <c r="N392" s="1" t="s">
        <v>809</v>
      </c>
      <c r="O392" s="1" t="s">
        <v>32</v>
      </c>
    </row>
    <row r="393" spans="1:15" x14ac:dyDescent="0.3">
      <c r="A393" s="1" t="str">
        <f>HYPERLINK("https://hsdes.intel.com/resource/14013161185","14013161185")</f>
        <v>14013161185</v>
      </c>
      <c r="B393" s="1" t="s">
        <v>810</v>
      </c>
      <c r="C393" s="1" t="s">
        <v>46</v>
      </c>
      <c r="D393" s="1" t="s">
        <v>1683</v>
      </c>
      <c r="E393" s="1" t="s">
        <v>1698</v>
      </c>
      <c r="F393" s="1" t="s">
        <v>1729</v>
      </c>
      <c r="H393" s="1" t="s">
        <v>1707</v>
      </c>
      <c r="I393" s="1" t="s">
        <v>1672</v>
      </c>
      <c r="L393" s="4">
        <v>44798</v>
      </c>
      <c r="M393" s="1" t="s">
        <v>5</v>
      </c>
      <c r="N393" s="1" t="s">
        <v>811</v>
      </c>
      <c r="O393" s="1" t="s">
        <v>32</v>
      </c>
    </row>
    <row r="394" spans="1:15" x14ac:dyDescent="0.3">
      <c r="A394" s="1" t="str">
        <f>HYPERLINK("https://hsdes.intel.com/resource/14013161188","14013161188")</f>
        <v>14013161188</v>
      </c>
      <c r="B394" s="1" t="s">
        <v>812</v>
      </c>
      <c r="C394" s="1" t="s">
        <v>46</v>
      </c>
      <c r="D394" s="1" t="s">
        <v>1683</v>
      </c>
      <c r="E394" s="1" t="s">
        <v>1698</v>
      </c>
      <c r="F394" s="1" t="s">
        <v>1729</v>
      </c>
      <c r="H394" s="1" t="s">
        <v>1707</v>
      </c>
      <c r="I394" s="1" t="s">
        <v>1671</v>
      </c>
      <c r="L394" s="4">
        <v>44799</v>
      </c>
      <c r="M394" s="1" t="s">
        <v>5</v>
      </c>
      <c r="N394" s="1" t="s">
        <v>813</v>
      </c>
      <c r="O394" s="1" t="s">
        <v>32</v>
      </c>
    </row>
    <row r="395" spans="1:15" x14ac:dyDescent="0.3">
      <c r="A395" s="1" t="str">
        <f>HYPERLINK("https://hsdes.intel.com/resource/14013161189","14013161189")</f>
        <v>14013161189</v>
      </c>
      <c r="B395" s="1" t="s">
        <v>814</v>
      </c>
      <c r="C395" s="1" t="s">
        <v>46</v>
      </c>
      <c r="D395" s="1" t="s">
        <v>1683</v>
      </c>
      <c r="E395" s="1" t="s">
        <v>1698</v>
      </c>
      <c r="F395" s="1" t="s">
        <v>1729</v>
      </c>
      <c r="H395" s="1" t="s">
        <v>1707</v>
      </c>
      <c r="I395" s="1" t="s">
        <v>1672</v>
      </c>
      <c r="L395" s="4">
        <v>44799</v>
      </c>
      <c r="M395" s="1" t="s">
        <v>5</v>
      </c>
      <c r="N395" s="1" t="s">
        <v>815</v>
      </c>
      <c r="O395" s="1" t="s">
        <v>10</v>
      </c>
    </row>
    <row r="396" spans="1:15" x14ac:dyDescent="0.3">
      <c r="A396" s="1" t="str">
        <f>HYPERLINK("https://hsdes.intel.com/resource/14013161281","14013161281")</f>
        <v>14013161281</v>
      </c>
      <c r="B396" s="1" t="s">
        <v>816</v>
      </c>
      <c r="C396" s="1" t="s">
        <v>75</v>
      </c>
      <c r="D396" s="1" t="s">
        <v>1683</v>
      </c>
      <c r="E396" s="1" t="s">
        <v>1698</v>
      </c>
      <c r="F396" s="1" t="s">
        <v>1729</v>
      </c>
      <c r="H396" s="1" t="s">
        <v>1707</v>
      </c>
      <c r="I396" s="1" t="s">
        <v>1673</v>
      </c>
      <c r="L396" s="4">
        <v>44803</v>
      </c>
      <c r="M396" s="1" t="s">
        <v>76</v>
      </c>
      <c r="N396" s="1" t="s">
        <v>817</v>
      </c>
      <c r="O396" s="1" t="s">
        <v>7</v>
      </c>
    </row>
    <row r="397" spans="1:15" x14ac:dyDescent="0.3">
      <c r="A397" s="1" t="str">
        <f>HYPERLINK("https://hsdes.intel.com/resource/14013161283","14013161283")</f>
        <v>14013161283</v>
      </c>
      <c r="B397" s="1" t="s">
        <v>818</v>
      </c>
      <c r="C397" s="1" t="s">
        <v>98</v>
      </c>
      <c r="D397" s="1" t="s">
        <v>1683</v>
      </c>
      <c r="E397" s="1" t="s">
        <v>1698</v>
      </c>
      <c r="F397" s="1" t="s">
        <v>1729</v>
      </c>
      <c r="H397" s="1" t="s">
        <v>1674</v>
      </c>
      <c r="I397" s="1" t="s">
        <v>1674</v>
      </c>
      <c r="M397" s="1" t="s">
        <v>76</v>
      </c>
      <c r="N397" s="1" t="s">
        <v>819</v>
      </c>
      <c r="O397" s="1" t="s">
        <v>10</v>
      </c>
    </row>
    <row r="398" spans="1:15" x14ac:dyDescent="0.3">
      <c r="A398" s="1" t="str">
        <f>HYPERLINK("https://hsdes.intel.com/resource/14013161363","14013161363")</f>
        <v>14013161363</v>
      </c>
      <c r="B398" s="1" t="s">
        <v>820</v>
      </c>
      <c r="C398" s="1" t="s">
        <v>98</v>
      </c>
      <c r="D398" s="1" t="s">
        <v>1683</v>
      </c>
      <c r="E398" s="1" t="s">
        <v>1698</v>
      </c>
      <c r="F398" s="1" t="s">
        <v>1729</v>
      </c>
      <c r="H398" s="1" t="s">
        <v>1707</v>
      </c>
      <c r="I398" s="1" t="s">
        <v>1673</v>
      </c>
      <c r="L398" s="4">
        <v>44797</v>
      </c>
      <c r="M398" s="1" t="s">
        <v>76</v>
      </c>
      <c r="N398" s="1" t="s">
        <v>821</v>
      </c>
      <c r="O398" s="1" t="s">
        <v>7</v>
      </c>
    </row>
    <row r="399" spans="1:15" x14ac:dyDescent="0.3">
      <c r="A399" s="1" t="str">
        <f>HYPERLINK("https://hsdes.intel.com/resource/14013161368","14013161368")</f>
        <v>14013161368</v>
      </c>
      <c r="B399" s="1" t="s">
        <v>822</v>
      </c>
      <c r="C399" s="1" t="s">
        <v>98</v>
      </c>
      <c r="D399" s="1" t="s">
        <v>1683</v>
      </c>
      <c r="E399" s="1" t="s">
        <v>1698</v>
      </c>
      <c r="F399" s="1" t="s">
        <v>1729</v>
      </c>
      <c r="H399" s="1" t="s">
        <v>1707</v>
      </c>
      <c r="I399" s="1" t="s">
        <v>1673</v>
      </c>
      <c r="L399" s="4">
        <v>44797</v>
      </c>
      <c r="M399" s="1" t="s">
        <v>76</v>
      </c>
      <c r="N399" s="1" t="s">
        <v>823</v>
      </c>
      <c r="O399" s="1" t="s">
        <v>7</v>
      </c>
    </row>
    <row r="400" spans="1:15" x14ac:dyDescent="0.3">
      <c r="A400" s="1" t="str">
        <f>HYPERLINK("https://hsdes.intel.com/resource/14013161369","14013161369")</f>
        <v>14013161369</v>
      </c>
      <c r="B400" s="1" t="s">
        <v>824</v>
      </c>
      <c r="C400" s="1" t="s">
        <v>98</v>
      </c>
      <c r="D400" s="1" t="s">
        <v>1683</v>
      </c>
      <c r="E400" s="1" t="s">
        <v>1698</v>
      </c>
      <c r="F400" s="1" t="s">
        <v>1729</v>
      </c>
      <c r="H400" s="1" t="s">
        <v>1707</v>
      </c>
      <c r="I400" s="1" t="s">
        <v>1673</v>
      </c>
      <c r="L400" s="4">
        <v>44797</v>
      </c>
      <c r="M400" s="1" t="s">
        <v>76</v>
      </c>
      <c r="N400" s="1" t="s">
        <v>825</v>
      </c>
      <c r="O400" s="1" t="s">
        <v>10</v>
      </c>
    </row>
    <row r="401" spans="1:15" x14ac:dyDescent="0.3">
      <c r="A401" s="1" t="str">
        <f>HYPERLINK("https://hsdes.intel.com/resource/14013161425","14013161425")</f>
        <v>14013161425</v>
      </c>
      <c r="B401" s="1" t="s">
        <v>826</v>
      </c>
      <c r="C401" s="1" t="s">
        <v>89</v>
      </c>
      <c r="D401" s="1" t="s">
        <v>1683</v>
      </c>
      <c r="E401" s="1" t="s">
        <v>1698</v>
      </c>
      <c r="F401" s="1" t="s">
        <v>1729</v>
      </c>
      <c r="H401" s="8" t="s">
        <v>1707</v>
      </c>
      <c r="I401" s="1" t="s">
        <v>1718</v>
      </c>
      <c r="L401" s="4">
        <v>44799</v>
      </c>
      <c r="M401" s="1" t="s">
        <v>23</v>
      </c>
      <c r="N401" s="1" t="s">
        <v>827</v>
      </c>
      <c r="O401" s="1" t="s">
        <v>7</v>
      </c>
    </row>
    <row r="402" spans="1:15" x14ac:dyDescent="0.3">
      <c r="A402" s="1" t="str">
        <f>HYPERLINK("https://hsdes.intel.com/resource/14013161442","14013161442")</f>
        <v>14013161442</v>
      </c>
      <c r="B402" s="1" t="s">
        <v>828</v>
      </c>
      <c r="C402" s="1" t="s">
        <v>115</v>
      </c>
      <c r="D402" s="1" t="s">
        <v>1683</v>
      </c>
      <c r="E402" s="1" t="s">
        <v>1698</v>
      </c>
      <c r="F402" s="1" t="s">
        <v>1729</v>
      </c>
      <c r="H402" s="1" t="s">
        <v>1707</v>
      </c>
      <c r="I402" s="1" t="s">
        <v>1673</v>
      </c>
      <c r="L402" s="4">
        <v>44802</v>
      </c>
      <c r="M402" s="1" t="s">
        <v>15</v>
      </c>
      <c r="N402" s="1" t="s">
        <v>829</v>
      </c>
      <c r="O402" s="1" t="s">
        <v>32</v>
      </c>
    </row>
    <row r="403" spans="1:15" x14ac:dyDescent="0.3">
      <c r="A403" s="1" t="str">
        <f>HYPERLINK("https://hsdes.intel.com/resource/14013161443","14013161443")</f>
        <v>14013161443</v>
      </c>
      <c r="B403" s="1" t="s">
        <v>830</v>
      </c>
      <c r="C403" s="1" t="s">
        <v>115</v>
      </c>
      <c r="D403" s="1" t="s">
        <v>1683</v>
      </c>
      <c r="E403" s="1" t="s">
        <v>1698</v>
      </c>
      <c r="F403" s="1" t="s">
        <v>1729</v>
      </c>
      <c r="H403" s="1" t="s">
        <v>1674</v>
      </c>
      <c r="I403" s="1" t="s">
        <v>1674</v>
      </c>
      <c r="M403" s="1" t="s">
        <v>15</v>
      </c>
      <c r="N403" s="1" t="s">
        <v>831</v>
      </c>
      <c r="O403" s="1" t="s">
        <v>32</v>
      </c>
    </row>
    <row r="404" spans="1:15" x14ac:dyDescent="0.3">
      <c r="A404" s="1" t="str">
        <f>HYPERLINK("https://hsdes.intel.com/resource/14013161444","14013161444")</f>
        <v>14013161444</v>
      </c>
      <c r="B404" s="1" t="s">
        <v>832</v>
      </c>
      <c r="C404" s="1" t="s">
        <v>115</v>
      </c>
      <c r="D404" s="1" t="s">
        <v>1683</v>
      </c>
      <c r="E404" s="1" t="s">
        <v>1698</v>
      </c>
      <c r="F404" s="1" t="s">
        <v>1729</v>
      </c>
      <c r="H404" s="1" t="s">
        <v>1707</v>
      </c>
      <c r="I404" s="1" t="s">
        <v>1673</v>
      </c>
      <c r="L404" s="4">
        <v>44802</v>
      </c>
      <c r="M404" s="1" t="s">
        <v>15</v>
      </c>
      <c r="N404" s="1" t="s">
        <v>833</v>
      </c>
      <c r="O404" s="1" t="s">
        <v>32</v>
      </c>
    </row>
    <row r="405" spans="1:15" x14ac:dyDescent="0.3">
      <c r="A405" s="1" t="str">
        <f>HYPERLINK("https://hsdes.intel.com/resource/14013161527","14013161527")</f>
        <v>14013161527</v>
      </c>
      <c r="B405" s="1" t="s">
        <v>834</v>
      </c>
      <c r="C405" s="1" t="s">
        <v>18</v>
      </c>
      <c r="D405" s="1" t="s">
        <v>1683</v>
      </c>
      <c r="E405" s="1" t="s">
        <v>1698</v>
      </c>
      <c r="F405" s="1" t="s">
        <v>1729</v>
      </c>
      <c r="H405" s="1" t="s">
        <v>1707</v>
      </c>
      <c r="I405" s="1" t="s">
        <v>1673</v>
      </c>
      <c r="L405" s="4">
        <v>44799</v>
      </c>
      <c r="M405" s="1" t="s">
        <v>5</v>
      </c>
      <c r="N405" s="1" t="s">
        <v>835</v>
      </c>
      <c r="O405" s="1" t="s">
        <v>32</v>
      </c>
    </row>
    <row r="406" spans="1:15" x14ac:dyDescent="0.3">
      <c r="A406" s="1" t="str">
        <f>HYPERLINK("https://hsdes.intel.com/resource/14013161553","14013161553")</f>
        <v>14013161553</v>
      </c>
      <c r="B406" s="1" t="s">
        <v>836</v>
      </c>
      <c r="C406" s="1" t="s">
        <v>46</v>
      </c>
      <c r="D406" s="1" t="s">
        <v>1683</v>
      </c>
      <c r="E406" s="1" t="s">
        <v>1698</v>
      </c>
      <c r="F406" s="1" t="s">
        <v>1729</v>
      </c>
      <c r="H406" s="1" t="s">
        <v>1707</v>
      </c>
      <c r="I406" s="1" t="s">
        <v>1671</v>
      </c>
      <c r="L406" s="4">
        <v>44802</v>
      </c>
      <c r="M406" s="1" t="s">
        <v>19</v>
      </c>
      <c r="N406" s="1" t="s">
        <v>837</v>
      </c>
      <c r="O406" s="1" t="s">
        <v>10</v>
      </c>
    </row>
    <row r="407" spans="1:15" x14ac:dyDescent="0.3">
      <c r="A407" s="1" t="str">
        <f>HYPERLINK("https://hsdes.intel.com/resource/14013161560","14013161560")</f>
        <v>14013161560</v>
      </c>
      <c r="B407" s="1" t="s">
        <v>838</v>
      </c>
      <c r="C407" s="1" t="s">
        <v>68</v>
      </c>
      <c r="D407" s="1" t="s">
        <v>1683</v>
      </c>
      <c r="E407" s="1" t="s">
        <v>1698</v>
      </c>
      <c r="F407" s="1" t="s">
        <v>1729</v>
      </c>
      <c r="H407" s="1" t="s">
        <v>1707</v>
      </c>
      <c r="I407" s="1" t="s">
        <v>1672</v>
      </c>
      <c r="L407" s="4">
        <v>44799</v>
      </c>
      <c r="M407" s="1" t="s">
        <v>15</v>
      </c>
      <c r="N407" s="1" t="s">
        <v>839</v>
      </c>
      <c r="O407" s="1" t="s">
        <v>10</v>
      </c>
    </row>
    <row r="408" spans="1:15" x14ac:dyDescent="0.3">
      <c r="A408" s="1" t="str">
        <f>HYPERLINK("https://hsdes.intel.com/resource/14013161588","14013161588")</f>
        <v>14013161588</v>
      </c>
      <c r="B408" s="1" t="s">
        <v>840</v>
      </c>
      <c r="C408" s="1" t="s">
        <v>115</v>
      </c>
      <c r="D408" s="1" t="s">
        <v>1684</v>
      </c>
      <c r="E408" s="1" t="s">
        <v>1698</v>
      </c>
      <c r="F408" s="1" t="s">
        <v>1729</v>
      </c>
      <c r="H408" s="1" t="s">
        <v>1707</v>
      </c>
      <c r="I408" s="1" t="s">
        <v>1673</v>
      </c>
      <c r="L408" s="4">
        <v>44802</v>
      </c>
      <c r="M408" s="1" t="s">
        <v>15</v>
      </c>
      <c r="N408" s="1" t="s">
        <v>841</v>
      </c>
      <c r="O408" s="1" t="s">
        <v>32</v>
      </c>
    </row>
    <row r="409" spans="1:15" x14ac:dyDescent="0.3">
      <c r="A409" s="1" t="str">
        <f>HYPERLINK("https://hsdes.intel.com/resource/14013161591","14013161591")</f>
        <v>14013161591</v>
      </c>
      <c r="B409" s="1" t="s">
        <v>842</v>
      </c>
      <c r="C409" s="1" t="s">
        <v>18</v>
      </c>
      <c r="D409" s="1" t="s">
        <v>1683</v>
      </c>
      <c r="E409" s="1" t="s">
        <v>1698</v>
      </c>
      <c r="F409" s="1" t="s">
        <v>1729</v>
      </c>
      <c r="H409" s="1" t="s">
        <v>1707</v>
      </c>
      <c r="I409" s="1" t="s">
        <v>1672</v>
      </c>
      <c r="L409" s="4">
        <v>44799</v>
      </c>
      <c r="M409" s="1" t="s">
        <v>5</v>
      </c>
      <c r="N409" s="1" t="s">
        <v>843</v>
      </c>
      <c r="O409" s="1" t="s">
        <v>10</v>
      </c>
    </row>
    <row r="410" spans="1:15" x14ac:dyDescent="0.3">
      <c r="A410" s="1" t="str">
        <f>HYPERLINK("https://hsdes.intel.com/resource/14013161593","14013161593")</f>
        <v>14013161593</v>
      </c>
      <c r="B410" s="1" t="s">
        <v>844</v>
      </c>
      <c r="C410" s="1" t="s">
        <v>46</v>
      </c>
      <c r="D410" s="1" t="s">
        <v>1683</v>
      </c>
      <c r="E410" s="1" t="s">
        <v>1698</v>
      </c>
      <c r="F410" s="1" t="s">
        <v>1729</v>
      </c>
      <c r="H410" s="1" t="s">
        <v>1707</v>
      </c>
      <c r="I410" s="1" t="s">
        <v>1672</v>
      </c>
      <c r="L410" s="4">
        <v>44799</v>
      </c>
      <c r="M410" s="1" t="s">
        <v>19</v>
      </c>
      <c r="N410" s="1" t="s">
        <v>845</v>
      </c>
      <c r="O410" s="1" t="s">
        <v>10</v>
      </c>
    </row>
    <row r="411" spans="1:15" x14ac:dyDescent="0.3">
      <c r="A411" s="1" t="str">
        <f>HYPERLINK("https://hsdes.intel.com/resource/14013161603","14013161603")</f>
        <v>14013161603</v>
      </c>
      <c r="B411" s="1" t="s">
        <v>846</v>
      </c>
      <c r="C411" s="1" t="s">
        <v>18</v>
      </c>
      <c r="D411" s="1" t="s">
        <v>1683</v>
      </c>
      <c r="E411" s="1" t="s">
        <v>1698</v>
      </c>
      <c r="F411" s="1" t="s">
        <v>1729</v>
      </c>
      <c r="H411" s="1" t="s">
        <v>1707</v>
      </c>
      <c r="I411" s="1" t="s">
        <v>1673</v>
      </c>
      <c r="L411" s="4">
        <v>44803</v>
      </c>
      <c r="M411" s="1" t="s">
        <v>5</v>
      </c>
      <c r="N411" s="1" t="s">
        <v>847</v>
      </c>
      <c r="O411" s="1" t="s">
        <v>7</v>
      </c>
    </row>
    <row r="412" spans="1:15" x14ac:dyDescent="0.3">
      <c r="A412" s="1" t="str">
        <f>HYPERLINK("https://hsdes.intel.com/resource/14013161605","14013161605")</f>
        <v>14013161605</v>
      </c>
      <c r="B412" s="1" t="s">
        <v>848</v>
      </c>
      <c r="C412" s="1" t="s">
        <v>115</v>
      </c>
      <c r="D412" s="1" t="s">
        <v>1683</v>
      </c>
      <c r="E412" s="1" t="s">
        <v>1698</v>
      </c>
      <c r="F412" s="1" t="s">
        <v>1729</v>
      </c>
      <c r="H412" s="1" t="s">
        <v>1707</v>
      </c>
      <c r="I412" s="1" t="s">
        <v>1673</v>
      </c>
      <c r="L412" s="4">
        <v>44802</v>
      </c>
      <c r="M412" s="1" t="s">
        <v>15</v>
      </c>
      <c r="N412" s="1" t="s">
        <v>849</v>
      </c>
      <c r="O412" s="1" t="s">
        <v>7</v>
      </c>
    </row>
    <row r="413" spans="1:15" x14ac:dyDescent="0.3">
      <c r="A413" s="1" t="str">
        <f>HYPERLINK("https://hsdes.intel.com/resource/14013161635","14013161635")</f>
        <v>14013161635</v>
      </c>
      <c r="B413" s="1" t="s">
        <v>850</v>
      </c>
      <c r="C413" s="1" t="s">
        <v>98</v>
      </c>
      <c r="D413" s="1" t="s">
        <v>1683</v>
      </c>
      <c r="E413" s="1" t="s">
        <v>1698</v>
      </c>
      <c r="F413" s="1" t="s">
        <v>1729</v>
      </c>
      <c r="H413" s="1" t="s">
        <v>1707</v>
      </c>
      <c r="I413" s="1" t="s">
        <v>1673</v>
      </c>
      <c r="L413" s="4">
        <v>44797</v>
      </c>
      <c r="M413" s="1" t="s">
        <v>76</v>
      </c>
      <c r="N413" s="1" t="s">
        <v>851</v>
      </c>
      <c r="O413" s="1" t="s">
        <v>10</v>
      </c>
    </row>
    <row r="414" spans="1:15" x14ac:dyDescent="0.3">
      <c r="A414" s="1" t="str">
        <f>HYPERLINK("https://hsdes.intel.com/resource/14013161657","14013161657")</f>
        <v>14013161657</v>
      </c>
      <c r="B414" s="1" t="s">
        <v>852</v>
      </c>
      <c r="C414" s="1" t="s">
        <v>98</v>
      </c>
      <c r="D414" s="1" t="s">
        <v>1683</v>
      </c>
      <c r="E414" s="1" t="s">
        <v>1698</v>
      </c>
      <c r="F414" s="1" t="s">
        <v>1729</v>
      </c>
      <c r="H414" s="1" t="s">
        <v>1707</v>
      </c>
      <c r="I414" s="1" t="s">
        <v>1673</v>
      </c>
      <c r="L414" s="4">
        <v>44797</v>
      </c>
      <c r="M414" s="1" t="s">
        <v>76</v>
      </c>
      <c r="N414" s="1" t="s">
        <v>853</v>
      </c>
      <c r="O414" s="1" t="s">
        <v>7</v>
      </c>
    </row>
    <row r="415" spans="1:15" x14ac:dyDescent="0.3">
      <c r="A415" s="1" t="str">
        <f>HYPERLINK("https://hsdes.intel.com/resource/14013161663","14013161663")</f>
        <v>14013161663</v>
      </c>
      <c r="B415" s="1" t="s">
        <v>854</v>
      </c>
      <c r="C415" s="1" t="s">
        <v>98</v>
      </c>
      <c r="D415" s="1" t="s">
        <v>1683</v>
      </c>
      <c r="E415" s="1" t="s">
        <v>1698</v>
      </c>
      <c r="F415" s="1" t="s">
        <v>1729</v>
      </c>
      <c r="H415" s="1" t="s">
        <v>1707</v>
      </c>
      <c r="I415" s="1" t="s">
        <v>1673</v>
      </c>
      <c r="L415" s="4">
        <v>44797</v>
      </c>
      <c r="M415" s="1" t="s">
        <v>76</v>
      </c>
      <c r="N415" s="1" t="s">
        <v>855</v>
      </c>
      <c r="O415" s="1" t="s">
        <v>7</v>
      </c>
    </row>
    <row r="416" spans="1:15" x14ac:dyDescent="0.3">
      <c r="A416" s="1" t="str">
        <f>HYPERLINK("https://hsdes.intel.com/resource/14013161669","14013161669")</f>
        <v>14013161669</v>
      </c>
      <c r="B416" s="1" t="s">
        <v>856</v>
      </c>
      <c r="C416" s="1" t="s">
        <v>98</v>
      </c>
      <c r="D416" s="1" t="s">
        <v>1683</v>
      </c>
      <c r="E416" s="1" t="s">
        <v>1698</v>
      </c>
      <c r="F416" s="1" t="s">
        <v>1729</v>
      </c>
      <c r="H416" s="1" t="s">
        <v>1707</v>
      </c>
      <c r="I416" s="1" t="s">
        <v>1673</v>
      </c>
      <c r="L416" s="4">
        <v>44797</v>
      </c>
      <c r="M416" s="1" t="s">
        <v>76</v>
      </c>
      <c r="N416" s="1" t="s">
        <v>857</v>
      </c>
      <c r="O416" s="1" t="s">
        <v>7</v>
      </c>
    </row>
    <row r="417" spans="1:15" x14ac:dyDescent="0.3">
      <c r="A417" s="1" t="str">
        <f>HYPERLINK("https://hsdes.intel.com/resource/14013161674","14013161674")</f>
        <v>14013161674</v>
      </c>
      <c r="B417" s="1" t="s">
        <v>858</v>
      </c>
      <c r="C417" s="1" t="s">
        <v>98</v>
      </c>
      <c r="D417" s="1" t="s">
        <v>1683</v>
      </c>
      <c r="E417" s="1" t="s">
        <v>1698</v>
      </c>
      <c r="F417" s="1" t="s">
        <v>1729</v>
      </c>
      <c r="H417" s="1" t="s">
        <v>1707</v>
      </c>
      <c r="I417" s="1" t="s">
        <v>1673</v>
      </c>
      <c r="L417" s="4">
        <v>44797</v>
      </c>
      <c r="M417" s="1" t="s">
        <v>76</v>
      </c>
      <c r="N417" s="1" t="s">
        <v>859</v>
      </c>
      <c r="O417" s="1" t="s">
        <v>7</v>
      </c>
    </row>
    <row r="418" spans="1:15" x14ac:dyDescent="0.3">
      <c r="A418" s="1" t="str">
        <f>HYPERLINK("https://hsdes.intel.com/resource/14013161678","14013161678")</f>
        <v>14013161678</v>
      </c>
      <c r="B418" s="1" t="s">
        <v>860</v>
      </c>
      <c r="C418" s="1" t="s">
        <v>98</v>
      </c>
      <c r="D418" s="1" t="s">
        <v>1683</v>
      </c>
      <c r="E418" s="1" t="s">
        <v>1698</v>
      </c>
      <c r="F418" s="1" t="s">
        <v>1729</v>
      </c>
      <c r="H418" s="1" t="s">
        <v>1708</v>
      </c>
      <c r="I418" s="1" t="s">
        <v>1673</v>
      </c>
      <c r="L418" s="4">
        <v>44796</v>
      </c>
      <c r="M418" s="1" t="s">
        <v>76</v>
      </c>
      <c r="N418" s="1" t="s">
        <v>861</v>
      </c>
      <c r="O418" s="1" t="s">
        <v>32</v>
      </c>
    </row>
    <row r="419" spans="1:15" x14ac:dyDescent="0.3">
      <c r="A419" s="1" t="str">
        <f>HYPERLINK("https://hsdes.intel.com/resource/14013161679","14013161679")</f>
        <v>14013161679</v>
      </c>
      <c r="B419" s="1" t="s">
        <v>862</v>
      </c>
      <c r="C419" s="1" t="s">
        <v>98</v>
      </c>
      <c r="D419" s="1" t="s">
        <v>1683</v>
      </c>
      <c r="E419" s="1" t="s">
        <v>1698</v>
      </c>
      <c r="F419" s="1" t="s">
        <v>1729</v>
      </c>
      <c r="H419" s="1" t="s">
        <v>1708</v>
      </c>
      <c r="I419" s="1" t="s">
        <v>1673</v>
      </c>
      <c r="L419" s="4">
        <v>44796</v>
      </c>
      <c r="M419" s="1" t="s">
        <v>76</v>
      </c>
      <c r="N419" s="1" t="s">
        <v>863</v>
      </c>
      <c r="O419" s="1" t="s">
        <v>7</v>
      </c>
    </row>
    <row r="420" spans="1:15" x14ac:dyDescent="0.3">
      <c r="A420" s="1" t="str">
        <f>HYPERLINK("https://hsdes.intel.com/resource/14013161698","14013161698")</f>
        <v>14013161698</v>
      </c>
      <c r="B420" s="1" t="s">
        <v>864</v>
      </c>
      <c r="C420" s="1" t="s">
        <v>115</v>
      </c>
      <c r="D420" s="1" t="s">
        <v>1683</v>
      </c>
      <c r="E420" s="1" t="s">
        <v>1698</v>
      </c>
      <c r="F420" s="1" t="s">
        <v>1729</v>
      </c>
      <c r="H420" s="1" t="s">
        <v>1707</v>
      </c>
      <c r="I420" s="1" t="s">
        <v>1671</v>
      </c>
      <c r="L420" s="4">
        <v>44802</v>
      </c>
      <c r="M420" s="1" t="s">
        <v>15</v>
      </c>
      <c r="N420" s="1" t="s">
        <v>865</v>
      </c>
      <c r="O420" s="1" t="s">
        <v>32</v>
      </c>
    </row>
    <row r="421" spans="1:15" x14ac:dyDescent="0.3">
      <c r="A421" s="1" t="str">
        <f>HYPERLINK("https://hsdes.intel.com/resource/14013161700","14013161700")</f>
        <v>14013161700</v>
      </c>
      <c r="B421" s="1" t="s">
        <v>866</v>
      </c>
      <c r="C421" s="1" t="s">
        <v>115</v>
      </c>
      <c r="D421" s="1" t="s">
        <v>1683</v>
      </c>
      <c r="E421" s="1" t="s">
        <v>1698</v>
      </c>
      <c r="F421" s="1" t="s">
        <v>1729</v>
      </c>
      <c r="H421" s="1" t="s">
        <v>1708</v>
      </c>
      <c r="I421" s="1" t="s">
        <v>1671</v>
      </c>
      <c r="K421" s="1" t="s">
        <v>1702</v>
      </c>
      <c r="L421" s="4">
        <v>44802</v>
      </c>
      <c r="M421" s="1" t="s">
        <v>15</v>
      </c>
      <c r="N421" s="1" t="s">
        <v>867</v>
      </c>
      <c r="O421" s="1" t="s">
        <v>7</v>
      </c>
    </row>
    <row r="422" spans="1:15" x14ac:dyDescent="0.3">
      <c r="A422" s="1" t="str">
        <f>HYPERLINK("https://hsdes.intel.com/resource/14013161706","14013161706")</f>
        <v>14013161706</v>
      </c>
      <c r="B422" s="1" t="s">
        <v>868</v>
      </c>
      <c r="C422" s="1" t="s">
        <v>115</v>
      </c>
      <c r="D422" s="1" t="s">
        <v>1683</v>
      </c>
      <c r="E422" s="1" t="s">
        <v>1698</v>
      </c>
      <c r="F422" s="1" t="s">
        <v>1729</v>
      </c>
      <c r="H422" s="1" t="s">
        <v>1708</v>
      </c>
      <c r="I422" s="1" t="s">
        <v>1671</v>
      </c>
      <c r="K422" s="1" t="s">
        <v>1702</v>
      </c>
      <c r="L422" s="4">
        <v>44802</v>
      </c>
      <c r="M422" s="1" t="s">
        <v>15</v>
      </c>
      <c r="N422" s="1" t="s">
        <v>869</v>
      </c>
      <c r="O422" s="1" t="s">
        <v>7</v>
      </c>
    </row>
    <row r="423" spans="1:15" x14ac:dyDescent="0.3">
      <c r="A423" s="1" t="str">
        <f>HYPERLINK("https://hsdes.intel.com/resource/14013161721","14013161721")</f>
        <v>14013161721</v>
      </c>
      <c r="B423" s="1" t="s">
        <v>870</v>
      </c>
      <c r="C423" s="1" t="s">
        <v>46</v>
      </c>
      <c r="D423" s="1" t="s">
        <v>1683</v>
      </c>
      <c r="E423" s="1" t="s">
        <v>1698</v>
      </c>
      <c r="F423" s="1" t="s">
        <v>1729</v>
      </c>
      <c r="H423" s="1" t="s">
        <v>1707</v>
      </c>
      <c r="I423" s="1" t="s">
        <v>1671</v>
      </c>
      <c r="L423" s="4">
        <v>44803</v>
      </c>
      <c r="M423" s="1" t="s">
        <v>19</v>
      </c>
      <c r="N423" s="1" t="s">
        <v>871</v>
      </c>
      <c r="O423" s="1" t="s">
        <v>10</v>
      </c>
    </row>
    <row r="424" spans="1:15" x14ac:dyDescent="0.3">
      <c r="A424" s="1" t="str">
        <f>HYPERLINK("https://hsdes.intel.com/resource/14013161805","14013161805")</f>
        <v>14013161805</v>
      </c>
      <c r="B424" s="1" t="s">
        <v>872</v>
      </c>
      <c r="C424" s="1" t="s">
        <v>98</v>
      </c>
      <c r="D424" s="1" t="s">
        <v>1683</v>
      </c>
      <c r="E424" s="1" t="s">
        <v>1698</v>
      </c>
      <c r="F424" s="1" t="s">
        <v>1729</v>
      </c>
      <c r="H424" s="1" t="s">
        <v>1708</v>
      </c>
      <c r="I424" s="1" t="s">
        <v>1673</v>
      </c>
      <c r="L424" s="4">
        <v>44796</v>
      </c>
      <c r="M424" s="1" t="s">
        <v>76</v>
      </c>
      <c r="N424" s="1" t="s">
        <v>873</v>
      </c>
      <c r="O424" s="1" t="s">
        <v>7</v>
      </c>
    </row>
    <row r="425" spans="1:15" x14ac:dyDescent="0.3">
      <c r="A425" s="1" t="str">
        <f>HYPERLINK("https://hsdes.intel.com/resource/14013161901","14013161901")</f>
        <v>14013161901</v>
      </c>
      <c r="B425" s="1" t="s">
        <v>874</v>
      </c>
      <c r="C425" s="1" t="s">
        <v>46</v>
      </c>
      <c r="D425" s="1" t="s">
        <v>1683</v>
      </c>
      <c r="E425" s="1" t="s">
        <v>1698</v>
      </c>
      <c r="F425" s="1" t="s">
        <v>1729</v>
      </c>
      <c r="H425" s="1" t="s">
        <v>1707</v>
      </c>
      <c r="I425" s="1" t="s">
        <v>1672</v>
      </c>
      <c r="L425" s="4">
        <v>44799</v>
      </c>
      <c r="M425" s="1" t="s">
        <v>19</v>
      </c>
      <c r="N425" s="1" t="s">
        <v>875</v>
      </c>
      <c r="O425" s="1" t="s">
        <v>10</v>
      </c>
    </row>
    <row r="426" spans="1:15" x14ac:dyDescent="0.3">
      <c r="A426" s="1" t="str">
        <f>HYPERLINK("https://hsdes.intel.com/resource/14013161928","14013161928")</f>
        <v>14013161928</v>
      </c>
      <c r="B426" s="1" t="s">
        <v>876</v>
      </c>
      <c r="C426" s="1" t="s">
        <v>59</v>
      </c>
      <c r="D426" s="1" t="s">
        <v>1683</v>
      </c>
      <c r="E426" s="1" t="s">
        <v>1698</v>
      </c>
      <c r="F426" s="1" t="s">
        <v>1729</v>
      </c>
      <c r="H426" s="1" t="s">
        <v>1707</v>
      </c>
      <c r="I426" s="1" t="s">
        <v>1673</v>
      </c>
      <c r="L426" s="4">
        <v>44802</v>
      </c>
      <c r="M426" s="1" t="s">
        <v>15</v>
      </c>
      <c r="N426" s="1" t="s">
        <v>877</v>
      </c>
      <c r="O426" s="1" t="s">
        <v>10</v>
      </c>
    </row>
    <row r="427" spans="1:15" x14ac:dyDescent="0.3">
      <c r="A427" s="1" t="str">
        <f>HYPERLINK("https://hsdes.intel.com/resource/14013161937","14013161937")</f>
        <v>14013161937</v>
      </c>
      <c r="B427" s="1" t="s">
        <v>878</v>
      </c>
      <c r="C427" s="1" t="s">
        <v>115</v>
      </c>
      <c r="D427" s="1" t="s">
        <v>1683</v>
      </c>
      <c r="E427" s="1" t="s">
        <v>1698</v>
      </c>
      <c r="F427" s="1" t="s">
        <v>1729</v>
      </c>
      <c r="H427" s="1" t="s">
        <v>1707</v>
      </c>
      <c r="I427" s="1" t="s">
        <v>1673</v>
      </c>
      <c r="L427" s="4">
        <v>44802</v>
      </c>
      <c r="M427" s="1" t="s">
        <v>15</v>
      </c>
      <c r="N427" s="1" t="s">
        <v>879</v>
      </c>
      <c r="O427" s="1" t="s">
        <v>32</v>
      </c>
    </row>
    <row r="428" spans="1:15" x14ac:dyDescent="0.3">
      <c r="A428" s="1" t="str">
        <f>HYPERLINK("https://hsdes.intel.com/resource/14013161981","14013161981")</f>
        <v>14013161981</v>
      </c>
      <c r="B428" s="1" t="s">
        <v>880</v>
      </c>
      <c r="C428" s="1" t="s">
        <v>18</v>
      </c>
      <c r="D428" s="1" t="s">
        <v>1683</v>
      </c>
      <c r="E428" s="1" t="s">
        <v>1698</v>
      </c>
      <c r="F428" s="1" t="s">
        <v>1729</v>
      </c>
      <c r="H428" s="1" t="s">
        <v>1708</v>
      </c>
      <c r="I428" s="1" t="s">
        <v>1671</v>
      </c>
      <c r="L428" s="4">
        <v>44803</v>
      </c>
      <c r="M428" s="1" t="s">
        <v>19</v>
      </c>
      <c r="N428" s="1" t="s">
        <v>881</v>
      </c>
      <c r="O428" s="1" t="s">
        <v>7</v>
      </c>
    </row>
    <row r="429" spans="1:15" x14ac:dyDescent="0.3">
      <c r="A429" s="1" t="str">
        <f>HYPERLINK("https://hsdes.intel.com/resource/14013162008","14013162008")</f>
        <v>14013162008</v>
      </c>
      <c r="B429" s="1" t="s">
        <v>882</v>
      </c>
      <c r="C429" s="1" t="s">
        <v>18</v>
      </c>
      <c r="D429" s="1" t="s">
        <v>1683</v>
      </c>
      <c r="E429" s="1" t="s">
        <v>1698</v>
      </c>
      <c r="F429" s="1" t="s">
        <v>1729</v>
      </c>
      <c r="H429" s="1" t="s">
        <v>1707</v>
      </c>
      <c r="I429" s="1" t="s">
        <v>1671</v>
      </c>
      <c r="L429" s="4">
        <v>44802</v>
      </c>
      <c r="M429" s="1" t="s">
        <v>19</v>
      </c>
      <c r="N429" s="1" t="s">
        <v>883</v>
      </c>
      <c r="O429" s="1" t="s">
        <v>10</v>
      </c>
    </row>
    <row r="430" spans="1:15" x14ac:dyDescent="0.3">
      <c r="A430" s="1" t="str">
        <f>HYPERLINK("https://hsdes.intel.com/resource/14013162068","14013162068")</f>
        <v>14013162068</v>
      </c>
      <c r="B430" s="11" t="s">
        <v>884</v>
      </c>
      <c r="C430" s="1" t="s">
        <v>75</v>
      </c>
      <c r="D430" s="1" t="s">
        <v>1683</v>
      </c>
      <c r="E430" s="1" t="s">
        <v>1698</v>
      </c>
      <c r="F430" s="1" t="s">
        <v>1729</v>
      </c>
      <c r="H430" s="1" t="s">
        <v>1707</v>
      </c>
      <c r="I430" s="1" t="s">
        <v>1671</v>
      </c>
      <c r="L430" s="4">
        <v>44803</v>
      </c>
      <c r="M430" s="1" t="s">
        <v>76</v>
      </c>
      <c r="N430" s="1" t="s">
        <v>885</v>
      </c>
      <c r="O430" s="1" t="s">
        <v>10</v>
      </c>
    </row>
    <row r="431" spans="1:15" x14ac:dyDescent="0.3">
      <c r="A431" s="1" t="str">
        <f>HYPERLINK("https://hsdes.intel.com/resource/14013162078","14013162078")</f>
        <v>14013162078</v>
      </c>
      <c r="B431" s="1" t="s">
        <v>886</v>
      </c>
      <c r="C431" s="1" t="s">
        <v>98</v>
      </c>
      <c r="D431" s="1" t="s">
        <v>1683</v>
      </c>
      <c r="E431" s="1" t="s">
        <v>1698</v>
      </c>
      <c r="F431" s="1" t="s">
        <v>1729</v>
      </c>
      <c r="H431" s="1" t="s">
        <v>1707</v>
      </c>
      <c r="I431" s="1" t="s">
        <v>1671</v>
      </c>
      <c r="L431" s="4">
        <v>44802</v>
      </c>
      <c r="M431" s="1" t="s">
        <v>76</v>
      </c>
      <c r="N431" s="1" t="s">
        <v>887</v>
      </c>
      <c r="O431" s="1" t="s">
        <v>10</v>
      </c>
    </row>
    <row r="432" spans="1:15" x14ac:dyDescent="0.3">
      <c r="A432" s="1" t="str">
        <f>HYPERLINK("https://hsdes.intel.com/resource/14013162369","14013162369")</f>
        <v>14013162369</v>
      </c>
      <c r="B432" s="1" t="s">
        <v>888</v>
      </c>
      <c r="C432" s="1" t="s">
        <v>75</v>
      </c>
      <c r="D432" s="1" t="s">
        <v>1683</v>
      </c>
      <c r="E432" s="1" t="s">
        <v>1698</v>
      </c>
      <c r="F432" s="1" t="s">
        <v>1729</v>
      </c>
      <c r="H432" s="1" t="s">
        <v>1707</v>
      </c>
      <c r="I432" s="1" t="s">
        <v>1672</v>
      </c>
      <c r="L432" s="4">
        <v>44802</v>
      </c>
      <c r="M432" s="1" t="s">
        <v>76</v>
      </c>
      <c r="N432" s="1" t="s">
        <v>889</v>
      </c>
      <c r="O432" s="1" t="s">
        <v>10</v>
      </c>
    </row>
    <row r="433" spans="1:15" x14ac:dyDescent="0.3">
      <c r="A433" s="1" t="str">
        <f>HYPERLINK("https://hsdes.intel.com/resource/14013162393","14013162393")</f>
        <v>14013162393</v>
      </c>
      <c r="B433" s="1" t="s">
        <v>890</v>
      </c>
      <c r="C433" s="1" t="s">
        <v>98</v>
      </c>
      <c r="D433" s="1" t="s">
        <v>1683</v>
      </c>
      <c r="E433" s="1" t="s">
        <v>1698</v>
      </c>
      <c r="F433" s="1" t="s">
        <v>1729</v>
      </c>
      <c r="H433" s="1" t="s">
        <v>1708</v>
      </c>
      <c r="I433" s="1" t="s">
        <v>1673</v>
      </c>
      <c r="L433" s="4">
        <v>44797</v>
      </c>
      <c r="M433" s="1" t="s">
        <v>76</v>
      </c>
      <c r="N433" s="1" t="s">
        <v>891</v>
      </c>
      <c r="O433" s="1" t="s">
        <v>10</v>
      </c>
    </row>
    <row r="434" spans="1:15" x14ac:dyDescent="0.3">
      <c r="A434" s="1" t="str">
        <f>HYPERLINK("https://hsdes.intel.com/resource/14013162425","14013162425")</f>
        <v>14013162425</v>
      </c>
      <c r="B434" s="1" t="s">
        <v>892</v>
      </c>
      <c r="C434" s="1" t="s">
        <v>98</v>
      </c>
      <c r="D434" s="1" t="s">
        <v>1683</v>
      </c>
      <c r="E434" s="1" t="s">
        <v>1698</v>
      </c>
      <c r="F434" s="1" t="s">
        <v>1729</v>
      </c>
      <c r="H434" s="1" t="s">
        <v>1707</v>
      </c>
      <c r="I434" s="1" t="s">
        <v>1672</v>
      </c>
      <c r="L434" s="4">
        <v>44797</v>
      </c>
      <c r="M434" s="1" t="s">
        <v>76</v>
      </c>
      <c r="N434" s="1" t="s">
        <v>893</v>
      </c>
      <c r="O434" s="1" t="s">
        <v>32</v>
      </c>
    </row>
    <row r="435" spans="1:15" x14ac:dyDescent="0.3">
      <c r="A435" s="1" t="str">
        <f>HYPERLINK("https://hsdes.intel.com/resource/14013162427","14013162427")</f>
        <v>14013162427</v>
      </c>
      <c r="B435" s="1" t="s">
        <v>894</v>
      </c>
      <c r="C435" s="1" t="s">
        <v>98</v>
      </c>
      <c r="D435" s="1" t="s">
        <v>1683</v>
      </c>
      <c r="E435" s="1" t="s">
        <v>1698</v>
      </c>
      <c r="F435" s="1" t="s">
        <v>1729</v>
      </c>
      <c r="H435" s="1" t="s">
        <v>1707</v>
      </c>
      <c r="I435" s="1" t="s">
        <v>1672</v>
      </c>
      <c r="L435" s="4">
        <v>44802</v>
      </c>
      <c r="M435" s="1" t="s">
        <v>76</v>
      </c>
      <c r="N435" s="1" t="s">
        <v>895</v>
      </c>
      <c r="O435" s="1" t="s">
        <v>7</v>
      </c>
    </row>
    <row r="436" spans="1:15" x14ac:dyDescent="0.3">
      <c r="A436" s="1" t="str">
        <f>HYPERLINK("https://hsdes.intel.com/resource/14013162436","14013162436")</f>
        <v>14013162436</v>
      </c>
      <c r="B436" s="1" t="s">
        <v>896</v>
      </c>
      <c r="C436" s="1" t="s">
        <v>98</v>
      </c>
      <c r="D436" s="1" t="s">
        <v>1683</v>
      </c>
      <c r="E436" s="1" t="s">
        <v>1698</v>
      </c>
      <c r="F436" s="1" t="s">
        <v>1729</v>
      </c>
      <c r="H436" s="1" t="s">
        <v>1707</v>
      </c>
      <c r="I436" s="1" t="s">
        <v>1672</v>
      </c>
      <c r="L436" s="4">
        <v>44797</v>
      </c>
      <c r="M436" s="1" t="s">
        <v>76</v>
      </c>
      <c r="N436" s="1" t="s">
        <v>897</v>
      </c>
      <c r="O436" s="1" t="s">
        <v>32</v>
      </c>
    </row>
    <row r="437" spans="1:15" x14ac:dyDescent="0.3">
      <c r="A437" s="1" t="str">
        <f>HYPERLINK("https://hsdes.intel.com/resource/14013162443","14013162443")</f>
        <v>14013162443</v>
      </c>
      <c r="B437" s="1" t="s">
        <v>898</v>
      </c>
      <c r="C437" s="1" t="s">
        <v>98</v>
      </c>
      <c r="D437" s="1" t="s">
        <v>1683</v>
      </c>
      <c r="E437" s="1" t="s">
        <v>1698</v>
      </c>
      <c r="F437" s="1" t="s">
        <v>1729</v>
      </c>
      <c r="H437" s="1" t="s">
        <v>1707</v>
      </c>
      <c r="I437" s="1" t="s">
        <v>1672</v>
      </c>
      <c r="L437" s="4">
        <v>44797</v>
      </c>
      <c r="M437" s="1" t="s">
        <v>76</v>
      </c>
      <c r="N437" s="1" t="s">
        <v>899</v>
      </c>
      <c r="O437" s="1" t="s">
        <v>7</v>
      </c>
    </row>
    <row r="438" spans="1:15" x14ac:dyDescent="0.3">
      <c r="A438" s="1" t="str">
        <f>HYPERLINK("https://hsdes.intel.com/resource/14013162522","14013162522")</f>
        <v>14013162522</v>
      </c>
      <c r="B438" s="1" t="s">
        <v>900</v>
      </c>
      <c r="C438" s="1" t="s">
        <v>46</v>
      </c>
      <c r="D438" s="1" t="s">
        <v>1683</v>
      </c>
      <c r="E438" s="1" t="s">
        <v>1698</v>
      </c>
      <c r="F438" s="1" t="s">
        <v>1729</v>
      </c>
      <c r="H438" s="1" t="s">
        <v>1707</v>
      </c>
      <c r="I438" s="1" t="s">
        <v>1671</v>
      </c>
      <c r="L438" s="4">
        <v>44797</v>
      </c>
      <c r="M438" s="1" t="s">
        <v>19</v>
      </c>
      <c r="N438" s="1" t="s">
        <v>901</v>
      </c>
      <c r="O438" s="1" t="s">
        <v>10</v>
      </c>
    </row>
    <row r="439" spans="1:15" x14ac:dyDescent="0.3">
      <c r="A439" s="1" t="str">
        <f>HYPERLINK("https://hsdes.intel.com/resource/14013162568","14013162568")</f>
        <v>14013162568</v>
      </c>
      <c r="B439" s="1" t="s">
        <v>902</v>
      </c>
      <c r="C439" s="1" t="s">
        <v>18</v>
      </c>
      <c r="D439" s="1" t="s">
        <v>1683</v>
      </c>
      <c r="E439" s="1" t="s">
        <v>1698</v>
      </c>
      <c r="F439" s="1" t="s">
        <v>1729</v>
      </c>
      <c r="H439" s="1" t="s">
        <v>1707</v>
      </c>
      <c r="I439" s="1" t="s">
        <v>1671</v>
      </c>
      <c r="L439" s="4">
        <v>44802</v>
      </c>
      <c r="M439" s="1" t="s">
        <v>5</v>
      </c>
      <c r="N439" s="1" t="s">
        <v>903</v>
      </c>
      <c r="O439" s="1" t="s">
        <v>10</v>
      </c>
    </row>
    <row r="440" spans="1:15" x14ac:dyDescent="0.3">
      <c r="A440" s="1" t="str">
        <f>HYPERLINK("https://hsdes.intel.com/resource/14013162583","14013162583")</f>
        <v>14013162583</v>
      </c>
      <c r="B440" s="1" t="s">
        <v>904</v>
      </c>
      <c r="C440" s="1" t="s">
        <v>14</v>
      </c>
      <c r="D440" s="1" t="s">
        <v>1683</v>
      </c>
      <c r="E440" s="1" t="s">
        <v>1698</v>
      </c>
      <c r="F440" s="1" t="s">
        <v>1729</v>
      </c>
      <c r="H440" s="1" t="s">
        <v>1707</v>
      </c>
      <c r="I440" s="1" t="s">
        <v>1672</v>
      </c>
      <c r="L440" s="4">
        <v>44802</v>
      </c>
      <c r="M440" s="1" t="s">
        <v>15</v>
      </c>
      <c r="N440" s="1" t="s">
        <v>905</v>
      </c>
      <c r="O440" s="1" t="s">
        <v>7</v>
      </c>
    </row>
    <row r="441" spans="1:15" x14ac:dyDescent="0.3">
      <c r="A441" s="1" t="str">
        <f>HYPERLINK("https://hsdes.intel.com/resource/14013162766","14013162766")</f>
        <v>14013162766</v>
      </c>
      <c r="B441" s="1" t="s">
        <v>906</v>
      </c>
      <c r="C441" s="1" t="s">
        <v>46</v>
      </c>
      <c r="D441" s="1" t="s">
        <v>1683</v>
      </c>
      <c r="E441" s="1" t="s">
        <v>1698</v>
      </c>
      <c r="F441" s="1" t="s">
        <v>1729</v>
      </c>
      <c r="H441" s="1" t="s">
        <v>1707</v>
      </c>
      <c r="I441" s="1" t="s">
        <v>1671</v>
      </c>
      <c r="L441" s="4">
        <v>44798</v>
      </c>
      <c r="M441" s="1" t="s">
        <v>19</v>
      </c>
      <c r="N441" s="1" t="s">
        <v>907</v>
      </c>
      <c r="O441" s="1" t="s">
        <v>10</v>
      </c>
    </row>
    <row r="442" spans="1:15" x14ac:dyDescent="0.3">
      <c r="A442" s="1" t="str">
        <f>HYPERLINK("https://hsdes.intel.com/resource/14013162768","14013162768")</f>
        <v>14013162768</v>
      </c>
      <c r="B442" s="1" t="s">
        <v>908</v>
      </c>
      <c r="C442" s="1" t="s">
        <v>46</v>
      </c>
      <c r="D442" s="1" t="s">
        <v>1683</v>
      </c>
      <c r="E442" s="1" t="s">
        <v>1698</v>
      </c>
      <c r="F442" s="1" t="s">
        <v>1729</v>
      </c>
      <c r="H442" s="1" t="s">
        <v>1707</v>
      </c>
      <c r="I442" s="1" t="s">
        <v>1672</v>
      </c>
      <c r="L442" s="4">
        <v>44798</v>
      </c>
      <c r="M442" s="1" t="s">
        <v>19</v>
      </c>
      <c r="N442" s="1" t="s">
        <v>909</v>
      </c>
      <c r="O442" s="1" t="s">
        <v>10</v>
      </c>
    </row>
    <row r="443" spans="1:15" x14ac:dyDescent="0.3">
      <c r="A443" s="1" t="str">
        <f>HYPERLINK("https://hsdes.intel.com/resource/14013162773","14013162773")</f>
        <v>14013162773</v>
      </c>
      <c r="B443" s="1" t="s">
        <v>910</v>
      </c>
      <c r="C443" s="1" t="s">
        <v>46</v>
      </c>
      <c r="D443" s="1" t="s">
        <v>1683</v>
      </c>
      <c r="E443" s="1" t="s">
        <v>1698</v>
      </c>
      <c r="F443" s="1" t="s">
        <v>1729</v>
      </c>
      <c r="H443" s="1" t="s">
        <v>1707</v>
      </c>
      <c r="I443" s="1" t="s">
        <v>1672</v>
      </c>
      <c r="L443" s="4">
        <v>44798</v>
      </c>
      <c r="M443" s="1" t="s">
        <v>19</v>
      </c>
      <c r="N443" s="1" t="s">
        <v>911</v>
      </c>
      <c r="O443" s="1" t="s">
        <v>10</v>
      </c>
    </row>
    <row r="444" spans="1:15" x14ac:dyDescent="0.3">
      <c r="A444" s="1" t="str">
        <f>HYPERLINK("https://hsdes.intel.com/resource/14013162777","14013162777")</f>
        <v>14013162777</v>
      </c>
      <c r="B444" s="1" t="s">
        <v>912</v>
      </c>
      <c r="C444" s="1" t="s">
        <v>46</v>
      </c>
      <c r="D444" s="1" t="s">
        <v>1683</v>
      </c>
      <c r="E444" s="1" t="s">
        <v>1698</v>
      </c>
      <c r="F444" s="1" t="s">
        <v>1729</v>
      </c>
      <c r="H444" s="1" t="s">
        <v>1707</v>
      </c>
      <c r="I444" s="1" t="s">
        <v>1672</v>
      </c>
      <c r="L444" s="4">
        <v>44798</v>
      </c>
      <c r="M444" s="1" t="s">
        <v>19</v>
      </c>
      <c r="N444" s="1" t="s">
        <v>913</v>
      </c>
      <c r="O444" s="1" t="s">
        <v>10</v>
      </c>
    </row>
    <row r="445" spans="1:15" x14ac:dyDescent="0.3">
      <c r="A445" s="1" t="str">
        <f>HYPERLINK("https://hsdes.intel.com/resource/14013162780","14013162780")</f>
        <v>14013162780</v>
      </c>
      <c r="B445" s="1" t="s">
        <v>914</v>
      </c>
      <c r="C445" s="1" t="s">
        <v>46</v>
      </c>
      <c r="D445" s="1" t="s">
        <v>1683</v>
      </c>
      <c r="E445" s="1" t="s">
        <v>1698</v>
      </c>
      <c r="F445" s="1" t="s">
        <v>1729</v>
      </c>
      <c r="H445" s="1" t="s">
        <v>1707</v>
      </c>
      <c r="I445" s="1" t="s">
        <v>1672</v>
      </c>
      <c r="L445" s="4">
        <v>44799</v>
      </c>
      <c r="M445" s="1" t="s">
        <v>19</v>
      </c>
      <c r="N445" s="1" t="s">
        <v>915</v>
      </c>
      <c r="O445" s="1" t="s">
        <v>10</v>
      </c>
    </row>
    <row r="446" spans="1:15" x14ac:dyDescent="0.3">
      <c r="A446" s="1" t="str">
        <f>HYPERLINK("https://hsdes.intel.com/resource/14013162786","14013162786")</f>
        <v>14013162786</v>
      </c>
      <c r="B446" s="1" t="s">
        <v>916</v>
      </c>
      <c r="C446" s="1" t="s">
        <v>46</v>
      </c>
      <c r="D446" s="1" t="s">
        <v>1683</v>
      </c>
      <c r="E446" s="1" t="s">
        <v>1698</v>
      </c>
      <c r="F446" s="1" t="s">
        <v>1729</v>
      </c>
      <c r="H446" s="1" t="s">
        <v>1707</v>
      </c>
      <c r="I446" s="1" t="s">
        <v>1672</v>
      </c>
      <c r="L446" s="4">
        <v>44799</v>
      </c>
      <c r="M446" s="1" t="s">
        <v>19</v>
      </c>
      <c r="N446" s="1" t="s">
        <v>917</v>
      </c>
      <c r="O446" s="1" t="s">
        <v>10</v>
      </c>
    </row>
    <row r="447" spans="1:15" x14ac:dyDescent="0.3">
      <c r="A447" s="1" t="str">
        <f>HYPERLINK("https://hsdes.intel.com/resource/14013162791","14013162791")</f>
        <v>14013162791</v>
      </c>
      <c r="B447" s="1" t="s">
        <v>918</v>
      </c>
      <c r="C447" s="1" t="s">
        <v>46</v>
      </c>
      <c r="D447" s="1" t="s">
        <v>1683</v>
      </c>
      <c r="E447" s="1" t="s">
        <v>1698</v>
      </c>
      <c r="F447" s="1" t="s">
        <v>1729</v>
      </c>
      <c r="H447" s="1" t="s">
        <v>1707</v>
      </c>
      <c r="I447" s="1" t="s">
        <v>1672</v>
      </c>
      <c r="L447" s="4">
        <v>44799</v>
      </c>
      <c r="M447" s="1" t="s">
        <v>19</v>
      </c>
      <c r="N447" s="1" t="s">
        <v>919</v>
      </c>
      <c r="O447" s="1" t="s">
        <v>10</v>
      </c>
    </row>
    <row r="448" spans="1:15" x14ac:dyDescent="0.3">
      <c r="A448" s="1" t="str">
        <f>HYPERLINK("https://hsdes.intel.com/resource/14013162806","14013162806")</f>
        <v>14013162806</v>
      </c>
      <c r="B448" s="1" t="s">
        <v>920</v>
      </c>
      <c r="C448" s="1" t="s">
        <v>46</v>
      </c>
      <c r="D448" s="1" t="s">
        <v>1683</v>
      </c>
      <c r="E448" s="1" t="s">
        <v>1698</v>
      </c>
      <c r="F448" s="1" t="s">
        <v>1729</v>
      </c>
      <c r="H448" s="1" t="s">
        <v>1707</v>
      </c>
      <c r="I448" s="1" t="s">
        <v>1672</v>
      </c>
      <c r="L448" s="4">
        <v>44799</v>
      </c>
      <c r="M448" s="1" t="s">
        <v>19</v>
      </c>
      <c r="N448" s="1" t="s">
        <v>921</v>
      </c>
      <c r="O448" s="1" t="s">
        <v>10</v>
      </c>
    </row>
    <row r="449" spans="1:15" x14ac:dyDescent="0.3">
      <c r="A449" s="1" t="str">
        <f>HYPERLINK("https://hsdes.intel.com/resource/14013162864","14013162864")</f>
        <v>14013162864</v>
      </c>
      <c r="B449" s="1" t="s">
        <v>922</v>
      </c>
      <c r="C449" s="1" t="s">
        <v>68</v>
      </c>
      <c r="D449" s="1" t="s">
        <v>1683</v>
      </c>
      <c r="E449" s="1" t="s">
        <v>1698</v>
      </c>
      <c r="F449" s="1" t="s">
        <v>1729</v>
      </c>
      <c r="H449" s="1" t="s">
        <v>1674</v>
      </c>
      <c r="I449" s="1" t="s">
        <v>1674</v>
      </c>
      <c r="M449" s="1" t="s">
        <v>15</v>
      </c>
      <c r="N449" s="1" t="s">
        <v>923</v>
      </c>
      <c r="O449" s="1" t="s">
        <v>10</v>
      </c>
    </row>
    <row r="450" spans="1:15" x14ac:dyDescent="0.3">
      <c r="A450" s="1" t="str">
        <f>HYPERLINK("https://hsdes.intel.com/resource/14013162900","14013162900")</f>
        <v>14013162900</v>
      </c>
      <c r="B450" s="1" t="s">
        <v>924</v>
      </c>
      <c r="C450" s="1" t="s">
        <v>4</v>
      </c>
      <c r="D450" s="1" t="s">
        <v>1683</v>
      </c>
      <c r="E450" s="1" t="s">
        <v>1698</v>
      </c>
      <c r="F450" s="1" t="s">
        <v>1729</v>
      </c>
      <c r="H450" s="1" t="s">
        <v>1707</v>
      </c>
      <c r="I450" s="1" t="s">
        <v>1672</v>
      </c>
      <c r="L450" s="4">
        <v>44797</v>
      </c>
      <c r="M450" s="1" t="s">
        <v>5</v>
      </c>
      <c r="N450" s="1" t="s">
        <v>925</v>
      </c>
      <c r="O450" s="1" t="s">
        <v>32</v>
      </c>
    </row>
    <row r="451" spans="1:15" x14ac:dyDescent="0.3">
      <c r="A451" s="1" t="str">
        <f>HYPERLINK("https://hsdes.intel.com/resource/14013162903","14013162903")</f>
        <v>14013162903</v>
      </c>
      <c r="B451" s="1" t="s">
        <v>926</v>
      </c>
      <c r="C451" s="1" t="s">
        <v>4</v>
      </c>
      <c r="D451" s="1" t="s">
        <v>1683</v>
      </c>
      <c r="E451" s="1" t="s">
        <v>1698</v>
      </c>
      <c r="F451" s="1" t="s">
        <v>1729</v>
      </c>
      <c r="H451" s="1" t="s">
        <v>1707</v>
      </c>
      <c r="I451" s="1" t="s">
        <v>1672</v>
      </c>
      <c r="L451" s="4">
        <v>44797</v>
      </c>
      <c r="M451" s="1" t="s">
        <v>5</v>
      </c>
      <c r="N451" s="1" t="s">
        <v>927</v>
      </c>
      <c r="O451" s="1" t="s">
        <v>32</v>
      </c>
    </row>
    <row r="452" spans="1:15" x14ac:dyDescent="0.3">
      <c r="A452" s="1" t="str">
        <f>HYPERLINK("https://hsdes.intel.com/resource/14013162907","14013162907")</f>
        <v>14013162907</v>
      </c>
      <c r="B452" s="1" t="s">
        <v>928</v>
      </c>
      <c r="C452" s="1" t="s">
        <v>4</v>
      </c>
      <c r="D452" s="1" t="s">
        <v>1683</v>
      </c>
      <c r="E452" s="1" t="s">
        <v>1698</v>
      </c>
      <c r="F452" s="1" t="s">
        <v>1729</v>
      </c>
      <c r="H452" s="1" t="s">
        <v>1707</v>
      </c>
      <c r="I452" s="1" t="s">
        <v>1672</v>
      </c>
      <c r="L452" s="4">
        <v>44797</v>
      </c>
      <c r="M452" s="1" t="s">
        <v>5</v>
      </c>
      <c r="N452" s="1" t="s">
        <v>929</v>
      </c>
      <c r="O452" s="1" t="s">
        <v>32</v>
      </c>
    </row>
    <row r="453" spans="1:15" x14ac:dyDescent="0.3">
      <c r="A453" s="1" t="str">
        <f>HYPERLINK("https://hsdes.intel.com/resource/14013162911","14013162911")</f>
        <v>14013162911</v>
      </c>
      <c r="B453" s="1" t="s">
        <v>930</v>
      </c>
      <c r="C453" s="1" t="s">
        <v>4</v>
      </c>
      <c r="D453" s="1" t="s">
        <v>1683</v>
      </c>
      <c r="E453" s="1" t="s">
        <v>1698</v>
      </c>
      <c r="F453" s="1" t="s">
        <v>1729</v>
      </c>
      <c r="H453" s="1" t="s">
        <v>1707</v>
      </c>
      <c r="I453" s="1" t="s">
        <v>1673</v>
      </c>
      <c r="L453" s="4">
        <v>44799</v>
      </c>
      <c r="M453" s="1" t="s">
        <v>5</v>
      </c>
      <c r="N453" s="1" t="s">
        <v>931</v>
      </c>
      <c r="O453" s="1" t="s">
        <v>32</v>
      </c>
    </row>
    <row r="454" spans="1:15" x14ac:dyDescent="0.3">
      <c r="A454" s="1" t="str">
        <f>HYPERLINK("https://hsdes.intel.com/resource/14013162916","14013162916")</f>
        <v>14013162916</v>
      </c>
      <c r="B454" s="1" t="s">
        <v>932</v>
      </c>
      <c r="C454" s="1" t="s">
        <v>4</v>
      </c>
      <c r="D454" s="1" t="s">
        <v>1683</v>
      </c>
      <c r="E454" s="1" t="s">
        <v>1698</v>
      </c>
      <c r="F454" s="1" t="s">
        <v>1729</v>
      </c>
      <c r="H454" s="1" t="s">
        <v>1707</v>
      </c>
      <c r="I454" s="1" t="s">
        <v>1673</v>
      </c>
      <c r="L454" s="4">
        <v>44799</v>
      </c>
      <c r="M454" s="1" t="s">
        <v>5</v>
      </c>
      <c r="N454" s="1" t="s">
        <v>933</v>
      </c>
      <c r="O454" s="1" t="s">
        <v>32</v>
      </c>
    </row>
    <row r="455" spans="1:15" x14ac:dyDescent="0.3">
      <c r="A455" s="1" t="str">
        <f>HYPERLINK("https://hsdes.intel.com/resource/14013162920","14013162920")</f>
        <v>14013162920</v>
      </c>
      <c r="B455" s="1" t="s">
        <v>934</v>
      </c>
      <c r="C455" s="1" t="s">
        <v>4</v>
      </c>
      <c r="D455" s="1" t="s">
        <v>1683</v>
      </c>
      <c r="E455" s="1" t="s">
        <v>1698</v>
      </c>
      <c r="F455" s="1" t="s">
        <v>1729</v>
      </c>
      <c r="H455" s="1" t="s">
        <v>1707</v>
      </c>
      <c r="I455" s="1" t="s">
        <v>1672</v>
      </c>
      <c r="L455" s="4">
        <v>44797</v>
      </c>
      <c r="M455" s="1" t="s">
        <v>5</v>
      </c>
      <c r="N455" s="1" t="s">
        <v>935</v>
      </c>
      <c r="O455" s="1" t="s">
        <v>32</v>
      </c>
    </row>
    <row r="456" spans="1:15" x14ac:dyDescent="0.3">
      <c r="A456" s="1" t="str">
        <f>HYPERLINK("https://hsdes.intel.com/resource/14013162925","14013162925")</f>
        <v>14013162925</v>
      </c>
      <c r="B456" s="1" t="s">
        <v>936</v>
      </c>
      <c r="C456" s="1" t="s">
        <v>4</v>
      </c>
      <c r="D456" s="1" t="s">
        <v>1683</v>
      </c>
      <c r="E456" s="1" t="s">
        <v>1698</v>
      </c>
      <c r="F456" s="1" t="s">
        <v>1729</v>
      </c>
      <c r="H456" s="1" t="s">
        <v>1707</v>
      </c>
      <c r="I456" s="1" t="s">
        <v>1672</v>
      </c>
      <c r="L456" s="4">
        <v>44797</v>
      </c>
      <c r="M456" s="1" t="s">
        <v>5</v>
      </c>
      <c r="N456" s="1" t="s">
        <v>937</v>
      </c>
      <c r="O456" s="1" t="s">
        <v>32</v>
      </c>
    </row>
    <row r="457" spans="1:15" x14ac:dyDescent="0.3">
      <c r="A457" s="1" t="str">
        <f>HYPERLINK("https://hsdes.intel.com/resource/14013162937","14013162937")</f>
        <v>14013162937</v>
      </c>
      <c r="B457" s="1" t="s">
        <v>938</v>
      </c>
      <c r="C457" s="1" t="s">
        <v>4</v>
      </c>
      <c r="D457" s="1" t="s">
        <v>1683</v>
      </c>
      <c r="E457" s="1" t="s">
        <v>1698</v>
      </c>
      <c r="F457" s="1" t="s">
        <v>1729</v>
      </c>
      <c r="H457" s="1" t="s">
        <v>1707</v>
      </c>
      <c r="I457" s="1" t="s">
        <v>1672</v>
      </c>
      <c r="L457" s="4">
        <v>44797</v>
      </c>
      <c r="M457" s="1" t="s">
        <v>5</v>
      </c>
      <c r="N457" s="1" t="s">
        <v>939</v>
      </c>
      <c r="O457" s="1" t="s">
        <v>32</v>
      </c>
    </row>
    <row r="458" spans="1:15" x14ac:dyDescent="0.3">
      <c r="A458" s="1" t="str">
        <f>HYPERLINK("https://hsdes.intel.com/resource/14013162948","14013162948")</f>
        <v>14013162948</v>
      </c>
      <c r="B458" s="1" t="s">
        <v>940</v>
      </c>
      <c r="C458" s="1" t="s">
        <v>4</v>
      </c>
      <c r="D458" s="1" t="s">
        <v>1683</v>
      </c>
      <c r="E458" s="1" t="s">
        <v>1698</v>
      </c>
      <c r="F458" s="1" t="s">
        <v>1729</v>
      </c>
      <c r="H458" s="1" t="s">
        <v>1707</v>
      </c>
      <c r="I458" s="1" t="s">
        <v>1672</v>
      </c>
      <c r="L458" s="4">
        <v>44797</v>
      </c>
      <c r="M458" s="1" t="s">
        <v>5</v>
      </c>
      <c r="N458" s="1" t="s">
        <v>941</v>
      </c>
      <c r="O458" s="1" t="s">
        <v>32</v>
      </c>
    </row>
    <row r="459" spans="1:15" x14ac:dyDescent="0.3">
      <c r="A459" s="1" t="str">
        <f>HYPERLINK("https://hsdes.intel.com/resource/14013162960","14013162960")</f>
        <v>14013162960</v>
      </c>
      <c r="B459" s="1" t="s">
        <v>942</v>
      </c>
      <c r="C459" s="1" t="s">
        <v>4</v>
      </c>
      <c r="D459" s="1" t="s">
        <v>1683</v>
      </c>
      <c r="E459" s="1" t="s">
        <v>1698</v>
      </c>
      <c r="F459" s="1" t="s">
        <v>1729</v>
      </c>
      <c r="H459" s="1" t="s">
        <v>1707</v>
      </c>
      <c r="I459" s="1" t="s">
        <v>1672</v>
      </c>
      <c r="L459" s="4">
        <v>44797</v>
      </c>
      <c r="M459" s="1" t="s">
        <v>5</v>
      </c>
      <c r="N459" s="1" t="s">
        <v>943</v>
      </c>
      <c r="O459" s="1" t="s">
        <v>32</v>
      </c>
    </row>
    <row r="460" spans="1:15" x14ac:dyDescent="0.3">
      <c r="A460" s="1" t="str">
        <f>HYPERLINK("https://hsdes.intel.com/resource/14013162967","14013162967")</f>
        <v>14013162967</v>
      </c>
      <c r="B460" s="1" t="s">
        <v>944</v>
      </c>
      <c r="C460" s="1" t="s">
        <v>4</v>
      </c>
      <c r="D460" s="1" t="s">
        <v>1683</v>
      </c>
      <c r="E460" s="1" t="s">
        <v>1698</v>
      </c>
      <c r="F460" s="1" t="s">
        <v>1729</v>
      </c>
      <c r="H460" s="1" t="s">
        <v>1707</v>
      </c>
      <c r="I460" s="1" t="s">
        <v>1672</v>
      </c>
      <c r="L460" s="4">
        <v>44797</v>
      </c>
      <c r="M460" s="1" t="s">
        <v>5</v>
      </c>
      <c r="N460" s="1" t="s">
        <v>945</v>
      </c>
      <c r="O460" s="1" t="s">
        <v>32</v>
      </c>
    </row>
    <row r="461" spans="1:15" x14ac:dyDescent="0.3">
      <c r="A461" s="1" t="str">
        <f>HYPERLINK("https://hsdes.intel.com/resource/14013162974","14013162974")</f>
        <v>14013162974</v>
      </c>
      <c r="B461" s="1" t="s">
        <v>946</v>
      </c>
      <c r="C461" s="1" t="s">
        <v>4</v>
      </c>
      <c r="D461" s="1" t="s">
        <v>1683</v>
      </c>
      <c r="E461" s="1" t="s">
        <v>1698</v>
      </c>
      <c r="F461" s="1" t="s">
        <v>1729</v>
      </c>
      <c r="H461" s="1" t="s">
        <v>1707</v>
      </c>
      <c r="I461" s="1" t="s">
        <v>1672</v>
      </c>
      <c r="L461" s="4">
        <v>44797</v>
      </c>
      <c r="M461" s="1" t="s">
        <v>5</v>
      </c>
      <c r="N461" s="1" t="s">
        <v>947</v>
      </c>
      <c r="O461" s="1" t="s">
        <v>32</v>
      </c>
    </row>
    <row r="462" spans="1:15" x14ac:dyDescent="0.3">
      <c r="A462" s="1" t="str">
        <f>HYPERLINK("https://hsdes.intel.com/resource/14013162987","14013162987")</f>
        <v>14013162987</v>
      </c>
      <c r="B462" s="1" t="s">
        <v>948</v>
      </c>
      <c r="C462" s="1" t="s">
        <v>36</v>
      </c>
      <c r="D462" s="1" t="s">
        <v>1683</v>
      </c>
      <c r="E462" s="1" t="s">
        <v>1698</v>
      </c>
      <c r="F462" s="1" t="s">
        <v>1729</v>
      </c>
      <c r="H462" s="1" t="s">
        <v>1707</v>
      </c>
      <c r="I462" s="1" t="s">
        <v>1671</v>
      </c>
      <c r="L462" s="4">
        <v>44798</v>
      </c>
      <c r="M462" s="1" t="s">
        <v>37</v>
      </c>
      <c r="N462" s="1" t="s">
        <v>949</v>
      </c>
      <c r="O462" s="1" t="s">
        <v>10</v>
      </c>
    </row>
    <row r="463" spans="1:15" x14ac:dyDescent="0.3">
      <c r="A463" s="1" t="str">
        <f>HYPERLINK("https://hsdes.intel.com/resource/14013163001","14013163001")</f>
        <v>14013163001</v>
      </c>
      <c r="B463" s="1" t="s">
        <v>950</v>
      </c>
      <c r="C463" s="1" t="s">
        <v>59</v>
      </c>
      <c r="D463" s="1" t="s">
        <v>1683</v>
      </c>
      <c r="E463" s="1" t="s">
        <v>1698</v>
      </c>
      <c r="F463" s="1" t="s">
        <v>1729</v>
      </c>
      <c r="H463" s="1" t="s">
        <v>1707</v>
      </c>
      <c r="I463" s="1" t="s">
        <v>1726</v>
      </c>
      <c r="L463" s="4">
        <v>44803</v>
      </c>
      <c r="M463" s="1" t="s">
        <v>15</v>
      </c>
      <c r="N463" s="1" t="s">
        <v>951</v>
      </c>
      <c r="O463" s="1" t="s">
        <v>10</v>
      </c>
    </row>
    <row r="464" spans="1:15" x14ac:dyDescent="0.3">
      <c r="A464" s="1" t="str">
        <f>HYPERLINK("https://hsdes.intel.com/resource/14013163003","14013163003")</f>
        <v>14013163003</v>
      </c>
      <c r="B464" s="1" t="s">
        <v>952</v>
      </c>
      <c r="C464" s="1" t="s">
        <v>115</v>
      </c>
      <c r="D464" s="1" t="s">
        <v>1683</v>
      </c>
      <c r="E464" s="1" t="s">
        <v>1698</v>
      </c>
      <c r="F464" s="1" t="s">
        <v>1729</v>
      </c>
      <c r="H464" s="1" t="s">
        <v>1715</v>
      </c>
      <c r="I464" s="1" t="s">
        <v>1673</v>
      </c>
      <c r="J464" s="10">
        <f>HYPERLINK("https://hsdes.intel.com/resource/16016727492",16016727492)</f>
        <v>16016727492</v>
      </c>
      <c r="L464" s="4">
        <v>44803</v>
      </c>
      <c r="M464" s="1" t="s">
        <v>15</v>
      </c>
      <c r="N464" s="1" t="s">
        <v>953</v>
      </c>
      <c r="O464" s="1" t="s">
        <v>7</v>
      </c>
    </row>
    <row r="465" spans="1:15" x14ac:dyDescent="0.3">
      <c r="A465" s="1" t="str">
        <f>HYPERLINK("https://hsdes.intel.com/resource/14013163089","14013163089")</f>
        <v>14013163089</v>
      </c>
      <c r="B465" s="1" t="s">
        <v>954</v>
      </c>
      <c r="C465" s="1" t="s">
        <v>68</v>
      </c>
      <c r="D465" s="1" t="s">
        <v>1683</v>
      </c>
      <c r="E465" s="1" t="s">
        <v>1698</v>
      </c>
      <c r="F465" s="1" t="s">
        <v>1729</v>
      </c>
      <c r="H465" s="1" t="s">
        <v>1715</v>
      </c>
      <c r="I465" s="1" t="s">
        <v>1671</v>
      </c>
      <c r="J465" s="18">
        <v>16014667078</v>
      </c>
      <c r="L465" s="4">
        <v>44803</v>
      </c>
      <c r="M465" s="1" t="s">
        <v>15</v>
      </c>
      <c r="N465" s="1" t="s">
        <v>955</v>
      </c>
      <c r="O465" s="1" t="s">
        <v>10</v>
      </c>
    </row>
    <row r="466" spans="1:15" x14ac:dyDescent="0.3">
      <c r="A466" s="1" t="str">
        <f>HYPERLINK("https://hsdes.intel.com/resource/14013163171","14013163171")</f>
        <v>14013163171</v>
      </c>
      <c r="B466" s="1" t="s">
        <v>956</v>
      </c>
      <c r="C466" s="1" t="s">
        <v>115</v>
      </c>
      <c r="D466" s="1" t="s">
        <v>1683</v>
      </c>
      <c r="E466" s="1" t="s">
        <v>1698</v>
      </c>
      <c r="F466" s="1" t="s">
        <v>1729</v>
      </c>
      <c r="H466" s="1" t="s">
        <v>1707</v>
      </c>
      <c r="I466" s="1" t="s">
        <v>1673</v>
      </c>
      <c r="L466" s="4">
        <v>44802</v>
      </c>
      <c r="M466" s="1" t="s">
        <v>15</v>
      </c>
      <c r="N466" s="1" t="s">
        <v>957</v>
      </c>
      <c r="O466" s="1" t="s">
        <v>32</v>
      </c>
    </row>
    <row r="467" spans="1:15" x14ac:dyDescent="0.3">
      <c r="A467" s="1" t="str">
        <f>HYPERLINK("https://hsdes.intel.com/resource/14013163195","14013163195")</f>
        <v>14013163195</v>
      </c>
      <c r="B467" s="20" t="s">
        <v>958</v>
      </c>
      <c r="C467" s="1" t="s">
        <v>4</v>
      </c>
      <c r="D467" s="1" t="s">
        <v>1683</v>
      </c>
      <c r="E467" s="1" t="s">
        <v>1698</v>
      </c>
      <c r="F467" s="1" t="s">
        <v>1729</v>
      </c>
      <c r="H467" s="1" t="s">
        <v>1707</v>
      </c>
      <c r="I467" s="1" t="s">
        <v>1672</v>
      </c>
      <c r="K467" s="1" t="s">
        <v>1701</v>
      </c>
      <c r="L467" s="4">
        <v>44799</v>
      </c>
      <c r="M467" s="1" t="s">
        <v>5</v>
      </c>
      <c r="N467" s="1" t="s">
        <v>959</v>
      </c>
      <c r="O467" s="1" t="s">
        <v>32</v>
      </c>
    </row>
    <row r="468" spans="1:15" x14ac:dyDescent="0.3">
      <c r="A468" s="1" t="str">
        <f>HYPERLINK("https://hsdes.intel.com/resource/14013163205","14013163205")</f>
        <v>14013163205</v>
      </c>
      <c r="B468" s="1" t="s">
        <v>960</v>
      </c>
      <c r="C468" s="1" t="s">
        <v>115</v>
      </c>
      <c r="D468" s="1" t="s">
        <v>1683</v>
      </c>
      <c r="E468" s="1" t="s">
        <v>1698</v>
      </c>
      <c r="F468" s="1" t="s">
        <v>1729</v>
      </c>
      <c r="H468" s="1" t="s">
        <v>1707</v>
      </c>
      <c r="I468" s="1" t="s">
        <v>1673</v>
      </c>
      <c r="L468" s="4">
        <v>44802</v>
      </c>
      <c r="M468" s="1" t="s">
        <v>15</v>
      </c>
      <c r="N468" s="1" t="s">
        <v>961</v>
      </c>
      <c r="O468" s="1" t="s">
        <v>32</v>
      </c>
    </row>
    <row r="469" spans="1:15" x14ac:dyDescent="0.3">
      <c r="A469" s="1" t="str">
        <f>HYPERLINK("https://hsdes.intel.com/resource/14013163208","14013163208")</f>
        <v>14013163208</v>
      </c>
      <c r="B469" s="1" t="s">
        <v>962</v>
      </c>
      <c r="C469" s="1" t="s">
        <v>115</v>
      </c>
      <c r="D469" s="1" t="s">
        <v>1683</v>
      </c>
      <c r="E469" s="1" t="s">
        <v>1698</v>
      </c>
      <c r="F469" s="1" t="s">
        <v>1729</v>
      </c>
      <c r="H469" s="1" t="s">
        <v>1707</v>
      </c>
      <c r="I469" s="1" t="s">
        <v>1673</v>
      </c>
      <c r="L469" s="4">
        <v>44802</v>
      </c>
      <c r="M469" s="1" t="s">
        <v>15</v>
      </c>
      <c r="N469" s="1" t="s">
        <v>963</v>
      </c>
      <c r="O469" s="1" t="s">
        <v>32</v>
      </c>
    </row>
    <row r="470" spans="1:15" x14ac:dyDescent="0.3">
      <c r="A470" s="1" t="str">
        <f>HYPERLINK("https://hsdes.intel.com/resource/14013163220","14013163220")</f>
        <v>14013163220</v>
      </c>
      <c r="B470" s="1" t="s">
        <v>964</v>
      </c>
      <c r="C470" s="1" t="s">
        <v>75</v>
      </c>
      <c r="D470" s="1" t="s">
        <v>1683</v>
      </c>
      <c r="E470" s="1" t="s">
        <v>1698</v>
      </c>
      <c r="F470" s="1" t="s">
        <v>1729</v>
      </c>
      <c r="H470" s="1" t="s">
        <v>1708</v>
      </c>
      <c r="I470" s="1" t="s">
        <v>1672</v>
      </c>
      <c r="L470" s="4">
        <v>44799</v>
      </c>
      <c r="M470" s="1" t="s">
        <v>76</v>
      </c>
      <c r="N470" s="1" t="s">
        <v>965</v>
      </c>
      <c r="O470" s="1" t="s">
        <v>10</v>
      </c>
    </row>
    <row r="471" spans="1:15" x14ac:dyDescent="0.3">
      <c r="A471" s="1" t="str">
        <f>HYPERLINK("https://hsdes.intel.com/resource/14013163478","14013163478")</f>
        <v>14013163478</v>
      </c>
      <c r="B471" s="1" t="s">
        <v>966</v>
      </c>
      <c r="C471" s="1" t="s">
        <v>115</v>
      </c>
      <c r="D471" s="1" t="s">
        <v>1684</v>
      </c>
      <c r="E471" s="1" t="s">
        <v>1698</v>
      </c>
      <c r="F471" s="1" t="s">
        <v>1729</v>
      </c>
      <c r="H471" s="1" t="s">
        <v>1707</v>
      </c>
      <c r="I471" s="1" t="s">
        <v>1673</v>
      </c>
      <c r="L471" s="4">
        <v>44802</v>
      </c>
      <c r="M471" s="1" t="s">
        <v>15</v>
      </c>
      <c r="N471" s="1" t="s">
        <v>967</v>
      </c>
      <c r="O471" s="1" t="s">
        <v>32</v>
      </c>
    </row>
    <row r="472" spans="1:15" x14ac:dyDescent="0.3">
      <c r="A472" s="1" t="str">
        <f>HYPERLINK("https://hsdes.intel.com/resource/14013163665","14013163665")</f>
        <v>14013163665</v>
      </c>
      <c r="B472" s="1" t="s">
        <v>968</v>
      </c>
      <c r="C472" s="1" t="s">
        <v>4</v>
      </c>
      <c r="D472" s="1" t="s">
        <v>1683</v>
      </c>
      <c r="E472" s="1" t="s">
        <v>1698</v>
      </c>
      <c r="F472" s="1" t="s">
        <v>1729</v>
      </c>
      <c r="H472" s="1" t="s">
        <v>1674</v>
      </c>
      <c r="I472" s="1" t="s">
        <v>1674</v>
      </c>
      <c r="M472" s="1" t="s">
        <v>5</v>
      </c>
      <c r="N472" s="1" t="s">
        <v>969</v>
      </c>
      <c r="O472" s="1" t="s">
        <v>7</v>
      </c>
    </row>
    <row r="473" spans="1:15" x14ac:dyDescent="0.3">
      <c r="A473" s="1" t="str">
        <f>HYPERLINK("https://hsdes.intel.com/resource/14013163784","14013163784")</f>
        <v>14013163784</v>
      </c>
      <c r="B473" s="1" t="s">
        <v>970</v>
      </c>
      <c r="C473" s="1" t="s">
        <v>46</v>
      </c>
      <c r="D473" s="1" t="s">
        <v>1683</v>
      </c>
      <c r="E473" s="1" t="s">
        <v>1698</v>
      </c>
      <c r="F473" s="1" t="s">
        <v>1729</v>
      </c>
      <c r="H473" s="1" t="s">
        <v>1708</v>
      </c>
      <c r="I473" s="1" t="s">
        <v>1671</v>
      </c>
      <c r="L473" s="4">
        <v>44802</v>
      </c>
      <c r="M473" s="1" t="s">
        <v>19</v>
      </c>
      <c r="N473" s="1" t="s">
        <v>971</v>
      </c>
      <c r="O473" s="1" t="s">
        <v>7</v>
      </c>
    </row>
    <row r="474" spans="1:15" x14ac:dyDescent="0.3">
      <c r="A474" s="1" t="str">
        <f>HYPERLINK("https://hsdes.intel.com/resource/14013163811","14013163811")</f>
        <v>14013163811</v>
      </c>
      <c r="B474" s="1" t="s">
        <v>972</v>
      </c>
      <c r="C474" s="1" t="s">
        <v>98</v>
      </c>
      <c r="D474" s="1" t="s">
        <v>1683</v>
      </c>
      <c r="E474" s="1" t="s">
        <v>1698</v>
      </c>
      <c r="F474" s="1" t="s">
        <v>1729</v>
      </c>
      <c r="H474" s="1" t="s">
        <v>1707</v>
      </c>
      <c r="I474" s="1" t="s">
        <v>1673</v>
      </c>
      <c r="L474" s="4">
        <v>44797</v>
      </c>
      <c r="M474" s="1" t="s">
        <v>76</v>
      </c>
      <c r="N474" s="1" t="s">
        <v>973</v>
      </c>
      <c r="O474" s="1" t="s">
        <v>10</v>
      </c>
    </row>
    <row r="475" spans="1:15" x14ac:dyDescent="0.3">
      <c r="A475" s="1" t="str">
        <f>HYPERLINK("https://hsdes.intel.com/resource/14013163914","14013163914")</f>
        <v>14013163914</v>
      </c>
      <c r="B475" s="1" t="s">
        <v>974</v>
      </c>
      <c r="C475" s="1" t="s">
        <v>89</v>
      </c>
      <c r="D475" s="1" t="s">
        <v>1683</v>
      </c>
      <c r="E475" s="1" t="s">
        <v>1698</v>
      </c>
      <c r="F475" s="1" t="s">
        <v>1729</v>
      </c>
      <c r="H475" s="1" t="s">
        <v>1707</v>
      </c>
      <c r="I475" s="1" t="s">
        <v>1673</v>
      </c>
      <c r="L475" s="4">
        <v>44798</v>
      </c>
      <c r="M475" s="1" t="s">
        <v>23</v>
      </c>
      <c r="N475" s="1" t="s">
        <v>975</v>
      </c>
      <c r="O475" s="1" t="s">
        <v>10</v>
      </c>
    </row>
    <row r="476" spans="1:15" x14ac:dyDescent="0.3">
      <c r="A476" s="1" t="str">
        <f>HYPERLINK("https://hsdes.intel.com/resource/14013163924","14013163924")</f>
        <v>14013163924</v>
      </c>
      <c r="B476" s="1" t="s">
        <v>976</v>
      </c>
      <c r="C476" s="1" t="s">
        <v>4</v>
      </c>
      <c r="D476" s="1" t="s">
        <v>1683</v>
      </c>
      <c r="E476" s="1" t="s">
        <v>1698</v>
      </c>
      <c r="F476" s="1" t="s">
        <v>1729</v>
      </c>
      <c r="H476" s="1" t="s">
        <v>1707</v>
      </c>
      <c r="I476" s="1" t="s">
        <v>1723</v>
      </c>
      <c r="L476" s="4">
        <v>44802</v>
      </c>
      <c r="M476" s="1" t="s">
        <v>5</v>
      </c>
      <c r="N476" s="1" t="s">
        <v>977</v>
      </c>
      <c r="O476" s="1" t="s">
        <v>10</v>
      </c>
    </row>
    <row r="477" spans="1:15" x14ac:dyDescent="0.3">
      <c r="A477" s="1" t="str">
        <f>HYPERLINK("https://hsdes.intel.com/resource/14013163939","14013163939")</f>
        <v>14013163939</v>
      </c>
      <c r="B477" s="1" t="s">
        <v>978</v>
      </c>
      <c r="C477" s="1" t="s">
        <v>89</v>
      </c>
      <c r="D477" s="1" t="s">
        <v>1683</v>
      </c>
      <c r="E477" s="1" t="s">
        <v>1698</v>
      </c>
      <c r="F477" s="1" t="s">
        <v>1729</v>
      </c>
      <c r="H477" s="1" t="s">
        <v>1707</v>
      </c>
      <c r="I477" s="1" t="s">
        <v>1673</v>
      </c>
      <c r="L477" s="4">
        <v>44797</v>
      </c>
      <c r="M477" s="1" t="s">
        <v>23</v>
      </c>
      <c r="N477" s="1" t="s">
        <v>979</v>
      </c>
      <c r="O477" s="1" t="s">
        <v>10</v>
      </c>
    </row>
    <row r="478" spans="1:15" x14ac:dyDescent="0.3">
      <c r="A478" s="1" t="str">
        <f>HYPERLINK("https://hsdes.intel.com/resource/14013163952","14013163952")</f>
        <v>14013163952</v>
      </c>
      <c r="B478" s="1" t="s">
        <v>980</v>
      </c>
      <c r="C478" s="1" t="s">
        <v>89</v>
      </c>
      <c r="D478" s="1" t="s">
        <v>1683</v>
      </c>
      <c r="E478" s="1" t="s">
        <v>1698</v>
      </c>
      <c r="F478" s="1" t="s">
        <v>1729</v>
      </c>
      <c r="H478" s="1" t="s">
        <v>1707</v>
      </c>
      <c r="I478" s="1" t="s">
        <v>1673</v>
      </c>
      <c r="L478" s="4">
        <v>44797</v>
      </c>
      <c r="M478" s="1" t="s">
        <v>23</v>
      </c>
      <c r="N478" s="1" t="s">
        <v>981</v>
      </c>
      <c r="O478" s="1" t="s">
        <v>10</v>
      </c>
    </row>
    <row r="479" spans="1:15" x14ac:dyDescent="0.3">
      <c r="A479" s="1" t="str">
        <f>HYPERLINK("https://hsdes.intel.com/resource/14013163970","14013163970")</f>
        <v>14013163970</v>
      </c>
      <c r="B479" s="1" t="s">
        <v>982</v>
      </c>
      <c r="C479" s="1" t="s">
        <v>46</v>
      </c>
      <c r="D479" s="1" t="s">
        <v>1683</v>
      </c>
      <c r="E479" s="1" t="s">
        <v>1698</v>
      </c>
      <c r="F479" s="1" t="s">
        <v>1729</v>
      </c>
      <c r="H479" s="1" t="s">
        <v>1707</v>
      </c>
      <c r="I479" s="1" t="s">
        <v>1721</v>
      </c>
      <c r="L479" s="4">
        <v>44802</v>
      </c>
      <c r="M479" s="1" t="s">
        <v>5</v>
      </c>
      <c r="N479" s="1" t="s">
        <v>983</v>
      </c>
      <c r="O479" s="1" t="s">
        <v>7</v>
      </c>
    </row>
    <row r="480" spans="1:15" x14ac:dyDescent="0.3">
      <c r="A480" s="1" t="str">
        <f>HYPERLINK("https://hsdes.intel.com/resource/14013164066","14013164066")</f>
        <v>14013164066</v>
      </c>
      <c r="B480" s="1" t="s">
        <v>984</v>
      </c>
      <c r="C480" s="1" t="s">
        <v>98</v>
      </c>
      <c r="D480" s="1" t="s">
        <v>1683</v>
      </c>
      <c r="E480" s="1" t="s">
        <v>1698</v>
      </c>
      <c r="F480" s="1" t="s">
        <v>1729</v>
      </c>
      <c r="H480" s="7" t="s">
        <v>1707</v>
      </c>
      <c r="I480" s="1" t="s">
        <v>1672</v>
      </c>
      <c r="L480" s="4">
        <v>44797</v>
      </c>
      <c r="M480" s="1" t="s">
        <v>76</v>
      </c>
      <c r="N480" s="1" t="s">
        <v>985</v>
      </c>
      <c r="O480" s="1" t="s">
        <v>10</v>
      </c>
    </row>
    <row r="481" spans="1:15" x14ac:dyDescent="0.3">
      <c r="A481" s="1" t="str">
        <f>HYPERLINK("https://hsdes.intel.com/resource/14013164076","14013164076")</f>
        <v>14013164076</v>
      </c>
      <c r="B481" s="1" t="s">
        <v>986</v>
      </c>
      <c r="C481" s="1" t="s">
        <v>98</v>
      </c>
      <c r="D481" s="1" t="s">
        <v>1683</v>
      </c>
      <c r="E481" s="1" t="s">
        <v>1698</v>
      </c>
      <c r="F481" s="1" t="s">
        <v>1729</v>
      </c>
      <c r="H481" s="1" t="s">
        <v>1707</v>
      </c>
      <c r="I481" s="1" t="s">
        <v>1673</v>
      </c>
      <c r="L481" s="4">
        <v>44797</v>
      </c>
      <c r="M481" s="1" t="s">
        <v>76</v>
      </c>
      <c r="N481" s="1" t="s">
        <v>987</v>
      </c>
      <c r="O481" s="1" t="s">
        <v>10</v>
      </c>
    </row>
    <row r="482" spans="1:15" x14ac:dyDescent="0.3">
      <c r="A482" s="1" t="str">
        <f>HYPERLINK("https://hsdes.intel.com/resource/14013164103","14013164103")</f>
        <v>14013164103</v>
      </c>
      <c r="B482" s="1" t="s">
        <v>988</v>
      </c>
      <c r="C482" s="1" t="s">
        <v>98</v>
      </c>
      <c r="D482" s="1" t="s">
        <v>1683</v>
      </c>
      <c r="E482" s="1" t="s">
        <v>1698</v>
      </c>
      <c r="F482" s="1" t="s">
        <v>1729</v>
      </c>
      <c r="H482" s="1" t="s">
        <v>1707</v>
      </c>
      <c r="I482" s="1" t="s">
        <v>1673</v>
      </c>
      <c r="L482" s="4">
        <v>44797</v>
      </c>
      <c r="M482" s="1" t="s">
        <v>76</v>
      </c>
      <c r="N482" s="1" t="s">
        <v>989</v>
      </c>
      <c r="O482" s="1" t="s">
        <v>10</v>
      </c>
    </row>
    <row r="483" spans="1:15" x14ac:dyDescent="0.3">
      <c r="A483" s="1" t="str">
        <f>HYPERLINK("https://hsdes.intel.com/resource/14013164150","14013164150")</f>
        <v>14013164150</v>
      </c>
      <c r="B483" s="1" t="s">
        <v>990</v>
      </c>
      <c r="C483" s="1" t="s">
        <v>115</v>
      </c>
      <c r="D483" s="1" t="s">
        <v>1683</v>
      </c>
      <c r="E483" s="1" t="s">
        <v>1698</v>
      </c>
      <c r="F483" s="1" t="s">
        <v>1729</v>
      </c>
      <c r="H483" s="1" t="s">
        <v>1717</v>
      </c>
      <c r="I483" s="1" t="s">
        <v>1671</v>
      </c>
      <c r="L483" s="4">
        <v>44797</v>
      </c>
      <c r="M483" s="1" t="s">
        <v>15</v>
      </c>
      <c r="N483" s="1" t="s">
        <v>991</v>
      </c>
      <c r="O483" s="1" t="s">
        <v>32</v>
      </c>
    </row>
    <row r="484" spans="1:15" x14ac:dyDescent="0.3">
      <c r="A484" s="1" t="str">
        <f>HYPERLINK("https://hsdes.intel.com/resource/14013164188","14013164188")</f>
        <v>14013164188</v>
      </c>
      <c r="B484" s="1" t="s">
        <v>992</v>
      </c>
      <c r="C484" s="1" t="s">
        <v>46</v>
      </c>
      <c r="D484" s="1" t="s">
        <v>1683</v>
      </c>
      <c r="E484" s="1" t="s">
        <v>1698</v>
      </c>
      <c r="F484" s="1" t="s">
        <v>1729</v>
      </c>
      <c r="H484" s="1" t="s">
        <v>1707</v>
      </c>
      <c r="I484" s="1" t="s">
        <v>1671</v>
      </c>
      <c r="L484" s="4">
        <v>44798</v>
      </c>
      <c r="M484" s="1" t="s">
        <v>5</v>
      </c>
      <c r="N484" s="1" t="s">
        <v>993</v>
      </c>
      <c r="O484" s="1" t="s">
        <v>10</v>
      </c>
    </row>
    <row r="485" spans="1:15" x14ac:dyDescent="0.3">
      <c r="A485" s="1" t="str">
        <f>HYPERLINK("https://hsdes.intel.com/resource/14013164736","14013164736")</f>
        <v>14013164736</v>
      </c>
      <c r="B485" s="1" t="s">
        <v>994</v>
      </c>
      <c r="C485" s="1" t="s">
        <v>115</v>
      </c>
      <c r="D485" s="1" t="s">
        <v>1683</v>
      </c>
      <c r="E485" s="1" t="s">
        <v>1698</v>
      </c>
      <c r="F485" s="1" t="s">
        <v>1729</v>
      </c>
      <c r="H485" s="1" t="s">
        <v>1707</v>
      </c>
      <c r="I485" s="1" t="s">
        <v>1671</v>
      </c>
      <c r="K485" s="1" t="s">
        <v>1705</v>
      </c>
      <c r="L485" s="4">
        <v>44798</v>
      </c>
      <c r="M485" s="1" t="s">
        <v>15</v>
      </c>
      <c r="N485" s="1" t="s">
        <v>995</v>
      </c>
      <c r="O485" s="1" t="s">
        <v>10</v>
      </c>
    </row>
    <row r="486" spans="1:15" x14ac:dyDescent="0.3">
      <c r="A486" s="1" t="str">
        <f>HYPERLINK("https://hsdes.intel.com/resource/14013165066","14013165066")</f>
        <v>14013165066</v>
      </c>
      <c r="B486" s="1" t="s">
        <v>996</v>
      </c>
      <c r="C486" s="1" t="s">
        <v>98</v>
      </c>
      <c r="D486" s="1" t="s">
        <v>1683</v>
      </c>
      <c r="E486" s="1" t="s">
        <v>1698</v>
      </c>
      <c r="F486" s="1" t="s">
        <v>1729</v>
      </c>
      <c r="H486" s="1" t="s">
        <v>1707</v>
      </c>
      <c r="I486" s="1" t="s">
        <v>1673</v>
      </c>
      <c r="L486" s="4">
        <v>44799</v>
      </c>
      <c r="M486" s="1" t="s">
        <v>76</v>
      </c>
      <c r="N486" s="1" t="s">
        <v>997</v>
      </c>
      <c r="O486" s="1" t="s">
        <v>10</v>
      </c>
    </row>
    <row r="487" spans="1:15" x14ac:dyDescent="0.3">
      <c r="A487" s="1" t="str">
        <f>HYPERLINK("https://hsdes.intel.com/resource/14013165178","14013165178")</f>
        <v>14013165178</v>
      </c>
      <c r="B487" s="1" t="s">
        <v>998</v>
      </c>
      <c r="C487" s="1" t="s">
        <v>4</v>
      </c>
      <c r="D487" s="1" t="s">
        <v>1683</v>
      </c>
      <c r="E487" s="1" t="s">
        <v>1698</v>
      </c>
      <c r="F487" s="1" t="s">
        <v>1729</v>
      </c>
      <c r="H487" s="1" t="s">
        <v>1707</v>
      </c>
      <c r="I487" s="1" t="s">
        <v>1671</v>
      </c>
      <c r="L487" s="4">
        <v>44797</v>
      </c>
      <c r="M487" s="1" t="s">
        <v>5</v>
      </c>
      <c r="N487" s="1" t="s">
        <v>999</v>
      </c>
      <c r="O487" s="1" t="s">
        <v>32</v>
      </c>
    </row>
    <row r="488" spans="1:15" x14ac:dyDescent="0.3">
      <c r="A488" s="1" t="str">
        <f>HYPERLINK("https://hsdes.intel.com/resource/14013165184","14013165184")</f>
        <v>14013165184</v>
      </c>
      <c r="B488" s="1" t="s">
        <v>1000</v>
      </c>
      <c r="C488" s="1" t="s">
        <v>4</v>
      </c>
      <c r="D488" s="1" t="s">
        <v>1684</v>
      </c>
      <c r="E488" s="1" t="s">
        <v>1698</v>
      </c>
      <c r="F488" s="1" t="s">
        <v>1729</v>
      </c>
      <c r="H488" s="1" t="s">
        <v>1707</v>
      </c>
      <c r="I488" s="1" t="s">
        <v>1671</v>
      </c>
      <c r="J488" s="1" t="s">
        <v>1680</v>
      </c>
      <c r="L488" s="4">
        <v>44797</v>
      </c>
      <c r="M488" s="1" t="s">
        <v>5</v>
      </c>
      <c r="N488" s="1" t="s">
        <v>1001</v>
      </c>
      <c r="O488" s="1" t="s">
        <v>32</v>
      </c>
    </row>
    <row r="489" spans="1:15" x14ac:dyDescent="0.3">
      <c r="A489" s="1" t="str">
        <f>HYPERLINK("https://hsdes.intel.com/resource/14013165195","14013165195")</f>
        <v>14013165195</v>
      </c>
      <c r="B489" s="1" t="s">
        <v>1002</v>
      </c>
      <c r="C489" s="1" t="s">
        <v>68</v>
      </c>
      <c r="D489" s="1" t="s">
        <v>1683</v>
      </c>
      <c r="E489" s="1" t="s">
        <v>1698</v>
      </c>
      <c r="F489" s="1" t="s">
        <v>1729</v>
      </c>
      <c r="H489" s="1" t="s">
        <v>1707</v>
      </c>
      <c r="I489" s="1" t="s">
        <v>1671</v>
      </c>
      <c r="L489" s="4">
        <v>44802</v>
      </c>
      <c r="M489" s="1" t="s">
        <v>15</v>
      </c>
      <c r="N489" s="1" t="s">
        <v>1003</v>
      </c>
      <c r="O489" s="1" t="s">
        <v>10</v>
      </c>
    </row>
    <row r="490" spans="1:15" x14ac:dyDescent="0.3">
      <c r="A490" s="1" t="str">
        <f>HYPERLINK("https://hsdes.intel.com/resource/14013165215","14013165215")</f>
        <v>14013165215</v>
      </c>
      <c r="B490" s="1" t="s">
        <v>1004</v>
      </c>
      <c r="C490" s="1" t="s">
        <v>4</v>
      </c>
      <c r="D490" s="1" t="s">
        <v>1683</v>
      </c>
      <c r="E490" s="1" t="s">
        <v>1698</v>
      </c>
      <c r="F490" s="1" t="s">
        <v>1729</v>
      </c>
      <c r="H490" s="1" t="s">
        <v>1707</v>
      </c>
      <c r="I490" s="1" t="s">
        <v>1671</v>
      </c>
      <c r="L490" s="4">
        <v>44798</v>
      </c>
      <c r="M490" s="1" t="s">
        <v>5</v>
      </c>
      <c r="N490" s="1" t="s">
        <v>1005</v>
      </c>
      <c r="O490" s="1" t="s">
        <v>32</v>
      </c>
    </row>
    <row r="491" spans="1:15" x14ac:dyDescent="0.3">
      <c r="A491" s="1" t="str">
        <f>HYPERLINK("https://hsdes.intel.com/resource/14013165220","14013165220")</f>
        <v>14013165220</v>
      </c>
      <c r="B491" s="1" t="s">
        <v>1006</v>
      </c>
      <c r="C491" s="1" t="s">
        <v>4</v>
      </c>
      <c r="D491" s="1" t="s">
        <v>1684</v>
      </c>
      <c r="E491" s="1" t="s">
        <v>1698</v>
      </c>
      <c r="F491" s="1" t="s">
        <v>1729</v>
      </c>
      <c r="H491" s="7" t="s">
        <v>1707</v>
      </c>
      <c r="I491" s="1" t="s">
        <v>1718</v>
      </c>
      <c r="L491" s="4">
        <v>44798</v>
      </c>
      <c r="M491" s="1" t="s">
        <v>5</v>
      </c>
      <c r="N491" s="1" t="s">
        <v>1007</v>
      </c>
      <c r="O491" s="1" t="s">
        <v>32</v>
      </c>
    </row>
    <row r="492" spans="1:15" x14ac:dyDescent="0.3">
      <c r="A492" s="1" t="str">
        <f>HYPERLINK("https://hsdes.intel.com/resource/14013165230","14013165230")</f>
        <v>14013165230</v>
      </c>
      <c r="B492" s="1" t="s">
        <v>1008</v>
      </c>
      <c r="C492" s="1" t="s">
        <v>4</v>
      </c>
      <c r="D492" s="1" t="s">
        <v>1683</v>
      </c>
      <c r="E492" s="1" t="s">
        <v>1698</v>
      </c>
      <c r="F492" s="1" t="s">
        <v>1729</v>
      </c>
      <c r="H492" s="1" t="s">
        <v>1707</v>
      </c>
      <c r="I492" s="1" t="s">
        <v>1671</v>
      </c>
      <c r="L492" s="4">
        <v>44797</v>
      </c>
      <c r="M492" s="1" t="s">
        <v>5</v>
      </c>
      <c r="N492" s="1" t="s">
        <v>1009</v>
      </c>
      <c r="O492" s="1" t="s">
        <v>32</v>
      </c>
    </row>
    <row r="493" spans="1:15" x14ac:dyDescent="0.3">
      <c r="A493" s="1" t="str">
        <f>HYPERLINK("https://hsdes.intel.com/resource/14013165239","14013165239")</f>
        <v>14013165239</v>
      </c>
      <c r="B493" s="1" t="s">
        <v>1010</v>
      </c>
      <c r="C493" s="1" t="s">
        <v>4</v>
      </c>
      <c r="D493" s="1" t="s">
        <v>1684</v>
      </c>
      <c r="E493" s="1" t="s">
        <v>1698</v>
      </c>
      <c r="F493" s="1" t="s">
        <v>1729</v>
      </c>
      <c r="H493" s="1" t="s">
        <v>1707</v>
      </c>
      <c r="I493" s="1" t="s">
        <v>1671</v>
      </c>
      <c r="L493" s="4">
        <v>44797</v>
      </c>
      <c r="M493" s="1" t="s">
        <v>5</v>
      </c>
      <c r="N493" s="1" t="s">
        <v>1011</v>
      </c>
      <c r="O493" s="1" t="s">
        <v>32</v>
      </c>
    </row>
    <row r="494" spans="1:15" x14ac:dyDescent="0.3">
      <c r="A494" s="1" t="str">
        <f>HYPERLINK("https://hsdes.intel.com/resource/14013165248","14013165248")</f>
        <v>14013165248</v>
      </c>
      <c r="B494" s="1" t="s">
        <v>1012</v>
      </c>
      <c r="C494" s="1" t="s">
        <v>4</v>
      </c>
      <c r="D494" s="1" t="s">
        <v>1683</v>
      </c>
      <c r="E494" s="1" t="s">
        <v>1698</v>
      </c>
      <c r="F494" s="1" t="s">
        <v>1729</v>
      </c>
      <c r="H494" s="1" t="s">
        <v>1707</v>
      </c>
      <c r="I494" s="1" t="s">
        <v>1671</v>
      </c>
      <c r="L494" s="4">
        <v>44797</v>
      </c>
      <c r="M494" s="1" t="s">
        <v>5</v>
      </c>
      <c r="N494" s="1" t="s">
        <v>1013</v>
      </c>
      <c r="O494" s="1" t="s">
        <v>32</v>
      </c>
    </row>
    <row r="495" spans="1:15" x14ac:dyDescent="0.3">
      <c r="A495" s="1" t="str">
        <f>HYPERLINK("https://hsdes.intel.com/resource/14013165251","14013165251")</f>
        <v>14013165251</v>
      </c>
      <c r="B495" s="1" t="s">
        <v>1014</v>
      </c>
      <c r="C495" s="1" t="s">
        <v>4</v>
      </c>
      <c r="D495" s="1" t="s">
        <v>1684</v>
      </c>
      <c r="E495" s="1" t="s">
        <v>1698</v>
      </c>
      <c r="F495" s="1" t="s">
        <v>1729</v>
      </c>
      <c r="H495" s="1" t="s">
        <v>1707</v>
      </c>
      <c r="I495" s="1" t="s">
        <v>1671</v>
      </c>
      <c r="L495" s="4">
        <v>44797</v>
      </c>
      <c r="M495" s="1" t="s">
        <v>5</v>
      </c>
      <c r="N495" s="1" t="s">
        <v>1015</v>
      </c>
      <c r="O495" s="1" t="s">
        <v>32</v>
      </c>
    </row>
    <row r="496" spans="1:15" x14ac:dyDescent="0.3">
      <c r="A496" s="1" t="str">
        <f>HYPERLINK("https://hsdes.intel.com/resource/14013165266","14013165266")</f>
        <v>14013165266</v>
      </c>
      <c r="B496" s="1" t="s">
        <v>1016</v>
      </c>
      <c r="C496" s="1" t="s">
        <v>4</v>
      </c>
      <c r="D496" s="1" t="s">
        <v>1683</v>
      </c>
      <c r="E496" s="1" t="s">
        <v>1698</v>
      </c>
      <c r="F496" s="1" t="s">
        <v>1729</v>
      </c>
      <c r="H496" s="1" t="s">
        <v>1707</v>
      </c>
      <c r="I496" s="1" t="s">
        <v>1671</v>
      </c>
      <c r="L496" s="4">
        <v>44797</v>
      </c>
      <c r="M496" s="1" t="s">
        <v>5</v>
      </c>
      <c r="N496" s="1" t="s">
        <v>1017</v>
      </c>
      <c r="O496" s="1" t="s">
        <v>32</v>
      </c>
    </row>
    <row r="497" spans="1:15" x14ac:dyDescent="0.3">
      <c r="A497" s="1" t="str">
        <f>HYPERLINK("https://hsdes.intel.com/resource/14013165268","14013165268")</f>
        <v>14013165268</v>
      </c>
      <c r="B497" s="1" t="s">
        <v>1018</v>
      </c>
      <c r="C497" s="1" t="s">
        <v>4</v>
      </c>
      <c r="D497" s="1" t="s">
        <v>1684</v>
      </c>
      <c r="E497" s="1" t="s">
        <v>1698</v>
      </c>
      <c r="F497" s="1" t="s">
        <v>1729</v>
      </c>
      <c r="H497" s="1" t="s">
        <v>1707</v>
      </c>
      <c r="I497" s="1" t="s">
        <v>1671</v>
      </c>
      <c r="L497" s="4">
        <v>44797</v>
      </c>
      <c r="M497" s="1" t="s">
        <v>5</v>
      </c>
      <c r="N497" s="1" t="s">
        <v>1019</v>
      </c>
      <c r="O497" s="1" t="s">
        <v>32</v>
      </c>
    </row>
    <row r="498" spans="1:15" x14ac:dyDescent="0.3">
      <c r="A498" s="1" t="str">
        <f>HYPERLINK("https://hsdes.intel.com/resource/14013165277","14013165277")</f>
        <v>14013165277</v>
      </c>
      <c r="B498" s="1" t="s">
        <v>1020</v>
      </c>
      <c r="C498" s="1" t="s">
        <v>4</v>
      </c>
      <c r="D498" s="1" t="s">
        <v>1683</v>
      </c>
      <c r="E498" s="1" t="s">
        <v>1698</v>
      </c>
      <c r="F498" s="1" t="s">
        <v>1729</v>
      </c>
      <c r="H498" s="1" t="s">
        <v>1707</v>
      </c>
      <c r="I498" s="1" t="s">
        <v>1671</v>
      </c>
      <c r="L498" s="4">
        <v>44797</v>
      </c>
      <c r="M498" s="1" t="s">
        <v>5</v>
      </c>
      <c r="N498" s="1" t="s">
        <v>1021</v>
      </c>
      <c r="O498" s="1" t="s">
        <v>32</v>
      </c>
    </row>
    <row r="499" spans="1:15" x14ac:dyDescent="0.3">
      <c r="A499" s="1" t="str">
        <f>HYPERLINK("https://hsdes.intel.com/resource/14013165279","14013165279")</f>
        <v>14013165279</v>
      </c>
      <c r="B499" s="1" t="s">
        <v>1022</v>
      </c>
      <c r="C499" s="1" t="s">
        <v>4</v>
      </c>
      <c r="D499" s="1" t="s">
        <v>1684</v>
      </c>
      <c r="E499" s="1" t="s">
        <v>1698</v>
      </c>
      <c r="F499" s="1" t="s">
        <v>1729</v>
      </c>
      <c r="H499" s="1" t="s">
        <v>1707</v>
      </c>
      <c r="I499" s="1" t="s">
        <v>1671</v>
      </c>
      <c r="L499" s="4">
        <v>44797</v>
      </c>
      <c r="M499" s="1" t="s">
        <v>5</v>
      </c>
      <c r="N499" s="1" t="s">
        <v>1023</v>
      </c>
      <c r="O499" s="1" t="s">
        <v>32</v>
      </c>
    </row>
    <row r="500" spans="1:15" x14ac:dyDescent="0.3">
      <c r="A500" s="1" t="str">
        <f>HYPERLINK("https://hsdes.intel.com/resource/14013165283","14013165283")</f>
        <v>14013165283</v>
      </c>
      <c r="B500" s="1" t="s">
        <v>1024</v>
      </c>
      <c r="C500" s="1" t="s">
        <v>4</v>
      </c>
      <c r="D500" s="1" t="s">
        <v>1683</v>
      </c>
      <c r="E500" s="1" t="s">
        <v>1698</v>
      </c>
      <c r="F500" s="1" t="s">
        <v>1729</v>
      </c>
      <c r="H500" s="1" t="s">
        <v>1707</v>
      </c>
      <c r="I500" s="1" t="s">
        <v>1671</v>
      </c>
      <c r="L500" s="4">
        <v>44797</v>
      </c>
      <c r="M500" s="1" t="s">
        <v>5</v>
      </c>
      <c r="N500" s="1" t="s">
        <v>1025</v>
      </c>
      <c r="O500" s="1" t="s">
        <v>32</v>
      </c>
    </row>
    <row r="501" spans="1:15" x14ac:dyDescent="0.3">
      <c r="A501" s="1" t="str">
        <f>HYPERLINK("https://hsdes.intel.com/resource/14013165285","14013165285")</f>
        <v>14013165285</v>
      </c>
      <c r="B501" s="1" t="s">
        <v>1026</v>
      </c>
      <c r="C501" s="1" t="s">
        <v>4</v>
      </c>
      <c r="D501" s="1" t="s">
        <v>1684</v>
      </c>
      <c r="E501" s="1" t="s">
        <v>1698</v>
      </c>
      <c r="F501" s="1" t="s">
        <v>1729</v>
      </c>
      <c r="H501" s="1" t="s">
        <v>1707</v>
      </c>
      <c r="I501" s="1" t="s">
        <v>1671</v>
      </c>
      <c r="L501" s="4">
        <v>44797</v>
      </c>
      <c r="M501" s="1" t="s">
        <v>5</v>
      </c>
      <c r="N501" s="1" t="s">
        <v>1027</v>
      </c>
      <c r="O501" s="1" t="s">
        <v>32</v>
      </c>
    </row>
    <row r="502" spans="1:15" x14ac:dyDescent="0.3">
      <c r="A502" s="1" t="str">
        <f>HYPERLINK("https://hsdes.intel.com/resource/14013165383","14013165383")</f>
        <v>14013165383</v>
      </c>
      <c r="B502" s="1" t="s">
        <v>1028</v>
      </c>
      <c r="C502" s="1" t="s">
        <v>4</v>
      </c>
      <c r="D502" s="1" t="s">
        <v>1683</v>
      </c>
      <c r="E502" s="1" t="s">
        <v>1698</v>
      </c>
      <c r="F502" s="1" t="s">
        <v>1729</v>
      </c>
      <c r="H502" s="1" t="s">
        <v>1707</v>
      </c>
      <c r="I502" s="1" t="s">
        <v>1723</v>
      </c>
      <c r="L502" s="4">
        <v>44802</v>
      </c>
      <c r="M502" s="1" t="s">
        <v>5</v>
      </c>
      <c r="N502" s="1" t="s">
        <v>1029</v>
      </c>
      <c r="O502" s="1" t="s">
        <v>7</v>
      </c>
    </row>
    <row r="503" spans="1:15" x14ac:dyDescent="0.3">
      <c r="A503" s="1" t="str">
        <f>HYPERLINK("https://hsdes.intel.com/resource/14013165391","14013165391")</f>
        <v>14013165391</v>
      </c>
      <c r="B503" s="1" t="s">
        <v>1030</v>
      </c>
      <c r="C503" s="1" t="s">
        <v>4</v>
      </c>
      <c r="D503" s="1" t="s">
        <v>1683</v>
      </c>
      <c r="E503" s="1" t="s">
        <v>1698</v>
      </c>
      <c r="F503" s="1" t="s">
        <v>1729</v>
      </c>
      <c r="H503" s="1" t="s">
        <v>1707</v>
      </c>
      <c r="I503" s="1" t="s">
        <v>1673</v>
      </c>
      <c r="L503" s="4">
        <v>44803</v>
      </c>
      <c r="M503" s="1" t="s">
        <v>5</v>
      </c>
      <c r="N503" s="1" t="s">
        <v>1031</v>
      </c>
      <c r="O503" s="1" t="s">
        <v>7</v>
      </c>
    </row>
    <row r="504" spans="1:15" x14ac:dyDescent="0.3">
      <c r="A504" s="1" t="str">
        <f>HYPERLINK("https://hsdes.intel.com/resource/14013165397","14013165397")</f>
        <v>14013165397</v>
      </c>
      <c r="B504" s="1" t="s">
        <v>1032</v>
      </c>
      <c r="C504" s="1" t="s">
        <v>4</v>
      </c>
      <c r="D504" s="1" t="s">
        <v>1683</v>
      </c>
      <c r="E504" s="1" t="s">
        <v>1698</v>
      </c>
      <c r="F504" s="1" t="s">
        <v>1729</v>
      </c>
      <c r="H504" s="1" t="s">
        <v>1707</v>
      </c>
      <c r="I504" s="1" t="s">
        <v>1671</v>
      </c>
      <c r="L504" s="4">
        <v>44797</v>
      </c>
      <c r="M504" s="1" t="s">
        <v>5</v>
      </c>
      <c r="N504" s="1" t="s">
        <v>1033</v>
      </c>
      <c r="O504" s="1" t="s">
        <v>7</v>
      </c>
    </row>
    <row r="505" spans="1:15" x14ac:dyDescent="0.3">
      <c r="A505" s="1" t="str">
        <f>HYPERLINK("https://hsdes.intel.com/resource/14013165401","14013165401")</f>
        <v>14013165401</v>
      </c>
      <c r="B505" s="1" t="s">
        <v>1034</v>
      </c>
      <c r="C505" s="1" t="s">
        <v>4</v>
      </c>
      <c r="D505" s="1" t="s">
        <v>1683</v>
      </c>
      <c r="E505" s="1" t="s">
        <v>1698</v>
      </c>
      <c r="F505" s="1" t="s">
        <v>1729</v>
      </c>
      <c r="H505" s="1" t="s">
        <v>1707</v>
      </c>
      <c r="I505" s="1" t="s">
        <v>1671</v>
      </c>
      <c r="L505" s="4">
        <v>44797</v>
      </c>
      <c r="M505" s="1" t="s">
        <v>5</v>
      </c>
      <c r="N505" s="1" t="s">
        <v>1035</v>
      </c>
      <c r="O505" s="1" t="s">
        <v>7</v>
      </c>
    </row>
    <row r="506" spans="1:15" x14ac:dyDescent="0.3">
      <c r="A506" s="1" t="str">
        <f>HYPERLINK("https://hsdes.intel.com/resource/14013165406","14013165406")</f>
        <v>14013165406</v>
      </c>
      <c r="B506" s="1" t="s">
        <v>1036</v>
      </c>
      <c r="C506" s="1" t="s">
        <v>4</v>
      </c>
      <c r="D506" s="1" t="s">
        <v>1683</v>
      </c>
      <c r="E506" s="1" t="s">
        <v>1698</v>
      </c>
      <c r="F506" s="1" t="s">
        <v>1729</v>
      </c>
      <c r="H506" s="1" t="s">
        <v>1707</v>
      </c>
      <c r="I506" s="1" t="s">
        <v>1671</v>
      </c>
      <c r="K506" s="4"/>
      <c r="L506" s="4">
        <v>44798</v>
      </c>
      <c r="M506" s="1" t="s">
        <v>5</v>
      </c>
      <c r="N506" s="1" t="s">
        <v>1037</v>
      </c>
      <c r="O506" s="1" t="s">
        <v>7</v>
      </c>
    </row>
    <row r="507" spans="1:15" x14ac:dyDescent="0.3">
      <c r="A507" s="1" t="str">
        <f>HYPERLINK("https://hsdes.intel.com/resource/14013165413","14013165413")</f>
        <v>14013165413</v>
      </c>
      <c r="B507" s="1" t="s">
        <v>1038</v>
      </c>
      <c r="C507" s="1" t="s">
        <v>4</v>
      </c>
      <c r="D507" s="1" t="s">
        <v>1683</v>
      </c>
      <c r="E507" s="1" t="s">
        <v>1698</v>
      </c>
      <c r="F507" s="1" t="s">
        <v>1729</v>
      </c>
      <c r="H507" s="1" t="s">
        <v>1707</v>
      </c>
      <c r="I507" s="1" t="s">
        <v>1671</v>
      </c>
      <c r="L507" s="4">
        <v>44798</v>
      </c>
      <c r="M507" s="1" t="s">
        <v>5</v>
      </c>
      <c r="N507" s="1" t="s">
        <v>1039</v>
      </c>
      <c r="O507" s="1" t="s">
        <v>7</v>
      </c>
    </row>
    <row r="508" spans="1:15" x14ac:dyDescent="0.3">
      <c r="A508" s="1" t="str">
        <f>HYPERLINK("https://hsdes.intel.com/resource/14013165418","14013165418")</f>
        <v>14013165418</v>
      </c>
      <c r="B508" s="1" t="s">
        <v>1040</v>
      </c>
      <c r="C508" s="1" t="s">
        <v>4</v>
      </c>
      <c r="D508" s="1" t="s">
        <v>1683</v>
      </c>
      <c r="E508" s="1" t="s">
        <v>1698</v>
      </c>
      <c r="F508" s="1" t="s">
        <v>1729</v>
      </c>
      <c r="H508" s="1" t="s">
        <v>1707</v>
      </c>
      <c r="I508" s="1" t="s">
        <v>1673</v>
      </c>
      <c r="L508" s="4">
        <v>44803</v>
      </c>
      <c r="M508" s="1" t="s">
        <v>5</v>
      </c>
      <c r="N508" s="1" t="s">
        <v>1041</v>
      </c>
      <c r="O508" s="1" t="s">
        <v>7</v>
      </c>
    </row>
    <row r="509" spans="1:15" x14ac:dyDescent="0.3">
      <c r="A509" s="1" t="str">
        <f>HYPERLINK("https://hsdes.intel.com/resource/14013165427","14013165427")</f>
        <v>14013165427</v>
      </c>
      <c r="B509" s="1" t="s">
        <v>1042</v>
      </c>
      <c r="C509" s="1" t="s">
        <v>4</v>
      </c>
      <c r="D509" s="1" t="s">
        <v>1683</v>
      </c>
      <c r="E509" s="1" t="s">
        <v>1698</v>
      </c>
      <c r="F509" s="1" t="s">
        <v>1729</v>
      </c>
      <c r="H509" s="1" t="s">
        <v>1707</v>
      </c>
      <c r="I509" s="1" t="s">
        <v>1671</v>
      </c>
      <c r="L509" s="4">
        <v>44798</v>
      </c>
      <c r="M509" s="1" t="s">
        <v>5</v>
      </c>
      <c r="N509" s="1" t="s">
        <v>1043</v>
      </c>
      <c r="O509" s="1" t="s">
        <v>7</v>
      </c>
    </row>
    <row r="510" spans="1:15" x14ac:dyDescent="0.3">
      <c r="A510" s="1" t="str">
        <f>HYPERLINK("https://hsdes.intel.com/resource/14013165430","14013165430")</f>
        <v>14013165430</v>
      </c>
      <c r="B510" s="1" t="s">
        <v>1044</v>
      </c>
      <c r="C510" s="1" t="s">
        <v>4</v>
      </c>
      <c r="D510" s="1" t="s">
        <v>1683</v>
      </c>
      <c r="E510" s="1" t="s">
        <v>1698</v>
      </c>
      <c r="F510" s="1" t="s">
        <v>1729</v>
      </c>
      <c r="H510" s="1" t="s">
        <v>1707</v>
      </c>
      <c r="I510" s="1" t="s">
        <v>1671</v>
      </c>
      <c r="L510" s="4">
        <v>44797</v>
      </c>
      <c r="M510" s="1" t="s">
        <v>5</v>
      </c>
      <c r="N510" s="1" t="s">
        <v>1045</v>
      </c>
      <c r="O510" s="1" t="s">
        <v>7</v>
      </c>
    </row>
    <row r="511" spans="1:15" x14ac:dyDescent="0.3">
      <c r="A511" s="1" t="str">
        <f>HYPERLINK("https://hsdes.intel.com/resource/14013165431","14013165431")</f>
        <v>14013165431</v>
      </c>
      <c r="B511" s="1" t="s">
        <v>1046</v>
      </c>
      <c r="C511" s="1" t="s">
        <v>4</v>
      </c>
      <c r="D511" s="1" t="s">
        <v>1683</v>
      </c>
      <c r="E511" s="1" t="s">
        <v>1698</v>
      </c>
      <c r="F511" s="1" t="s">
        <v>1729</v>
      </c>
      <c r="H511" s="1" t="s">
        <v>1707</v>
      </c>
      <c r="I511" s="1" t="s">
        <v>1671</v>
      </c>
      <c r="L511" s="4">
        <v>44797</v>
      </c>
      <c r="M511" s="1" t="s">
        <v>5</v>
      </c>
      <c r="N511" s="1" t="s">
        <v>1047</v>
      </c>
      <c r="O511" s="1" t="s">
        <v>7</v>
      </c>
    </row>
    <row r="512" spans="1:15" x14ac:dyDescent="0.3">
      <c r="A512" s="1" t="str">
        <f>HYPERLINK("https://hsdes.intel.com/resource/14013165436","14013165436")</f>
        <v>14013165436</v>
      </c>
      <c r="B512" s="1" t="s">
        <v>1048</v>
      </c>
      <c r="C512" s="1" t="s">
        <v>4</v>
      </c>
      <c r="D512" s="1" t="s">
        <v>1683</v>
      </c>
      <c r="E512" s="1" t="s">
        <v>1698</v>
      </c>
      <c r="F512" s="1" t="s">
        <v>1729</v>
      </c>
      <c r="H512" s="1" t="s">
        <v>1707</v>
      </c>
      <c r="I512" s="1" t="s">
        <v>1671</v>
      </c>
      <c r="L512" s="4">
        <v>44797</v>
      </c>
      <c r="M512" s="1" t="s">
        <v>5</v>
      </c>
      <c r="N512" s="1" t="s">
        <v>1049</v>
      </c>
      <c r="O512" s="1" t="s">
        <v>7</v>
      </c>
    </row>
    <row r="513" spans="1:15" x14ac:dyDescent="0.3">
      <c r="A513" s="1" t="str">
        <f>HYPERLINK("https://hsdes.intel.com/resource/14013165438","14013165438")</f>
        <v>14013165438</v>
      </c>
      <c r="B513" s="1" t="s">
        <v>1050</v>
      </c>
      <c r="C513" s="1" t="s">
        <v>4</v>
      </c>
      <c r="D513" s="1" t="s">
        <v>1683</v>
      </c>
      <c r="E513" s="1" t="s">
        <v>1698</v>
      </c>
      <c r="F513" s="1" t="s">
        <v>1729</v>
      </c>
      <c r="H513" s="1" t="s">
        <v>1707</v>
      </c>
      <c r="I513" s="1" t="s">
        <v>1671</v>
      </c>
      <c r="L513" s="4">
        <v>44797</v>
      </c>
      <c r="M513" s="1" t="s">
        <v>5</v>
      </c>
      <c r="N513" s="1" t="s">
        <v>1051</v>
      </c>
      <c r="O513" s="1" t="s">
        <v>7</v>
      </c>
    </row>
    <row r="514" spans="1:15" x14ac:dyDescent="0.3">
      <c r="A514" s="1" t="str">
        <f>HYPERLINK("https://hsdes.intel.com/resource/14013165440","14013165440")</f>
        <v>14013165440</v>
      </c>
      <c r="B514" s="11" t="s">
        <v>1052</v>
      </c>
      <c r="C514" s="1" t="s">
        <v>4</v>
      </c>
      <c r="D514" s="1" t="s">
        <v>1683</v>
      </c>
      <c r="E514" s="1" t="s">
        <v>1698</v>
      </c>
      <c r="F514" s="1" t="s">
        <v>1729</v>
      </c>
      <c r="H514" s="1" t="s">
        <v>1707</v>
      </c>
      <c r="I514" s="1" t="s">
        <v>1671</v>
      </c>
      <c r="L514" s="4">
        <v>44797</v>
      </c>
      <c r="M514" s="1" t="s">
        <v>5</v>
      </c>
      <c r="N514" s="1" t="s">
        <v>1053</v>
      </c>
      <c r="O514" s="1" t="s">
        <v>7</v>
      </c>
    </row>
    <row r="515" spans="1:15" x14ac:dyDescent="0.3">
      <c r="A515" s="1" t="str">
        <f>HYPERLINK("https://hsdes.intel.com/resource/14013165443","14013165443")</f>
        <v>14013165443</v>
      </c>
      <c r="B515" s="11" t="s">
        <v>1054</v>
      </c>
      <c r="C515" s="1" t="s">
        <v>4</v>
      </c>
      <c r="D515" s="1" t="s">
        <v>1683</v>
      </c>
      <c r="E515" s="1" t="s">
        <v>1698</v>
      </c>
      <c r="F515" s="1" t="s">
        <v>1729</v>
      </c>
      <c r="H515" s="1" t="s">
        <v>1707</v>
      </c>
      <c r="I515" s="1" t="s">
        <v>1671</v>
      </c>
      <c r="L515" s="4">
        <v>44798</v>
      </c>
      <c r="M515" s="1" t="s">
        <v>5</v>
      </c>
      <c r="N515" s="1" t="s">
        <v>1055</v>
      </c>
      <c r="O515" s="1" t="s">
        <v>7</v>
      </c>
    </row>
    <row r="516" spans="1:15" x14ac:dyDescent="0.3">
      <c r="A516" s="1" t="str">
        <f>HYPERLINK("https://hsdes.intel.com/resource/14013165445","14013165445")</f>
        <v>14013165445</v>
      </c>
      <c r="B516" s="1" t="s">
        <v>1056</v>
      </c>
      <c r="C516" s="1" t="s">
        <v>4</v>
      </c>
      <c r="D516" s="1" t="s">
        <v>1683</v>
      </c>
      <c r="E516" s="1" t="s">
        <v>1698</v>
      </c>
      <c r="F516" s="1" t="s">
        <v>1729</v>
      </c>
      <c r="H516" s="1" t="s">
        <v>1707</v>
      </c>
      <c r="I516" s="1" t="s">
        <v>1723</v>
      </c>
      <c r="L516" s="4">
        <v>44802</v>
      </c>
      <c r="M516" s="1" t="s">
        <v>5</v>
      </c>
      <c r="N516" s="1" t="s">
        <v>1057</v>
      </c>
      <c r="O516" s="1" t="s">
        <v>7</v>
      </c>
    </row>
    <row r="517" spans="1:15" x14ac:dyDescent="0.3">
      <c r="A517" s="1" t="str">
        <f>HYPERLINK("https://hsdes.intel.com/resource/14013165449","14013165449")</f>
        <v>14013165449</v>
      </c>
      <c r="B517" s="1" t="s">
        <v>1058</v>
      </c>
      <c r="C517" s="1" t="s">
        <v>4</v>
      </c>
      <c r="D517" s="1" t="s">
        <v>1683</v>
      </c>
      <c r="E517" s="1" t="s">
        <v>1698</v>
      </c>
      <c r="F517" s="1" t="s">
        <v>1729</v>
      </c>
      <c r="H517" s="8" t="s">
        <v>1707</v>
      </c>
      <c r="I517" s="1" t="s">
        <v>1672</v>
      </c>
      <c r="L517" s="4">
        <v>44802</v>
      </c>
      <c r="M517" s="1" t="s">
        <v>5</v>
      </c>
      <c r="N517" s="1" t="s">
        <v>1059</v>
      </c>
      <c r="O517" s="1" t="s">
        <v>7</v>
      </c>
    </row>
    <row r="518" spans="1:15" x14ac:dyDescent="0.3">
      <c r="A518" s="1" t="str">
        <f>HYPERLINK("https://hsdes.intel.com/resource/14013165533","14013165533")</f>
        <v>14013165533</v>
      </c>
      <c r="B518" s="1" t="s">
        <v>1060</v>
      </c>
      <c r="C518" s="1" t="s">
        <v>89</v>
      </c>
      <c r="D518" s="1" t="s">
        <v>1683</v>
      </c>
      <c r="E518" s="1" t="s">
        <v>1698</v>
      </c>
      <c r="F518" s="1" t="s">
        <v>1729</v>
      </c>
      <c r="H518" s="1" t="s">
        <v>1707</v>
      </c>
      <c r="I518" s="1" t="s">
        <v>1673</v>
      </c>
      <c r="L518" s="4">
        <v>44798</v>
      </c>
      <c r="M518" s="1" t="s">
        <v>23</v>
      </c>
      <c r="N518" s="1" t="s">
        <v>1061</v>
      </c>
      <c r="O518" s="1" t="s">
        <v>10</v>
      </c>
    </row>
    <row r="519" spans="1:15" x14ac:dyDescent="0.3">
      <c r="A519" s="1" t="str">
        <f>HYPERLINK("https://hsdes.intel.com/resource/14013165539","14013165539")</f>
        <v>14013165539</v>
      </c>
      <c r="B519" s="1" t="s">
        <v>1062</v>
      </c>
      <c r="C519" s="1" t="s">
        <v>89</v>
      </c>
      <c r="D519" s="1" t="s">
        <v>1683</v>
      </c>
      <c r="E519" s="1" t="s">
        <v>1698</v>
      </c>
      <c r="F519" s="1" t="s">
        <v>1729</v>
      </c>
      <c r="H519" s="1" t="s">
        <v>1707</v>
      </c>
      <c r="I519" s="1" t="s">
        <v>1721</v>
      </c>
      <c r="L519" s="4">
        <v>44802</v>
      </c>
      <c r="M519" s="1" t="s">
        <v>23</v>
      </c>
      <c r="N519" s="1" t="s">
        <v>1063</v>
      </c>
      <c r="O519" s="1" t="s">
        <v>10</v>
      </c>
    </row>
    <row r="520" spans="1:15" x14ac:dyDescent="0.3">
      <c r="A520" s="1" t="str">
        <f>HYPERLINK("https://hsdes.intel.com/resource/14013165547","14013165547")</f>
        <v>14013165547</v>
      </c>
      <c r="B520" s="1" t="s">
        <v>1064</v>
      </c>
      <c r="C520" s="1" t="s">
        <v>68</v>
      </c>
      <c r="D520" s="1" t="s">
        <v>1683</v>
      </c>
      <c r="E520" s="1" t="s">
        <v>1698</v>
      </c>
      <c r="F520" s="1" t="s">
        <v>1729</v>
      </c>
      <c r="H520" s="1" t="s">
        <v>1717</v>
      </c>
      <c r="I520" s="1" t="s">
        <v>1671</v>
      </c>
      <c r="L520" s="4">
        <v>44803</v>
      </c>
      <c r="M520" s="1" t="s">
        <v>15</v>
      </c>
      <c r="N520" s="1" t="s">
        <v>1065</v>
      </c>
      <c r="O520" s="1" t="s">
        <v>7</v>
      </c>
    </row>
    <row r="521" spans="1:15" x14ac:dyDescent="0.3">
      <c r="A521" s="1" t="str">
        <f>HYPERLINK("https://hsdes.intel.com/resource/14013165602","14013165602")</f>
        <v>14013165602</v>
      </c>
      <c r="B521" s="11" t="s">
        <v>1066</v>
      </c>
      <c r="C521" s="1" t="s">
        <v>59</v>
      </c>
      <c r="D521" s="1" t="s">
        <v>1683</v>
      </c>
      <c r="E521" s="1" t="s">
        <v>1698</v>
      </c>
      <c r="F521" s="1" t="s">
        <v>1729</v>
      </c>
      <c r="H521" s="8" t="s">
        <v>1707</v>
      </c>
      <c r="I521" s="1" t="s">
        <v>1671</v>
      </c>
      <c r="L521" s="4">
        <v>44803</v>
      </c>
      <c r="M521" s="1" t="s">
        <v>76</v>
      </c>
      <c r="N521" s="1" t="s">
        <v>1067</v>
      </c>
      <c r="O521" s="1" t="s">
        <v>10</v>
      </c>
    </row>
    <row r="522" spans="1:15" x14ac:dyDescent="0.3">
      <c r="A522" s="1" t="str">
        <f>HYPERLINK("https://hsdes.intel.com/resource/14013165927","14013165927")</f>
        <v>14013165927</v>
      </c>
      <c r="B522" s="1" t="s">
        <v>1068</v>
      </c>
      <c r="C522" s="1" t="s">
        <v>98</v>
      </c>
      <c r="D522" s="1" t="s">
        <v>1683</v>
      </c>
      <c r="E522" s="1" t="s">
        <v>1698</v>
      </c>
      <c r="F522" s="1" t="s">
        <v>1729</v>
      </c>
      <c r="H522" s="1" t="s">
        <v>1707</v>
      </c>
      <c r="I522" s="1" t="s">
        <v>1673</v>
      </c>
      <c r="L522" s="4">
        <v>44797</v>
      </c>
      <c r="M522" s="1" t="s">
        <v>76</v>
      </c>
      <c r="N522" s="1" t="s">
        <v>1069</v>
      </c>
      <c r="O522" s="1" t="s">
        <v>10</v>
      </c>
    </row>
    <row r="523" spans="1:15" x14ac:dyDescent="0.3">
      <c r="A523" s="1" t="str">
        <f>HYPERLINK("https://hsdes.intel.com/resource/14013165985","14013165985")</f>
        <v>14013165985</v>
      </c>
      <c r="B523" s="1" t="s">
        <v>1070</v>
      </c>
      <c r="C523" s="1" t="s">
        <v>22</v>
      </c>
      <c r="D523" s="1" t="s">
        <v>1683</v>
      </c>
      <c r="E523" s="1" t="s">
        <v>1698</v>
      </c>
      <c r="F523" s="1" t="s">
        <v>1729</v>
      </c>
      <c r="H523" s="1" t="s">
        <v>1708</v>
      </c>
      <c r="I523" s="1" t="s">
        <v>1671</v>
      </c>
      <c r="L523" s="4">
        <v>44802</v>
      </c>
      <c r="M523" s="1" t="s">
        <v>23</v>
      </c>
      <c r="N523" s="1" t="s">
        <v>1071</v>
      </c>
      <c r="O523" s="1" t="s">
        <v>10</v>
      </c>
    </row>
    <row r="524" spans="1:15" x14ac:dyDescent="0.3">
      <c r="A524" s="1" t="str">
        <f>HYPERLINK("https://hsdes.intel.com/resource/14013166087","14013166087")</f>
        <v>14013166087</v>
      </c>
      <c r="B524" s="1" t="s">
        <v>1072</v>
      </c>
      <c r="C524" s="1" t="s">
        <v>368</v>
      </c>
      <c r="D524" s="1" t="s">
        <v>1683</v>
      </c>
      <c r="E524" s="1" t="s">
        <v>1698</v>
      </c>
      <c r="F524" s="1" t="s">
        <v>1729</v>
      </c>
      <c r="H524" s="1" t="s">
        <v>1674</v>
      </c>
      <c r="I524" s="1" t="s">
        <v>1674</v>
      </c>
      <c r="M524" s="1" t="s">
        <v>19</v>
      </c>
      <c r="N524" s="1" t="s">
        <v>1073</v>
      </c>
      <c r="O524" s="1" t="s">
        <v>10</v>
      </c>
    </row>
    <row r="525" spans="1:15" x14ac:dyDescent="0.3">
      <c r="A525" s="1" t="str">
        <f>HYPERLINK("https://hsdes.intel.com/resource/14013166210","14013166210")</f>
        <v>14013166210</v>
      </c>
      <c r="B525" s="1" t="s">
        <v>1074</v>
      </c>
      <c r="C525" s="1" t="s">
        <v>368</v>
      </c>
      <c r="D525" s="1" t="s">
        <v>1683</v>
      </c>
      <c r="E525" s="1" t="s">
        <v>1698</v>
      </c>
      <c r="F525" s="1" t="s">
        <v>1729</v>
      </c>
      <c r="H525" s="1" t="s">
        <v>1674</v>
      </c>
      <c r="I525" s="1" t="s">
        <v>1674</v>
      </c>
      <c r="M525" s="1" t="s">
        <v>19</v>
      </c>
      <c r="N525" s="1" t="s">
        <v>1075</v>
      </c>
      <c r="O525" s="1" t="s">
        <v>10</v>
      </c>
    </row>
    <row r="526" spans="1:15" x14ac:dyDescent="0.3">
      <c r="A526" s="1" t="str">
        <f>HYPERLINK("https://hsdes.intel.com/resource/14013166261","14013166261")</f>
        <v>14013166261</v>
      </c>
      <c r="B526" s="1" t="s">
        <v>1076</v>
      </c>
      <c r="C526" s="1" t="s">
        <v>59</v>
      </c>
      <c r="D526" s="1" t="s">
        <v>1683</v>
      </c>
      <c r="E526" s="1" t="s">
        <v>1698</v>
      </c>
      <c r="F526" s="1" t="s">
        <v>1729</v>
      </c>
      <c r="H526" s="1" t="s">
        <v>1707</v>
      </c>
      <c r="I526" s="1" t="s">
        <v>1720</v>
      </c>
      <c r="L526" s="4">
        <v>44802</v>
      </c>
      <c r="M526" s="1" t="s">
        <v>76</v>
      </c>
      <c r="N526" s="1" t="s">
        <v>1077</v>
      </c>
      <c r="O526" s="1" t="s">
        <v>7</v>
      </c>
    </row>
    <row r="527" spans="1:15" x14ac:dyDescent="0.3">
      <c r="A527" s="1" t="str">
        <f>HYPERLINK("https://hsdes.intel.com/resource/14013166930","14013166930")</f>
        <v>14013166930</v>
      </c>
      <c r="B527" s="1" t="s">
        <v>1078</v>
      </c>
      <c r="C527" s="1" t="s">
        <v>22</v>
      </c>
      <c r="D527" s="1" t="s">
        <v>1683</v>
      </c>
      <c r="E527" s="1" t="s">
        <v>1698</v>
      </c>
      <c r="F527" s="1" t="s">
        <v>1729</v>
      </c>
      <c r="H527" s="1" t="s">
        <v>1707</v>
      </c>
      <c r="I527" s="1" t="s">
        <v>1720</v>
      </c>
      <c r="K527" s="1" t="s">
        <v>1676</v>
      </c>
      <c r="L527" s="4">
        <v>44802</v>
      </c>
      <c r="M527" s="1" t="s">
        <v>23</v>
      </c>
      <c r="N527" s="1" t="s">
        <v>1079</v>
      </c>
      <c r="O527" s="1" t="s">
        <v>10</v>
      </c>
    </row>
    <row r="528" spans="1:15" x14ac:dyDescent="0.3">
      <c r="A528" s="1" t="str">
        <f>HYPERLINK("https://hsdes.intel.com/resource/14013166939","14013166939")</f>
        <v>14013166939</v>
      </c>
      <c r="B528" s="1" t="s">
        <v>1080</v>
      </c>
      <c r="C528" s="1" t="s">
        <v>22</v>
      </c>
      <c r="D528" s="1" t="s">
        <v>1683</v>
      </c>
      <c r="E528" s="1" t="s">
        <v>1698</v>
      </c>
      <c r="F528" s="1" t="s">
        <v>1729</v>
      </c>
      <c r="H528" s="1" t="s">
        <v>1707</v>
      </c>
      <c r="I528" s="1" t="s">
        <v>1671</v>
      </c>
      <c r="K528" s="1" t="s">
        <v>1676</v>
      </c>
      <c r="L528" s="4">
        <v>44802</v>
      </c>
      <c r="M528" s="1" t="s">
        <v>23</v>
      </c>
      <c r="N528" s="1" t="s">
        <v>1081</v>
      </c>
      <c r="O528" s="1" t="s">
        <v>10</v>
      </c>
    </row>
    <row r="529" spans="1:15" x14ac:dyDescent="0.3">
      <c r="A529" s="1" t="str">
        <f>HYPERLINK("https://hsdes.intel.com/resource/14013166943","14013166943")</f>
        <v>14013166943</v>
      </c>
      <c r="B529" s="1" t="s">
        <v>1082</v>
      </c>
      <c r="C529" s="1" t="s">
        <v>22</v>
      </c>
      <c r="D529" s="1" t="s">
        <v>1683</v>
      </c>
      <c r="E529" s="1" t="s">
        <v>1698</v>
      </c>
      <c r="F529" s="1" t="s">
        <v>1729</v>
      </c>
      <c r="H529" s="1" t="s">
        <v>1674</v>
      </c>
      <c r="I529" s="1" t="s">
        <v>1674</v>
      </c>
      <c r="M529" s="1" t="s">
        <v>23</v>
      </c>
      <c r="N529" s="1" t="s">
        <v>1083</v>
      </c>
      <c r="O529" s="1" t="s">
        <v>10</v>
      </c>
    </row>
    <row r="530" spans="1:15" x14ac:dyDescent="0.3">
      <c r="A530" s="1" t="str">
        <f>HYPERLINK("https://hsdes.intel.com/resource/14013166951","14013166951")</f>
        <v>14013166951</v>
      </c>
      <c r="B530" s="1" t="s">
        <v>1084</v>
      </c>
      <c r="C530" s="1" t="s">
        <v>22</v>
      </c>
      <c r="D530" s="1" t="s">
        <v>1683</v>
      </c>
      <c r="E530" s="1" t="s">
        <v>1698</v>
      </c>
      <c r="F530" s="1" t="s">
        <v>1729</v>
      </c>
      <c r="H530" s="1" t="s">
        <v>1707</v>
      </c>
      <c r="I530" s="1" t="s">
        <v>1721</v>
      </c>
      <c r="K530" s="1" t="s">
        <v>1724</v>
      </c>
      <c r="L530" s="4">
        <v>44802</v>
      </c>
      <c r="M530" s="1" t="s">
        <v>15</v>
      </c>
      <c r="N530" s="1" t="s">
        <v>1085</v>
      </c>
      <c r="O530" s="1" t="s">
        <v>10</v>
      </c>
    </row>
    <row r="531" spans="1:15" x14ac:dyDescent="0.3">
      <c r="A531" s="1" t="str">
        <f>HYPERLINK("https://hsdes.intel.com/resource/14013166957","14013166957")</f>
        <v>14013166957</v>
      </c>
      <c r="B531" s="1" t="s">
        <v>1086</v>
      </c>
      <c r="C531" s="1" t="s">
        <v>22</v>
      </c>
      <c r="D531" s="1" t="s">
        <v>1683</v>
      </c>
      <c r="E531" s="1" t="s">
        <v>1698</v>
      </c>
      <c r="F531" s="1" t="s">
        <v>1729</v>
      </c>
      <c r="H531" s="1" t="s">
        <v>1707</v>
      </c>
      <c r="I531" s="1" t="s">
        <v>1672</v>
      </c>
      <c r="K531" s="1" t="s">
        <v>1676</v>
      </c>
      <c r="L531" s="4">
        <v>44799</v>
      </c>
      <c r="M531" s="1" t="s">
        <v>23</v>
      </c>
      <c r="N531" s="1" t="s">
        <v>1087</v>
      </c>
      <c r="O531" s="1" t="s">
        <v>7</v>
      </c>
    </row>
    <row r="532" spans="1:15" x14ac:dyDescent="0.3">
      <c r="A532" s="1" t="str">
        <f>HYPERLINK("https://hsdes.intel.com/resource/14013166966","14013166966")</f>
        <v>14013166966</v>
      </c>
      <c r="B532" s="1" t="s">
        <v>1088</v>
      </c>
      <c r="C532" s="1" t="s">
        <v>22</v>
      </c>
      <c r="D532" s="1" t="s">
        <v>1683</v>
      </c>
      <c r="E532" s="1" t="s">
        <v>1698</v>
      </c>
      <c r="F532" s="1" t="s">
        <v>1729</v>
      </c>
      <c r="H532" s="1" t="s">
        <v>1707</v>
      </c>
      <c r="I532" s="1" t="s">
        <v>1672</v>
      </c>
      <c r="K532" s="1" t="s">
        <v>1676</v>
      </c>
      <c r="L532" s="4">
        <v>44799</v>
      </c>
      <c r="M532" s="1" t="s">
        <v>23</v>
      </c>
      <c r="N532" s="1" t="s">
        <v>1089</v>
      </c>
      <c r="O532" s="1" t="s">
        <v>10</v>
      </c>
    </row>
    <row r="533" spans="1:15" x14ac:dyDescent="0.3">
      <c r="A533" s="1" t="str">
        <f>HYPERLINK("https://hsdes.intel.com/resource/14013166973","14013166973")</f>
        <v>14013166973</v>
      </c>
      <c r="B533" s="11" t="s">
        <v>1090</v>
      </c>
      <c r="C533" s="1" t="s">
        <v>22</v>
      </c>
      <c r="D533" s="1" t="s">
        <v>1684</v>
      </c>
      <c r="E533" s="1" t="s">
        <v>1698</v>
      </c>
      <c r="F533" s="1" t="s">
        <v>1729</v>
      </c>
      <c r="H533" s="1" t="s">
        <v>1707</v>
      </c>
      <c r="I533" s="1" t="s">
        <v>1721</v>
      </c>
      <c r="K533" s="1" t="s">
        <v>1676</v>
      </c>
      <c r="L533" s="4">
        <v>44802</v>
      </c>
      <c r="M533" s="1" t="s">
        <v>23</v>
      </c>
      <c r="N533" s="1" t="s">
        <v>1091</v>
      </c>
      <c r="O533" s="1" t="s">
        <v>10</v>
      </c>
    </row>
    <row r="534" spans="1:15" x14ac:dyDescent="0.3">
      <c r="A534" s="12" t="str">
        <f>HYPERLINK("https://hsdes.intel.com/resource/14013166980","14013166980")</f>
        <v>14013166980</v>
      </c>
      <c r="B534" s="1" t="s">
        <v>1092</v>
      </c>
      <c r="C534" s="1" t="s">
        <v>22</v>
      </c>
      <c r="D534" s="1" t="s">
        <v>1683</v>
      </c>
      <c r="E534" s="1" t="s">
        <v>1698</v>
      </c>
      <c r="F534" s="1" t="s">
        <v>1729</v>
      </c>
      <c r="H534" s="1" t="s">
        <v>1707</v>
      </c>
      <c r="I534" s="1" t="s">
        <v>1722</v>
      </c>
      <c r="L534" s="4">
        <v>44802</v>
      </c>
      <c r="M534" s="1" t="s">
        <v>23</v>
      </c>
      <c r="N534" s="1" t="s">
        <v>1093</v>
      </c>
      <c r="O534" s="1" t="s">
        <v>10</v>
      </c>
    </row>
    <row r="535" spans="1:15" x14ac:dyDescent="0.3">
      <c r="A535" s="1" t="str">
        <f>HYPERLINK("https://hsdes.intel.com/resource/14013166986","14013166986")</f>
        <v>14013166986</v>
      </c>
      <c r="B535" s="1" t="s">
        <v>1094</v>
      </c>
      <c r="C535" s="1" t="s">
        <v>22</v>
      </c>
      <c r="D535" s="1" t="s">
        <v>1683</v>
      </c>
      <c r="E535" s="1" t="s">
        <v>1698</v>
      </c>
      <c r="F535" s="1" t="s">
        <v>1729</v>
      </c>
      <c r="H535" s="1" t="s">
        <v>1707</v>
      </c>
      <c r="I535" s="1" t="s">
        <v>1673</v>
      </c>
      <c r="L535" s="4">
        <v>44797</v>
      </c>
      <c r="M535" s="1" t="s">
        <v>23</v>
      </c>
      <c r="N535" s="1" t="s">
        <v>1095</v>
      </c>
      <c r="O535" s="1" t="s">
        <v>10</v>
      </c>
    </row>
    <row r="536" spans="1:15" x14ac:dyDescent="0.3">
      <c r="A536" s="1" t="str">
        <f>HYPERLINK("https://hsdes.intel.com/resource/14013166995","14013166995")</f>
        <v>14013166995</v>
      </c>
      <c r="B536" s="1" t="s">
        <v>1096</v>
      </c>
      <c r="C536" s="1" t="s">
        <v>22</v>
      </c>
      <c r="D536" s="1" t="s">
        <v>1683</v>
      </c>
      <c r="E536" s="1" t="s">
        <v>1698</v>
      </c>
      <c r="F536" s="1" t="s">
        <v>1729</v>
      </c>
      <c r="H536" s="1" t="s">
        <v>1707</v>
      </c>
      <c r="I536" s="1" t="s">
        <v>1673</v>
      </c>
      <c r="L536" s="4">
        <v>44803</v>
      </c>
      <c r="M536" s="1" t="s">
        <v>23</v>
      </c>
      <c r="N536" s="1" t="s">
        <v>1097</v>
      </c>
      <c r="O536" s="1" t="s">
        <v>10</v>
      </c>
    </row>
    <row r="537" spans="1:15" x14ac:dyDescent="0.3">
      <c r="A537" s="12" t="str">
        <f>HYPERLINK("https://hsdes.intel.com/resource/14013167008","14013167008")</f>
        <v>14013167008</v>
      </c>
      <c r="B537" s="11" t="s">
        <v>1098</v>
      </c>
      <c r="C537" s="1" t="s">
        <v>22</v>
      </c>
      <c r="D537" s="1" t="s">
        <v>1683</v>
      </c>
      <c r="E537" s="1" t="s">
        <v>1698</v>
      </c>
      <c r="F537" s="1" t="s">
        <v>1729</v>
      </c>
      <c r="H537" s="1" t="s">
        <v>1707</v>
      </c>
      <c r="I537" s="1" t="s">
        <v>1672</v>
      </c>
      <c r="K537" s="1" t="s">
        <v>1716</v>
      </c>
      <c r="L537" s="4">
        <v>44803</v>
      </c>
      <c r="M537" s="1" t="s">
        <v>23</v>
      </c>
      <c r="N537" s="1" t="s">
        <v>1099</v>
      </c>
      <c r="O537" s="1" t="s">
        <v>7</v>
      </c>
    </row>
    <row r="538" spans="1:15" x14ac:dyDescent="0.3">
      <c r="A538" s="1" t="str">
        <f>HYPERLINK("https://hsdes.intel.com/resource/14013167011","14013167011")</f>
        <v>14013167011</v>
      </c>
      <c r="B538" s="1" t="s">
        <v>1100</v>
      </c>
      <c r="C538" s="1" t="s">
        <v>22</v>
      </c>
      <c r="D538" s="1" t="s">
        <v>1683</v>
      </c>
      <c r="E538" s="1" t="s">
        <v>1698</v>
      </c>
      <c r="F538" s="1" t="s">
        <v>1729</v>
      </c>
      <c r="H538" s="1" t="s">
        <v>1707</v>
      </c>
      <c r="I538" s="1" t="s">
        <v>1671</v>
      </c>
      <c r="L538" s="4">
        <v>44798</v>
      </c>
      <c r="M538" s="1" t="s">
        <v>23</v>
      </c>
      <c r="N538" s="1" t="s">
        <v>1101</v>
      </c>
      <c r="O538" s="1" t="s">
        <v>10</v>
      </c>
    </row>
    <row r="539" spans="1:15" x14ac:dyDescent="0.3">
      <c r="A539" s="1" t="str">
        <f>HYPERLINK("https://hsdes.intel.com/resource/14013167036","14013167036")</f>
        <v>14013167036</v>
      </c>
      <c r="B539" s="1" t="s">
        <v>1102</v>
      </c>
      <c r="C539" s="1" t="s">
        <v>22</v>
      </c>
      <c r="D539" s="1" t="s">
        <v>1683</v>
      </c>
      <c r="E539" s="1" t="s">
        <v>1698</v>
      </c>
      <c r="F539" s="1" t="s">
        <v>1729</v>
      </c>
      <c r="H539" s="1" t="s">
        <v>1674</v>
      </c>
      <c r="I539" s="1" t="s">
        <v>1674</v>
      </c>
      <c r="M539" s="1" t="s">
        <v>23</v>
      </c>
      <c r="N539" s="1" t="s">
        <v>1103</v>
      </c>
      <c r="O539" s="1" t="s">
        <v>10</v>
      </c>
    </row>
    <row r="540" spans="1:15" x14ac:dyDescent="0.3">
      <c r="A540" s="1" t="str">
        <f>HYPERLINK("https://hsdes.intel.com/resource/14013167043","14013167043")</f>
        <v>14013167043</v>
      </c>
      <c r="B540" s="11" t="s">
        <v>1104</v>
      </c>
      <c r="C540" s="1" t="s">
        <v>22</v>
      </c>
      <c r="D540" s="1" t="s">
        <v>1683</v>
      </c>
      <c r="E540" s="1" t="s">
        <v>1698</v>
      </c>
      <c r="F540" s="1" t="s">
        <v>1729</v>
      </c>
      <c r="H540" s="1" t="s">
        <v>1707</v>
      </c>
      <c r="I540" s="1" t="s">
        <v>1672</v>
      </c>
      <c r="K540" s="1" t="s">
        <v>1676</v>
      </c>
      <c r="L540" s="4">
        <v>44803</v>
      </c>
      <c r="M540" s="1" t="s">
        <v>23</v>
      </c>
      <c r="N540" s="1" t="s">
        <v>1105</v>
      </c>
      <c r="O540" s="1" t="s">
        <v>10</v>
      </c>
    </row>
    <row r="541" spans="1:15" x14ac:dyDescent="0.3">
      <c r="A541" s="1" t="str">
        <f>HYPERLINK("https://hsdes.intel.com/resource/14013167054","14013167054")</f>
        <v>14013167054</v>
      </c>
      <c r="B541" s="1" t="s">
        <v>1106</v>
      </c>
      <c r="C541" s="1" t="s">
        <v>22</v>
      </c>
      <c r="D541" s="1" t="s">
        <v>1683</v>
      </c>
      <c r="E541" s="1" t="s">
        <v>1698</v>
      </c>
      <c r="F541" s="1" t="s">
        <v>1729</v>
      </c>
      <c r="H541" s="1" t="s">
        <v>1707</v>
      </c>
      <c r="I541" s="1" t="s">
        <v>1671</v>
      </c>
      <c r="L541" s="4">
        <v>44802</v>
      </c>
      <c r="M541" s="1" t="s">
        <v>23</v>
      </c>
      <c r="N541" s="1" t="s">
        <v>1107</v>
      </c>
      <c r="O541" s="1" t="s">
        <v>7</v>
      </c>
    </row>
    <row r="542" spans="1:15" x14ac:dyDescent="0.3">
      <c r="A542" s="1" t="str">
        <f>HYPERLINK("https://hsdes.intel.com/resource/14013167072","14013167072")</f>
        <v>14013167072</v>
      </c>
      <c r="B542" s="1" t="s">
        <v>1108</v>
      </c>
      <c r="C542" s="1" t="s">
        <v>22</v>
      </c>
      <c r="D542" s="1" t="s">
        <v>1683</v>
      </c>
      <c r="E542" s="1" t="s">
        <v>1698</v>
      </c>
      <c r="F542" s="1" t="s">
        <v>1729</v>
      </c>
      <c r="H542" s="1" t="s">
        <v>1674</v>
      </c>
      <c r="I542" s="1" t="s">
        <v>1674</v>
      </c>
      <c r="M542" s="1" t="s">
        <v>23</v>
      </c>
      <c r="N542" s="1" t="s">
        <v>1109</v>
      </c>
      <c r="O542" s="1" t="s">
        <v>10</v>
      </c>
    </row>
    <row r="543" spans="1:15" x14ac:dyDescent="0.3">
      <c r="A543" s="1" t="str">
        <f>HYPERLINK("https://hsdes.intel.com/resource/14013167252","14013167252")</f>
        <v>14013167252</v>
      </c>
      <c r="B543" s="11" t="s">
        <v>1110</v>
      </c>
      <c r="C543" s="1" t="s">
        <v>22</v>
      </c>
      <c r="D543" s="1" t="s">
        <v>1683</v>
      </c>
      <c r="E543" s="1" t="s">
        <v>1698</v>
      </c>
      <c r="F543" s="1" t="s">
        <v>1729</v>
      </c>
      <c r="H543" s="1" t="s">
        <v>1707</v>
      </c>
      <c r="I543" s="1" t="s">
        <v>1672</v>
      </c>
      <c r="L543" s="4">
        <v>44803</v>
      </c>
      <c r="M543" s="1" t="s">
        <v>23</v>
      </c>
      <c r="N543" s="1" t="s">
        <v>1111</v>
      </c>
      <c r="O543" s="1" t="s">
        <v>10</v>
      </c>
    </row>
    <row r="544" spans="1:15" x14ac:dyDescent="0.3">
      <c r="A544" s="1" t="str">
        <f>HYPERLINK("https://hsdes.intel.com/resource/14013167336","14013167336")</f>
        <v>14013167336</v>
      </c>
      <c r="B544" s="1" t="s">
        <v>1112</v>
      </c>
      <c r="C544" s="1" t="s">
        <v>22</v>
      </c>
      <c r="D544" s="1" t="s">
        <v>1683</v>
      </c>
      <c r="E544" s="1" t="s">
        <v>1698</v>
      </c>
      <c r="F544" s="1" t="s">
        <v>1729</v>
      </c>
      <c r="H544" s="1" t="s">
        <v>1674</v>
      </c>
      <c r="I544" s="1" t="s">
        <v>1674</v>
      </c>
      <c r="M544" s="1" t="s">
        <v>23</v>
      </c>
      <c r="N544" s="1" t="s">
        <v>1113</v>
      </c>
      <c r="O544" s="1" t="s">
        <v>32</v>
      </c>
    </row>
    <row r="545" spans="1:15" x14ac:dyDescent="0.3">
      <c r="A545" s="1" t="str">
        <f>HYPERLINK("https://hsdes.intel.com/resource/14013167355","14013167355")</f>
        <v>14013167355</v>
      </c>
      <c r="B545" s="1" t="s">
        <v>1114</v>
      </c>
      <c r="C545" s="1" t="s">
        <v>22</v>
      </c>
      <c r="D545" s="1" t="s">
        <v>1683</v>
      </c>
      <c r="E545" s="1" t="s">
        <v>1698</v>
      </c>
      <c r="F545" s="1" t="s">
        <v>1729</v>
      </c>
      <c r="H545" s="1" t="s">
        <v>1674</v>
      </c>
      <c r="I545" s="1" t="s">
        <v>1674</v>
      </c>
      <c r="M545" s="1" t="s">
        <v>23</v>
      </c>
      <c r="N545" s="1" t="s">
        <v>1115</v>
      </c>
      <c r="O545" s="1" t="s">
        <v>32</v>
      </c>
    </row>
    <row r="546" spans="1:15" x14ac:dyDescent="0.3">
      <c r="A546" s="1" t="str">
        <f>HYPERLINK("https://hsdes.intel.com/resource/14013167380","14013167380")</f>
        <v>14013167380</v>
      </c>
      <c r="B546" s="1" t="s">
        <v>1116</v>
      </c>
      <c r="C546" s="1" t="s">
        <v>22</v>
      </c>
      <c r="D546" s="1" t="s">
        <v>1683</v>
      </c>
      <c r="E546" s="1" t="s">
        <v>1698</v>
      </c>
      <c r="F546" s="1" t="s">
        <v>1729</v>
      </c>
      <c r="H546" s="1" t="s">
        <v>1674</v>
      </c>
      <c r="I546" s="1" t="s">
        <v>1674</v>
      </c>
      <c r="M546" s="1" t="s">
        <v>23</v>
      </c>
      <c r="N546" s="1" t="s">
        <v>1117</v>
      </c>
      <c r="O546" s="1" t="s">
        <v>32</v>
      </c>
    </row>
    <row r="547" spans="1:15" x14ac:dyDescent="0.3">
      <c r="A547" s="1" t="str">
        <f>HYPERLINK("https://hsdes.intel.com/resource/14013167579","14013167579")</f>
        <v>14013167579</v>
      </c>
      <c r="B547" s="1" t="s">
        <v>1118</v>
      </c>
      <c r="C547" s="1" t="s">
        <v>22</v>
      </c>
      <c r="D547" s="1" t="s">
        <v>1683</v>
      </c>
      <c r="E547" s="1" t="s">
        <v>1698</v>
      </c>
      <c r="F547" s="1" t="s">
        <v>1729</v>
      </c>
      <c r="H547" s="1" t="s">
        <v>1674</v>
      </c>
      <c r="I547" s="1" t="s">
        <v>1674</v>
      </c>
      <c r="M547" s="1" t="s">
        <v>23</v>
      </c>
      <c r="N547" s="1" t="s">
        <v>1119</v>
      </c>
      <c r="O547" s="1" t="s">
        <v>32</v>
      </c>
    </row>
    <row r="548" spans="1:15" x14ac:dyDescent="0.3">
      <c r="A548" s="1" t="str">
        <f>HYPERLINK("https://hsdes.intel.com/resource/14013168136","14013168136")</f>
        <v>14013168136</v>
      </c>
      <c r="B548" s="1" t="s">
        <v>1120</v>
      </c>
      <c r="C548" s="1" t="s">
        <v>125</v>
      </c>
      <c r="D548" s="1" t="s">
        <v>1683</v>
      </c>
      <c r="E548" s="1" t="s">
        <v>1698</v>
      </c>
      <c r="F548" s="1" t="s">
        <v>1729</v>
      </c>
      <c r="H548" s="1" t="s">
        <v>1707</v>
      </c>
      <c r="I548" s="1" t="s">
        <v>1720</v>
      </c>
      <c r="L548" s="4">
        <v>44802</v>
      </c>
      <c r="M548" s="1" t="s">
        <v>37</v>
      </c>
      <c r="N548" s="1" t="s">
        <v>1121</v>
      </c>
      <c r="O548" s="1" t="s">
        <v>10</v>
      </c>
    </row>
    <row r="549" spans="1:15" x14ac:dyDescent="0.3">
      <c r="A549" s="1" t="str">
        <f>HYPERLINK("https://hsdes.intel.com/resource/14013168337","14013168337")</f>
        <v>14013168337</v>
      </c>
      <c r="B549" s="1" t="s">
        <v>1122</v>
      </c>
      <c r="C549" s="1" t="s">
        <v>125</v>
      </c>
      <c r="D549" s="1" t="s">
        <v>1683</v>
      </c>
      <c r="E549" s="1" t="s">
        <v>1698</v>
      </c>
      <c r="F549" s="1" t="s">
        <v>1729</v>
      </c>
      <c r="H549" s="1" t="s">
        <v>1707</v>
      </c>
      <c r="I549" s="1" t="s">
        <v>1721</v>
      </c>
      <c r="L549" s="4">
        <v>44802</v>
      </c>
      <c r="M549" s="1" t="s">
        <v>37</v>
      </c>
      <c r="N549" s="1" t="s">
        <v>1123</v>
      </c>
      <c r="O549" s="1" t="s">
        <v>10</v>
      </c>
    </row>
    <row r="550" spans="1:15" x14ac:dyDescent="0.3">
      <c r="A550" s="1" t="str">
        <f>HYPERLINK("https://hsdes.intel.com/resource/14013168352","14013168352")</f>
        <v>14013168352</v>
      </c>
      <c r="B550" s="1" t="s">
        <v>1124</v>
      </c>
      <c r="C550" s="1" t="s">
        <v>125</v>
      </c>
      <c r="D550" s="1" t="s">
        <v>1683</v>
      </c>
      <c r="E550" s="1" t="s">
        <v>1698</v>
      </c>
      <c r="F550" s="1" t="s">
        <v>1729</v>
      </c>
      <c r="H550" s="1" t="s">
        <v>1707</v>
      </c>
      <c r="I550" s="1" t="s">
        <v>1672</v>
      </c>
      <c r="L550" s="4">
        <v>44799</v>
      </c>
      <c r="M550" s="1" t="s">
        <v>37</v>
      </c>
      <c r="N550" s="1" t="s">
        <v>1125</v>
      </c>
      <c r="O550" s="1" t="s">
        <v>10</v>
      </c>
    </row>
    <row r="551" spans="1:15" x14ac:dyDescent="0.3">
      <c r="A551" s="1" t="str">
        <f>HYPERLINK("https://hsdes.intel.com/resource/14013168358","14013168358")</f>
        <v>14013168358</v>
      </c>
      <c r="B551" s="1" t="s">
        <v>1126</v>
      </c>
      <c r="C551" s="1" t="s">
        <v>125</v>
      </c>
      <c r="D551" s="1" t="s">
        <v>1683</v>
      </c>
      <c r="E551" s="1" t="s">
        <v>1698</v>
      </c>
      <c r="F551" s="1" t="s">
        <v>1729</v>
      </c>
      <c r="H551" s="1" t="s">
        <v>1707</v>
      </c>
      <c r="I551" s="1" t="s">
        <v>1672</v>
      </c>
      <c r="L551" s="4">
        <v>44799</v>
      </c>
      <c r="M551" s="1" t="s">
        <v>37</v>
      </c>
      <c r="N551" s="1" t="s">
        <v>1127</v>
      </c>
      <c r="O551" s="1" t="s">
        <v>10</v>
      </c>
    </row>
    <row r="552" spans="1:15" x14ac:dyDescent="0.3">
      <c r="A552" s="1" t="str">
        <f>HYPERLINK("https://hsdes.intel.com/resource/14013168370","14013168370")</f>
        <v>14013168370</v>
      </c>
      <c r="B552" s="1" t="s">
        <v>1128</v>
      </c>
      <c r="C552" s="1" t="s">
        <v>125</v>
      </c>
      <c r="D552" s="1" t="s">
        <v>1684</v>
      </c>
      <c r="E552" s="1" t="s">
        <v>1698</v>
      </c>
      <c r="F552" s="1" t="s">
        <v>1729</v>
      </c>
      <c r="H552" s="1" t="s">
        <v>1707</v>
      </c>
      <c r="I552" s="1" t="s">
        <v>1726</v>
      </c>
      <c r="L552" s="4">
        <v>44803</v>
      </c>
      <c r="M552" s="1" t="s">
        <v>37</v>
      </c>
      <c r="N552" s="1" t="s">
        <v>1129</v>
      </c>
      <c r="O552" s="1" t="s">
        <v>10</v>
      </c>
    </row>
    <row r="553" spans="1:15" x14ac:dyDescent="0.3">
      <c r="A553" s="1" t="str">
        <f>HYPERLINK("https://hsdes.intel.com/resource/14013168420","14013168420")</f>
        <v>14013168420</v>
      </c>
      <c r="B553" s="1" t="s">
        <v>1130</v>
      </c>
      <c r="C553" s="1" t="s">
        <v>125</v>
      </c>
      <c r="D553" s="1" t="s">
        <v>1683</v>
      </c>
      <c r="E553" s="1" t="s">
        <v>1698</v>
      </c>
      <c r="F553" s="1" t="s">
        <v>1729</v>
      </c>
      <c r="H553" s="1" t="s">
        <v>1707</v>
      </c>
      <c r="I553" s="1" t="s">
        <v>1671</v>
      </c>
      <c r="L553" s="4">
        <v>44802</v>
      </c>
      <c r="M553" s="1" t="s">
        <v>37</v>
      </c>
      <c r="N553" s="1" t="s">
        <v>1131</v>
      </c>
      <c r="O553" s="1" t="s">
        <v>32</v>
      </c>
    </row>
    <row r="554" spans="1:15" x14ac:dyDescent="0.3">
      <c r="A554" s="1" t="str">
        <f>HYPERLINK("https://hsdes.intel.com/resource/14013168473","14013168473")</f>
        <v>14013168473</v>
      </c>
      <c r="B554" s="1" t="s">
        <v>1132</v>
      </c>
      <c r="C554" s="1" t="s">
        <v>125</v>
      </c>
      <c r="D554" s="1" t="s">
        <v>1683</v>
      </c>
      <c r="E554" s="1" t="s">
        <v>1698</v>
      </c>
      <c r="F554" s="1" t="s">
        <v>1729</v>
      </c>
      <c r="H554" s="1" t="s">
        <v>1707</v>
      </c>
      <c r="I554" s="1" t="s">
        <v>1671</v>
      </c>
      <c r="K554" s="4"/>
      <c r="L554" s="4">
        <v>44799</v>
      </c>
      <c r="M554" s="1" t="s">
        <v>37</v>
      </c>
      <c r="N554" s="1" t="s">
        <v>1133</v>
      </c>
      <c r="O554" s="1" t="s">
        <v>10</v>
      </c>
    </row>
    <row r="555" spans="1:15" x14ac:dyDescent="0.3">
      <c r="A555" s="1" t="str">
        <f>HYPERLINK("https://hsdes.intel.com/resource/14013168646","14013168646")</f>
        <v>14013168646</v>
      </c>
      <c r="B555" s="1" t="s">
        <v>1134</v>
      </c>
      <c r="C555" s="1" t="s">
        <v>125</v>
      </c>
      <c r="D555" s="1" t="s">
        <v>1683</v>
      </c>
      <c r="E555" s="1" t="s">
        <v>1698</v>
      </c>
      <c r="F555" s="1" t="s">
        <v>1729</v>
      </c>
      <c r="H555" s="1" t="s">
        <v>1708</v>
      </c>
      <c r="I555" s="1" t="s">
        <v>1672</v>
      </c>
      <c r="L555" s="4">
        <v>44796</v>
      </c>
      <c r="M555" s="1" t="s">
        <v>37</v>
      </c>
      <c r="N555" s="1" t="s">
        <v>1135</v>
      </c>
      <c r="O555" s="1" t="s">
        <v>7</v>
      </c>
    </row>
    <row r="556" spans="1:15" x14ac:dyDescent="0.3">
      <c r="A556" s="1" t="str">
        <f>HYPERLINK("https://hsdes.intel.com/resource/14013168671","14013168671")</f>
        <v>14013168671</v>
      </c>
      <c r="B556" s="1" t="s">
        <v>1136</v>
      </c>
      <c r="C556" s="1" t="s">
        <v>125</v>
      </c>
      <c r="D556" s="1" t="s">
        <v>1684</v>
      </c>
      <c r="E556" s="1" t="s">
        <v>1698</v>
      </c>
      <c r="F556" s="1" t="s">
        <v>1729</v>
      </c>
      <c r="H556" s="1" t="s">
        <v>1707</v>
      </c>
      <c r="I556" s="1" t="s">
        <v>1672</v>
      </c>
      <c r="L556" s="4">
        <v>44799</v>
      </c>
      <c r="M556" s="1" t="s">
        <v>37</v>
      </c>
      <c r="N556" s="1" t="s">
        <v>1137</v>
      </c>
      <c r="O556" s="1" t="s">
        <v>10</v>
      </c>
    </row>
    <row r="557" spans="1:15" x14ac:dyDescent="0.3">
      <c r="A557" s="1" t="str">
        <f>HYPERLINK("https://hsdes.intel.com/resource/14013168692","14013168692")</f>
        <v>14013168692</v>
      </c>
      <c r="B557" s="1" t="s">
        <v>1138</v>
      </c>
      <c r="C557" s="1" t="s">
        <v>125</v>
      </c>
      <c r="D557" s="1" t="s">
        <v>1683</v>
      </c>
      <c r="E557" s="1" t="s">
        <v>1698</v>
      </c>
      <c r="F557" s="1" t="s">
        <v>1729</v>
      </c>
      <c r="H557" s="1" t="s">
        <v>1707</v>
      </c>
      <c r="I557" s="1" t="s">
        <v>1672</v>
      </c>
      <c r="L557" s="4">
        <v>44802</v>
      </c>
      <c r="M557" s="1" t="s">
        <v>37</v>
      </c>
      <c r="N557" s="1" t="s">
        <v>1139</v>
      </c>
      <c r="O557" s="1" t="s">
        <v>7</v>
      </c>
    </row>
    <row r="558" spans="1:15" x14ac:dyDescent="0.3">
      <c r="A558" s="1" t="str">
        <f>HYPERLINK("https://hsdes.intel.com/resource/14013168703","14013168703")</f>
        <v>14013168703</v>
      </c>
      <c r="B558" s="1" t="s">
        <v>1140</v>
      </c>
      <c r="C558" s="1" t="s">
        <v>125</v>
      </c>
      <c r="D558" s="1" t="s">
        <v>1683</v>
      </c>
      <c r="E558" s="1" t="s">
        <v>1698</v>
      </c>
      <c r="F558" s="1" t="s">
        <v>1729</v>
      </c>
      <c r="H558" s="1" t="s">
        <v>1708</v>
      </c>
      <c r="I558" s="1" t="s">
        <v>1672</v>
      </c>
      <c r="L558" s="4">
        <v>44797</v>
      </c>
      <c r="M558" s="1" t="s">
        <v>37</v>
      </c>
      <c r="N558" s="1" t="s">
        <v>1141</v>
      </c>
      <c r="O558" s="1" t="s">
        <v>7</v>
      </c>
    </row>
    <row r="559" spans="1:15" x14ac:dyDescent="0.3">
      <c r="A559" s="1" t="str">
        <f>HYPERLINK("https://hsdes.intel.com/resource/14013168780","14013168780")</f>
        <v>14013168780</v>
      </c>
      <c r="B559" s="1" t="s">
        <v>1142</v>
      </c>
      <c r="C559" s="1" t="s">
        <v>125</v>
      </c>
      <c r="D559" s="1" t="s">
        <v>1683</v>
      </c>
      <c r="E559" s="1" t="s">
        <v>1698</v>
      </c>
      <c r="F559" s="1" t="s">
        <v>1729</v>
      </c>
      <c r="H559" s="1" t="s">
        <v>1707</v>
      </c>
      <c r="I559" s="8" t="s">
        <v>1671</v>
      </c>
      <c r="L559" s="4">
        <v>44803</v>
      </c>
      <c r="M559" s="1" t="s">
        <v>37</v>
      </c>
      <c r="N559" s="1" t="s">
        <v>1143</v>
      </c>
      <c r="O559" s="1" t="s">
        <v>7</v>
      </c>
    </row>
    <row r="560" spans="1:15" x14ac:dyDescent="0.3">
      <c r="A560" s="1" t="str">
        <f>HYPERLINK("https://hsdes.intel.com/resource/14013168846","14013168846")</f>
        <v>14013168846</v>
      </c>
      <c r="B560" s="1" t="s">
        <v>1144</v>
      </c>
      <c r="C560" s="1" t="s">
        <v>125</v>
      </c>
      <c r="D560" s="1" t="s">
        <v>1683</v>
      </c>
      <c r="E560" s="1" t="s">
        <v>1698</v>
      </c>
      <c r="F560" s="1" t="s">
        <v>1729</v>
      </c>
      <c r="H560" s="1" t="s">
        <v>1708</v>
      </c>
      <c r="I560" s="1" t="s">
        <v>1672</v>
      </c>
      <c r="L560" s="4">
        <v>44797</v>
      </c>
      <c r="M560" s="1" t="s">
        <v>37</v>
      </c>
      <c r="N560" s="1" t="s">
        <v>1145</v>
      </c>
      <c r="O560" s="1" t="s">
        <v>7</v>
      </c>
    </row>
    <row r="561" spans="1:15" x14ac:dyDescent="0.3">
      <c r="A561" s="1" t="str">
        <f>HYPERLINK("https://hsdes.intel.com/resource/14013168861","14013168861")</f>
        <v>14013168861</v>
      </c>
      <c r="B561" s="1" t="s">
        <v>1146</v>
      </c>
      <c r="C561" s="1" t="s">
        <v>125</v>
      </c>
      <c r="D561" s="1" t="s">
        <v>1683</v>
      </c>
      <c r="E561" s="1" t="s">
        <v>1698</v>
      </c>
      <c r="F561" s="1" t="s">
        <v>1729</v>
      </c>
      <c r="H561" s="1" t="s">
        <v>1715</v>
      </c>
      <c r="I561" s="1" t="s">
        <v>1671</v>
      </c>
      <c r="J561" s="10">
        <f>HYPERLINK("https://hsdes.intel.com/appstore/article/#/16016506292",16016506292)</f>
        <v>16016506292</v>
      </c>
      <c r="L561" s="4">
        <v>44803</v>
      </c>
      <c r="M561" s="1" t="s">
        <v>37</v>
      </c>
      <c r="N561" s="1" t="s">
        <v>1147</v>
      </c>
      <c r="O561" s="1" t="s">
        <v>10</v>
      </c>
    </row>
    <row r="562" spans="1:15" x14ac:dyDescent="0.3">
      <c r="A562" s="1" t="str">
        <f>HYPERLINK("https://hsdes.intel.com/resource/14013168995","14013168995")</f>
        <v>14013168995</v>
      </c>
      <c r="B562" s="1" t="s">
        <v>1148</v>
      </c>
      <c r="C562" s="1" t="s">
        <v>22</v>
      </c>
      <c r="D562" s="1" t="s">
        <v>1683</v>
      </c>
      <c r="E562" s="1" t="s">
        <v>1698</v>
      </c>
      <c r="F562" s="1" t="s">
        <v>1729</v>
      </c>
      <c r="H562" s="1" t="s">
        <v>1674</v>
      </c>
      <c r="I562" s="1" t="s">
        <v>1674</v>
      </c>
      <c r="M562" s="1" t="s">
        <v>37</v>
      </c>
      <c r="N562" s="1" t="s">
        <v>1149</v>
      </c>
      <c r="O562" s="1" t="s">
        <v>7</v>
      </c>
    </row>
    <row r="563" spans="1:15" x14ac:dyDescent="0.3">
      <c r="A563" s="1" t="str">
        <f>HYPERLINK("https://hsdes.intel.com/resource/14013169069","14013169069")</f>
        <v>14013169069</v>
      </c>
      <c r="B563" s="1" t="s">
        <v>1150</v>
      </c>
      <c r="C563" s="1" t="s">
        <v>125</v>
      </c>
      <c r="D563" s="1" t="s">
        <v>1683</v>
      </c>
      <c r="E563" s="1" t="s">
        <v>1698</v>
      </c>
      <c r="F563" s="1" t="s">
        <v>1729</v>
      </c>
      <c r="H563" s="1" t="s">
        <v>1715</v>
      </c>
      <c r="I563" s="1" t="s">
        <v>1673</v>
      </c>
      <c r="J563" s="10">
        <f>HYPERLINK("https://hsdes.intel.com/appstore/article/#/16014364203",16014364203)</f>
        <v>16014364203</v>
      </c>
      <c r="L563" s="4">
        <v>44797</v>
      </c>
      <c r="M563" s="1" t="s">
        <v>37</v>
      </c>
      <c r="N563" s="1" t="s">
        <v>1151</v>
      </c>
      <c r="O563" s="1" t="s">
        <v>32</v>
      </c>
    </row>
    <row r="564" spans="1:15" x14ac:dyDescent="0.3">
      <c r="A564" s="1" t="str">
        <f>HYPERLINK("https://hsdes.intel.com/resource/14013169083","14013169083")</f>
        <v>14013169083</v>
      </c>
      <c r="B564" s="1" t="s">
        <v>1152</v>
      </c>
      <c r="C564" s="1" t="s">
        <v>125</v>
      </c>
      <c r="D564" s="1" t="s">
        <v>1683</v>
      </c>
      <c r="E564" s="1" t="s">
        <v>1698</v>
      </c>
      <c r="F564" s="1" t="s">
        <v>1729</v>
      </c>
      <c r="H564" s="1" t="s">
        <v>1707</v>
      </c>
      <c r="I564" s="1" t="s">
        <v>1671</v>
      </c>
      <c r="L564" s="4">
        <v>44797</v>
      </c>
      <c r="M564" s="1" t="s">
        <v>37</v>
      </c>
      <c r="N564" s="1" t="s">
        <v>1153</v>
      </c>
      <c r="O564" s="1" t="s">
        <v>7</v>
      </c>
    </row>
    <row r="565" spans="1:15" x14ac:dyDescent="0.3">
      <c r="A565" s="1" t="str">
        <f>HYPERLINK("https://hsdes.intel.com/resource/14013169091","14013169091")</f>
        <v>14013169091</v>
      </c>
      <c r="B565" s="1" t="s">
        <v>1154</v>
      </c>
      <c r="C565" s="1" t="s">
        <v>125</v>
      </c>
      <c r="D565" s="1" t="s">
        <v>1683</v>
      </c>
      <c r="E565" s="1" t="s">
        <v>1698</v>
      </c>
      <c r="F565" s="1" t="s">
        <v>1729</v>
      </c>
      <c r="H565" s="1" t="s">
        <v>1708</v>
      </c>
      <c r="I565" s="1" t="s">
        <v>1671</v>
      </c>
      <c r="L565" s="4">
        <v>44797</v>
      </c>
      <c r="M565" s="1" t="s">
        <v>37</v>
      </c>
      <c r="N565" s="1" t="s">
        <v>1155</v>
      </c>
      <c r="O565" s="1" t="s">
        <v>7</v>
      </c>
    </row>
    <row r="566" spans="1:15" x14ac:dyDescent="0.3">
      <c r="A566" s="1" t="str">
        <f>HYPERLINK("https://hsdes.intel.com/resource/14013169094","14013169094")</f>
        <v>14013169094</v>
      </c>
      <c r="B566" s="1" t="s">
        <v>1156</v>
      </c>
      <c r="C566" s="1" t="s">
        <v>125</v>
      </c>
      <c r="D566" s="1" t="s">
        <v>1683</v>
      </c>
      <c r="E566" s="1" t="s">
        <v>1698</v>
      </c>
      <c r="F566" s="1" t="s">
        <v>1729</v>
      </c>
      <c r="H566" s="1" t="s">
        <v>1707</v>
      </c>
      <c r="I566" s="1" t="s">
        <v>1671</v>
      </c>
      <c r="L566" s="4">
        <v>44797</v>
      </c>
      <c r="M566" s="1" t="s">
        <v>37</v>
      </c>
      <c r="N566" s="1" t="s">
        <v>1157</v>
      </c>
      <c r="O566" s="1" t="s">
        <v>7</v>
      </c>
    </row>
    <row r="567" spans="1:15" x14ac:dyDescent="0.3">
      <c r="A567" s="1" t="str">
        <f>HYPERLINK("https://hsdes.intel.com/resource/14013169103","14013169103")</f>
        <v>14013169103</v>
      </c>
      <c r="B567" s="1" t="s">
        <v>1158</v>
      </c>
      <c r="C567" s="1" t="s">
        <v>125</v>
      </c>
      <c r="D567" s="1" t="s">
        <v>1683</v>
      </c>
      <c r="E567" s="1" t="s">
        <v>1698</v>
      </c>
      <c r="F567" s="1" t="s">
        <v>1729</v>
      </c>
      <c r="H567" s="1" t="s">
        <v>1708</v>
      </c>
      <c r="I567" s="1" t="s">
        <v>1672</v>
      </c>
      <c r="L567" s="4">
        <v>44796</v>
      </c>
      <c r="M567" s="1" t="s">
        <v>37</v>
      </c>
      <c r="N567" s="1" t="s">
        <v>1159</v>
      </c>
      <c r="O567" s="1" t="s">
        <v>7</v>
      </c>
    </row>
    <row r="568" spans="1:15" x14ac:dyDescent="0.3">
      <c r="A568" s="1" t="str">
        <f>HYPERLINK("https://hsdes.intel.com/resource/14013169135","14013169135")</f>
        <v>14013169135</v>
      </c>
      <c r="B568" s="1" t="s">
        <v>1160</v>
      </c>
      <c r="C568" s="1" t="s">
        <v>14</v>
      </c>
      <c r="D568" s="1" t="s">
        <v>1683</v>
      </c>
      <c r="E568" s="1" t="s">
        <v>1698</v>
      </c>
      <c r="F568" s="1" t="s">
        <v>1729</v>
      </c>
      <c r="H568" s="1" t="s">
        <v>1707</v>
      </c>
      <c r="I568" s="1" t="s">
        <v>1672</v>
      </c>
      <c r="L568" s="4">
        <v>44799</v>
      </c>
      <c r="M568" s="1" t="s">
        <v>37</v>
      </c>
      <c r="N568" s="1" t="s">
        <v>1161</v>
      </c>
      <c r="O568" s="1" t="s">
        <v>10</v>
      </c>
    </row>
    <row r="569" spans="1:15" x14ac:dyDescent="0.3">
      <c r="A569" s="1" t="str">
        <f>HYPERLINK("https://hsdes.intel.com/resource/14013172845","14013172845")</f>
        <v>14013172845</v>
      </c>
      <c r="B569" s="1" t="s">
        <v>1162</v>
      </c>
      <c r="C569" s="1" t="s">
        <v>115</v>
      </c>
      <c r="D569" s="1" t="s">
        <v>1683</v>
      </c>
      <c r="E569" s="1" t="s">
        <v>1698</v>
      </c>
      <c r="F569" s="1" t="s">
        <v>1729</v>
      </c>
      <c r="H569" s="7" t="s">
        <v>1707</v>
      </c>
      <c r="I569" s="1" t="s">
        <v>1718</v>
      </c>
      <c r="L569" s="4">
        <v>44802</v>
      </c>
      <c r="M569" s="1" t="s">
        <v>15</v>
      </c>
      <c r="N569" s="1" t="s">
        <v>1163</v>
      </c>
      <c r="O569" s="1" t="s">
        <v>10</v>
      </c>
    </row>
    <row r="570" spans="1:15" x14ac:dyDescent="0.3">
      <c r="A570" s="1" t="str">
        <f>HYPERLINK("https://hsdes.intel.com/resource/14013172847","14013172847")</f>
        <v>14013172847</v>
      </c>
      <c r="B570" s="1" t="s">
        <v>1164</v>
      </c>
      <c r="C570" s="1" t="s">
        <v>115</v>
      </c>
      <c r="D570" s="1" t="s">
        <v>1683</v>
      </c>
      <c r="E570" s="1" t="s">
        <v>1698</v>
      </c>
      <c r="F570" s="1" t="s">
        <v>1729</v>
      </c>
      <c r="H570" s="1" t="s">
        <v>1707</v>
      </c>
      <c r="I570" s="1" t="s">
        <v>1673</v>
      </c>
      <c r="L570" s="4">
        <v>44799</v>
      </c>
      <c r="M570" s="1" t="s">
        <v>15</v>
      </c>
      <c r="N570" s="1" t="s">
        <v>1165</v>
      </c>
      <c r="O570" s="1" t="s">
        <v>10</v>
      </c>
    </row>
    <row r="571" spans="1:15" x14ac:dyDescent="0.3">
      <c r="A571" s="1" t="str">
        <f>HYPERLINK("https://hsdes.intel.com/resource/14013172891","14013172891")</f>
        <v>14013172891</v>
      </c>
      <c r="B571" s="1" t="s">
        <v>1166</v>
      </c>
      <c r="C571" s="1" t="s">
        <v>28</v>
      </c>
      <c r="D571" s="1" t="s">
        <v>1683</v>
      </c>
      <c r="E571" s="1" t="s">
        <v>1698</v>
      </c>
      <c r="F571" s="1" t="s">
        <v>1729</v>
      </c>
      <c r="H571" s="1" t="s">
        <v>1707</v>
      </c>
      <c r="I571" s="1" t="s">
        <v>1671</v>
      </c>
      <c r="L571" s="4">
        <v>44797</v>
      </c>
      <c r="M571" s="1" t="s">
        <v>5</v>
      </c>
      <c r="N571" s="1" t="s">
        <v>1167</v>
      </c>
      <c r="O571" s="1" t="s">
        <v>10</v>
      </c>
    </row>
    <row r="572" spans="1:15" x14ac:dyDescent="0.3">
      <c r="A572" s="1" t="str">
        <f>HYPERLINK("https://hsdes.intel.com/resource/14013172892","14013172892")</f>
        <v>14013172892</v>
      </c>
      <c r="B572" s="1" t="s">
        <v>1168</v>
      </c>
      <c r="C572" s="1" t="s">
        <v>28</v>
      </c>
      <c r="D572" s="1" t="s">
        <v>1683</v>
      </c>
      <c r="E572" s="1" t="s">
        <v>1698</v>
      </c>
      <c r="F572" s="1" t="s">
        <v>1729</v>
      </c>
      <c r="H572" s="1" t="s">
        <v>1707</v>
      </c>
      <c r="I572" s="1" t="s">
        <v>1672</v>
      </c>
      <c r="L572" s="4">
        <v>44797</v>
      </c>
      <c r="M572" s="1" t="s">
        <v>5</v>
      </c>
      <c r="N572" s="1" t="s">
        <v>1169</v>
      </c>
      <c r="O572" s="1" t="s">
        <v>10</v>
      </c>
    </row>
    <row r="573" spans="1:15" x14ac:dyDescent="0.3">
      <c r="A573" s="1" t="str">
        <f>HYPERLINK("https://hsdes.intel.com/resource/14013172894","14013172894")</f>
        <v>14013172894</v>
      </c>
      <c r="B573" s="1" t="s">
        <v>1170</v>
      </c>
      <c r="C573" s="1" t="s">
        <v>28</v>
      </c>
      <c r="D573" s="1" t="s">
        <v>1683</v>
      </c>
      <c r="E573" s="1" t="s">
        <v>1698</v>
      </c>
      <c r="F573" s="1" t="s">
        <v>1729</v>
      </c>
      <c r="H573" s="1" t="s">
        <v>1707</v>
      </c>
      <c r="I573" s="1" t="s">
        <v>1672</v>
      </c>
      <c r="L573" s="4">
        <v>44797</v>
      </c>
      <c r="M573" s="1" t="s">
        <v>5</v>
      </c>
      <c r="N573" s="1" t="s">
        <v>1171</v>
      </c>
      <c r="O573" s="1" t="s">
        <v>10</v>
      </c>
    </row>
    <row r="574" spans="1:15" x14ac:dyDescent="0.3">
      <c r="A574" s="1" t="str">
        <f>HYPERLINK("https://hsdes.intel.com/resource/14013172897","14013172897")</f>
        <v>14013172897</v>
      </c>
      <c r="B574" s="1" t="s">
        <v>1172</v>
      </c>
      <c r="C574" s="1" t="s">
        <v>28</v>
      </c>
      <c r="D574" s="1" t="s">
        <v>1683</v>
      </c>
      <c r="E574" s="1" t="s">
        <v>1698</v>
      </c>
      <c r="F574" s="1" t="s">
        <v>1729</v>
      </c>
      <c r="H574" s="1" t="s">
        <v>1707</v>
      </c>
      <c r="I574" s="1" t="s">
        <v>1718</v>
      </c>
      <c r="L574" s="4">
        <v>44798</v>
      </c>
      <c r="M574" s="1" t="s">
        <v>5</v>
      </c>
      <c r="N574" s="1" t="s">
        <v>1173</v>
      </c>
      <c r="O574" s="1" t="s">
        <v>10</v>
      </c>
    </row>
    <row r="575" spans="1:15" x14ac:dyDescent="0.3">
      <c r="A575" s="1" t="str">
        <f>HYPERLINK("https://hsdes.intel.com/resource/14013172901","14013172901")</f>
        <v>14013172901</v>
      </c>
      <c r="B575" s="1" t="s">
        <v>1174</v>
      </c>
      <c r="C575" s="1" t="s">
        <v>28</v>
      </c>
      <c r="D575" s="1" t="s">
        <v>1683</v>
      </c>
      <c r="E575" s="1" t="s">
        <v>1698</v>
      </c>
      <c r="F575" s="1" t="s">
        <v>1729</v>
      </c>
      <c r="H575" s="8" t="s">
        <v>1707</v>
      </c>
      <c r="I575" s="1" t="s">
        <v>1672</v>
      </c>
      <c r="L575" s="4">
        <v>44797</v>
      </c>
      <c r="M575" s="1" t="s">
        <v>5</v>
      </c>
      <c r="N575" s="1" t="s">
        <v>1175</v>
      </c>
      <c r="O575" s="1" t="s">
        <v>10</v>
      </c>
    </row>
    <row r="576" spans="1:15" x14ac:dyDescent="0.3">
      <c r="A576" s="1" t="str">
        <f>HYPERLINK("https://hsdes.intel.com/resource/14013172927","14013172927")</f>
        <v>14013172927</v>
      </c>
      <c r="B576" s="1" t="s">
        <v>1176</v>
      </c>
      <c r="C576" s="1" t="s">
        <v>4</v>
      </c>
      <c r="D576" s="1" t="s">
        <v>1683</v>
      </c>
      <c r="E576" s="1" t="s">
        <v>1698</v>
      </c>
      <c r="F576" s="1" t="s">
        <v>1729</v>
      </c>
      <c r="H576" s="1" t="s">
        <v>1707</v>
      </c>
      <c r="I576" s="1" t="s">
        <v>1718</v>
      </c>
      <c r="L576" s="4">
        <v>44799</v>
      </c>
      <c r="M576" s="1" t="s">
        <v>5</v>
      </c>
      <c r="N576" s="1" t="s">
        <v>1177</v>
      </c>
      <c r="O576" s="1" t="s">
        <v>10</v>
      </c>
    </row>
    <row r="577" spans="1:15" x14ac:dyDescent="0.3">
      <c r="A577" s="1" t="str">
        <f>HYPERLINK("https://hsdes.intel.com/resource/14013172936","14013172936")</f>
        <v>14013172936</v>
      </c>
      <c r="B577" s="1" t="s">
        <v>1178</v>
      </c>
      <c r="C577" s="1" t="s">
        <v>4</v>
      </c>
      <c r="D577" s="1" t="s">
        <v>1683</v>
      </c>
      <c r="E577" s="1" t="s">
        <v>1698</v>
      </c>
      <c r="F577" s="1" t="s">
        <v>1729</v>
      </c>
      <c r="H577" s="1" t="s">
        <v>1707</v>
      </c>
      <c r="I577" s="1" t="s">
        <v>1671</v>
      </c>
      <c r="L577" s="4">
        <v>44799</v>
      </c>
      <c r="M577" s="1" t="s">
        <v>5</v>
      </c>
      <c r="N577" s="1" t="s">
        <v>1179</v>
      </c>
      <c r="O577" s="1" t="s">
        <v>7</v>
      </c>
    </row>
    <row r="578" spans="1:15" x14ac:dyDescent="0.3">
      <c r="A578" s="1" t="str">
        <f>HYPERLINK("https://hsdes.intel.com/resource/14013172944","14013172944")</f>
        <v>14013172944</v>
      </c>
      <c r="B578" s="1" t="s">
        <v>1180</v>
      </c>
      <c r="C578" s="1" t="s">
        <v>4</v>
      </c>
      <c r="D578" s="1" t="s">
        <v>1683</v>
      </c>
      <c r="E578" s="1" t="s">
        <v>1698</v>
      </c>
      <c r="F578" s="1" t="s">
        <v>1729</v>
      </c>
      <c r="H578" s="1" t="s">
        <v>1707</v>
      </c>
      <c r="I578" s="1" t="s">
        <v>1671</v>
      </c>
      <c r="L578" s="4">
        <v>44797</v>
      </c>
      <c r="M578" s="1" t="s">
        <v>5</v>
      </c>
      <c r="N578" s="1" t="s">
        <v>1181</v>
      </c>
      <c r="O578" s="1" t="s">
        <v>32</v>
      </c>
    </row>
    <row r="579" spans="1:15" x14ac:dyDescent="0.3">
      <c r="A579" s="1" t="str">
        <f>HYPERLINK("https://hsdes.intel.com/resource/14013173003","14013173003")</f>
        <v>14013173003</v>
      </c>
      <c r="B579" s="1" t="s">
        <v>1182</v>
      </c>
      <c r="C579" s="1" t="s">
        <v>4</v>
      </c>
      <c r="D579" s="1" t="s">
        <v>1683</v>
      </c>
      <c r="E579" s="1" t="s">
        <v>1698</v>
      </c>
      <c r="F579" s="1" t="s">
        <v>1729</v>
      </c>
      <c r="H579" s="7" t="s">
        <v>1707</v>
      </c>
      <c r="I579" s="1" t="s">
        <v>1718</v>
      </c>
      <c r="K579" s="4"/>
      <c r="L579" s="4">
        <v>44802</v>
      </c>
      <c r="M579" s="1" t="s">
        <v>5</v>
      </c>
      <c r="N579" s="1" t="s">
        <v>1183</v>
      </c>
      <c r="O579" s="1" t="s">
        <v>7</v>
      </c>
    </row>
    <row r="580" spans="1:15" x14ac:dyDescent="0.3">
      <c r="A580" s="1" t="str">
        <f>HYPERLINK("https://hsdes.intel.com/resource/14013173005","14013173005")</f>
        <v>14013173005</v>
      </c>
      <c r="B580" s="1" t="s">
        <v>1184</v>
      </c>
      <c r="C580" s="1" t="s">
        <v>4</v>
      </c>
      <c r="D580" s="1" t="s">
        <v>1683</v>
      </c>
      <c r="E580" s="1" t="s">
        <v>1698</v>
      </c>
      <c r="F580" s="1" t="s">
        <v>1729</v>
      </c>
      <c r="H580" s="7" t="s">
        <v>1707</v>
      </c>
      <c r="I580" s="1" t="s">
        <v>1718</v>
      </c>
      <c r="K580" s="4"/>
      <c r="L580" s="4">
        <v>44802</v>
      </c>
      <c r="M580" s="1" t="s">
        <v>5</v>
      </c>
      <c r="N580" s="1" t="s">
        <v>1185</v>
      </c>
      <c r="O580" s="1" t="s">
        <v>7</v>
      </c>
    </row>
    <row r="581" spans="1:15" x14ac:dyDescent="0.3">
      <c r="A581" s="1" t="str">
        <f>HYPERLINK("https://hsdes.intel.com/resource/14013173013","14013173013")</f>
        <v>14013173013</v>
      </c>
      <c r="B581" s="1" t="s">
        <v>1186</v>
      </c>
      <c r="C581" s="1" t="s">
        <v>4</v>
      </c>
      <c r="D581" s="1" t="s">
        <v>1683</v>
      </c>
      <c r="E581" s="1" t="s">
        <v>1698</v>
      </c>
      <c r="F581" s="1" t="s">
        <v>1729</v>
      </c>
      <c r="H581" s="1" t="s">
        <v>1707</v>
      </c>
      <c r="I581" s="1" t="s">
        <v>1718</v>
      </c>
      <c r="L581" s="4">
        <v>44798</v>
      </c>
      <c r="M581" s="1" t="s">
        <v>5</v>
      </c>
      <c r="N581" s="1" t="s">
        <v>1187</v>
      </c>
      <c r="O581" s="1" t="s">
        <v>32</v>
      </c>
    </row>
    <row r="582" spans="1:15" x14ac:dyDescent="0.3">
      <c r="A582" s="1" t="str">
        <f>HYPERLINK("https://hsdes.intel.com/resource/14013173086","14013173086")</f>
        <v>14013173086</v>
      </c>
      <c r="B582" s="1" t="s">
        <v>1188</v>
      </c>
      <c r="C582" s="1" t="s">
        <v>28</v>
      </c>
      <c r="D582" s="1" t="s">
        <v>1683</v>
      </c>
      <c r="E582" s="1" t="s">
        <v>1698</v>
      </c>
      <c r="F582" s="1" t="s">
        <v>1729</v>
      </c>
      <c r="H582" s="1" t="s">
        <v>1707</v>
      </c>
      <c r="I582" s="1" t="s">
        <v>1672</v>
      </c>
      <c r="L582" s="4">
        <v>44799</v>
      </c>
      <c r="M582" s="1" t="s">
        <v>5</v>
      </c>
      <c r="N582" s="1" t="s">
        <v>1189</v>
      </c>
      <c r="O582" s="1" t="s">
        <v>7</v>
      </c>
    </row>
    <row r="583" spans="1:15" x14ac:dyDescent="0.3">
      <c r="A583" s="1" t="str">
        <f>HYPERLINK("https://hsdes.intel.com/resource/14013173089","14013173089")</f>
        <v>14013173089</v>
      </c>
      <c r="B583" s="1" t="s">
        <v>1190</v>
      </c>
      <c r="C583" s="1" t="s">
        <v>28</v>
      </c>
      <c r="D583" s="1" t="s">
        <v>1683</v>
      </c>
      <c r="E583" s="1" t="s">
        <v>1698</v>
      </c>
      <c r="F583" s="1" t="s">
        <v>1729</v>
      </c>
      <c r="H583" s="8" t="s">
        <v>1707</v>
      </c>
      <c r="I583" s="1" t="s">
        <v>1672</v>
      </c>
      <c r="L583" s="4">
        <v>44796</v>
      </c>
      <c r="M583" s="1" t="s">
        <v>5</v>
      </c>
      <c r="N583" s="1" t="s">
        <v>1191</v>
      </c>
      <c r="O583" s="1" t="s">
        <v>10</v>
      </c>
    </row>
    <row r="584" spans="1:15" x14ac:dyDescent="0.3">
      <c r="A584" s="1" t="str">
        <f>HYPERLINK("https://hsdes.intel.com/resource/14013173126","14013173126")</f>
        <v>14013173126</v>
      </c>
      <c r="B584" s="1" t="s">
        <v>1192</v>
      </c>
      <c r="C584" s="1" t="s">
        <v>36</v>
      </c>
      <c r="D584" s="1" t="s">
        <v>1683</v>
      </c>
      <c r="E584" s="1" t="s">
        <v>1698</v>
      </c>
      <c r="F584" s="1" t="s">
        <v>1729</v>
      </c>
      <c r="H584" s="1" t="s">
        <v>1707</v>
      </c>
      <c r="I584" s="1" t="s">
        <v>1718</v>
      </c>
      <c r="L584" s="4">
        <v>44798</v>
      </c>
      <c r="M584" s="1" t="s">
        <v>37</v>
      </c>
      <c r="N584" s="1" t="s">
        <v>1193</v>
      </c>
      <c r="O584" s="1" t="s">
        <v>10</v>
      </c>
    </row>
    <row r="585" spans="1:15" x14ac:dyDescent="0.3">
      <c r="A585" s="1" t="str">
        <f>HYPERLINK("https://hsdes.intel.com/resource/14013173131","14013173131")</f>
        <v>14013173131</v>
      </c>
      <c r="B585" s="1" t="s">
        <v>1194</v>
      </c>
      <c r="C585" s="1" t="s">
        <v>118</v>
      </c>
      <c r="D585" s="1" t="s">
        <v>1683</v>
      </c>
      <c r="E585" s="1" t="s">
        <v>1698</v>
      </c>
      <c r="F585" s="1" t="s">
        <v>1729</v>
      </c>
      <c r="H585" s="1" t="s">
        <v>1707</v>
      </c>
      <c r="I585" s="1" t="s">
        <v>1673</v>
      </c>
      <c r="L585" s="4">
        <v>44797</v>
      </c>
      <c r="M585" s="1" t="s">
        <v>15</v>
      </c>
      <c r="N585" s="1" t="s">
        <v>1195</v>
      </c>
      <c r="O585" s="1" t="s">
        <v>10</v>
      </c>
    </row>
    <row r="586" spans="1:15" x14ac:dyDescent="0.3">
      <c r="A586" s="1" t="str">
        <f>HYPERLINK("https://hsdes.intel.com/resource/14013173139","14013173139")</f>
        <v>14013173139</v>
      </c>
      <c r="B586" s="1" t="s">
        <v>1196</v>
      </c>
      <c r="C586" s="1" t="s">
        <v>118</v>
      </c>
      <c r="D586" s="1" t="s">
        <v>1683</v>
      </c>
      <c r="E586" s="1" t="s">
        <v>1698</v>
      </c>
      <c r="F586" s="1" t="s">
        <v>1729</v>
      </c>
      <c r="H586" s="1" t="s">
        <v>1707</v>
      </c>
      <c r="I586" s="1" t="s">
        <v>1673</v>
      </c>
      <c r="L586" s="4">
        <v>44797</v>
      </c>
      <c r="M586" s="1" t="s">
        <v>15</v>
      </c>
      <c r="N586" s="1" t="s">
        <v>1197</v>
      </c>
      <c r="O586" s="1" t="s">
        <v>10</v>
      </c>
    </row>
    <row r="587" spans="1:15" x14ac:dyDescent="0.3">
      <c r="A587" s="1" t="str">
        <f>HYPERLINK("https://hsdes.intel.com/resource/14013173157","14013173157")</f>
        <v>14013173157</v>
      </c>
      <c r="B587" s="1" t="s">
        <v>1198</v>
      </c>
      <c r="C587" s="1" t="s">
        <v>46</v>
      </c>
      <c r="D587" s="1" t="s">
        <v>1683</v>
      </c>
      <c r="E587" s="1" t="s">
        <v>1698</v>
      </c>
      <c r="F587" s="1" t="s">
        <v>1729</v>
      </c>
      <c r="H587" s="1" t="s">
        <v>1707</v>
      </c>
      <c r="I587" s="1" t="s">
        <v>1723</v>
      </c>
      <c r="K587" s="4"/>
      <c r="L587" s="4">
        <v>44802</v>
      </c>
      <c r="M587" s="1" t="s">
        <v>19</v>
      </c>
      <c r="N587" s="1" t="s">
        <v>1199</v>
      </c>
      <c r="O587" s="1" t="s">
        <v>7</v>
      </c>
    </row>
    <row r="588" spans="1:15" x14ac:dyDescent="0.3">
      <c r="A588" s="1" t="str">
        <f>HYPERLINK("https://hsdes.intel.com/resource/14013173168","14013173168")</f>
        <v>14013173168</v>
      </c>
      <c r="B588" s="1" t="s">
        <v>1200</v>
      </c>
      <c r="C588" s="1" t="s">
        <v>28</v>
      </c>
      <c r="D588" s="1" t="s">
        <v>1683</v>
      </c>
      <c r="E588" s="1" t="s">
        <v>1698</v>
      </c>
      <c r="F588" s="1" t="s">
        <v>1729</v>
      </c>
      <c r="H588" s="1" t="s">
        <v>1707</v>
      </c>
      <c r="I588" s="1" t="s">
        <v>1671</v>
      </c>
      <c r="L588" s="4">
        <v>44802</v>
      </c>
      <c r="M588" s="1" t="s">
        <v>5</v>
      </c>
      <c r="N588" s="1" t="s">
        <v>1201</v>
      </c>
      <c r="O588" s="1" t="s">
        <v>10</v>
      </c>
    </row>
    <row r="589" spans="1:15" x14ac:dyDescent="0.3">
      <c r="A589" s="1" t="str">
        <f>HYPERLINK("https://hsdes.intel.com/resource/14013173170","14013173170")</f>
        <v>14013173170</v>
      </c>
      <c r="B589" s="1" t="s">
        <v>1202</v>
      </c>
      <c r="C589" s="1" t="s">
        <v>28</v>
      </c>
      <c r="D589" s="1" t="s">
        <v>1683</v>
      </c>
      <c r="E589" s="1" t="s">
        <v>1698</v>
      </c>
      <c r="F589" s="1" t="s">
        <v>1729</v>
      </c>
      <c r="H589" s="1" t="s">
        <v>1707</v>
      </c>
      <c r="I589" s="1" t="s">
        <v>1718</v>
      </c>
      <c r="L589" s="4">
        <v>44799</v>
      </c>
      <c r="M589" s="1" t="s">
        <v>5</v>
      </c>
      <c r="N589" s="1" t="s">
        <v>1203</v>
      </c>
      <c r="O589" s="1" t="s">
        <v>10</v>
      </c>
    </row>
    <row r="590" spans="1:15" x14ac:dyDescent="0.3">
      <c r="A590" s="1" t="str">
        <f>HYPERLINK("https://hsdes.intel.com/resource/14013173171","14013173171")</f>
        <v>14013173171</v>
      </c>
      <c r="B590" s="1" t="s">
        <v>1204</v>
      </c>
      <c r="C590" s="1" t="s">
        <v>28</v>
      </c>
      <c r="D590" s="1" t="s">
        <v>1683</v>
      </c>
      <c r="E590" s="1" t="s">
        <v>1698</v>
      </c>
      <c r="F590" s="1" t="s">
        <v>1729</v>
      </c>
      <c r="H590" s="1" t="s">
        <v>1708</v>
      </c>
      <c r="I590" s="1" t="s">
        <v>1718</v>
      </c>
      <c r="L590" s="4">
        <v>44798</v>
      </c>
      <c r="M590" s="1" t="s">
        <v>5</v>
      </c>
      <c r="N590" s="1" t="s">
        <v>1205</v>
      </c>
      <c r="O590" s="1" t="s">
        <v>10</v>
      </c>
    </row>
    <row r="591" spans="1:15" x14ac:dyDescent="0.3">
      <c r="A591" s="1" t="str">
        <f>HYPERLINK("https://hsdes.intel.com/resource/14013173219","14013173219")</f>
        <v>14013173219</v>
      </c>
      <c r="B591" s="1" t="s">
        <v>1206</v>
      </c>
      <c r="C591" s="1" t="s">
        <v>89</v>
      </c>
      <c r="D591" s="1" t="s">
        <v>1683</v>
      </c>
      <c r="E591" s="1" t="s">
        <v>1698</v>
      </c>
      <c r="F591" s="1" t="s">
        <v>1729</v>
      </c>
      <c r="H591" s="1" t="s">
        <v>1707</v>
      </c>
      <c r="I591" s="1" t="s">
        <v>1673</v>
      </c>
      <c r="L591" s="4">
        <v>44798</v>
      </c>
      <c r="M591" s="1" t="s">
        <v>23</v>
      </c>
      <c r="N591" s="1" t="s">
        <v>1207</v>
      </c>
      <c r="O591" s="1" t="s">
        <v>10</v>
      </c>
    </row>
    <row r="592" spans="1:15" x14ac:dyDescent="0.3">
      <c r="A592" s="1" t="str">
        <f>HYPERLINK("https://hsdes.intel.com/resource/14013173233","14013173233")</f>
        <v>14013173233</v>
      </c>
      <c r="B592" s="1" t="s">
        <v>1208</v>
      </c>
      <c r="C592" s="1" t="s">
        <v>28</v>
      </c>
      <c r="D592" s="1" t="s">
        <v>1683</v>
      </c>
      <c r="E592" s="1" t="s">
        <v>1698</v>
      </c>
      <c r="F592" s="1" t="s">
        <v>1729</v>
      </c>
      <c r="H592" s="1" t="s">
        <v>1707</v>
      </c>
      <c r="I592" s="1" t="s">
        <v>1671</v>
      </c>
      <c r="L592" s="4">
        <v>44802</v>
      </c>
      <c r="M592" s="1" t="s">
        <v>5</v>
      </c>
      <c r="N592" s="1" t="s">
        <v>1209</v>
      </c>
      <c r="O592" s="1" t="s">
        <v>10</v>
      </c>
    </row>
    <row r="593" spans="1:15" x14ac:dyDescent="0.3">
      <c r="A593" s="1" t="str">
        <f>HYPERLINK("https://hsdes.intel.com/resource/14013173241","14013173241")</f>
        <v>14013173241</v>
      </c>
      <c r="B593" s="1" t="s">
        <v>1210</v>
      </c>
      <c r="C593" s="1" t="s">
        <v>28</v>
      </c>
      <c r="D593" s="1" t="s">
        <v>1683</v>
      </c>
      <c r="E593" s="1" t="s">
        <v>1698</v>
      </c>
      <c r="F593" s="1" t="s">
        <v>1729</v>
      </c>
      <c r="H593" s="1" t="s">
        <v>1707</v>
      </c>
      <c r="I593" s="1" t="s">
        <v>1671</v>
      </c>
      <c r="J593" s="1" t="s">
        <v>1703</v>
      </c>
      <c r="L593" s="4">
        <v>44802</v>
      </c>
      <c r="M593" s="1" t="s">
        <v>5</v>
      </c>
      <c r="N593" s="1" t="s">
        <v>1211</v>
      </c>
      <c r="O593" s="1" t="s">
        <v>10</v>
      </c>
    </row>
    <row r="594" spans="1:15" x14ac:dyDescent="0.3">
      <c r="A594" s="1" t="str">
        <f>HYPERLINK("https://hsdes.intel.com/resource/14013173246","14013173246")</f>
        <v>14013173246</v>
      </c>
      <c r="B594" s="1" t="s">
        <v>1212</v>
      </c>
      <c r="C594" s="1" t="s">
        <v>28</v>
      </c>
      <c r="D594" s="1" t="s">
        <v>1683</v>
      </c>
      <c r="E594" s="1" t="s">
        <v>1698</v>
      </c>
      <c r="F594" s="1" t="s">
        <v>1729</v>
      </c>
      <c r="H594" s="1" t="s">
        <v>1707</v>
      </c>
      <c r="I594" s="1" t="s">
        <v>1671</v>
      </c>
      <c r="L594" s="4">
        <v>44802</v>
      </c>
      <c r="M594" s="1" t="s">
        <v>5</v>
      </c>
      <c r="N594" s="1" t="s">
        <v>1213</v>
      </c>
      <c r="O594" s="1" t="s">
        <v>10</v>
      </c>
    </row>
    <row r="595" spans="1:15" x14ac:dyDescent="0.3">
      <c r="A595" s="1" t="str">
        <f>HYPERLINK("https://hsdes.intel.com/resource/14013173261","14013173261")</f>
        <v>14013173261</v>
      </c>
      <c r="B595" s="1" t="s">
        <v>1214</v>
      </c>
      <c r="C595" s="1" t="s">
        <v>75</v>
      </c>
      <c r="D595" s="1" t="s">
        <v>1683</v>
      </c>
      <c r="E595" s="1" t="s">
        <v>1698</v>
      </c>
      <c r="F595" s="1" t="s">
        <v>1729</v>
      </c>
      <c r="H595" s="1" t="s">
        <v>1707</v>
      </c>
      <c r="I595" s="1" t="s">
        <v>1673</v>
      </c>
      <c r="L595" s="4">
        <v>44802</v>
      </c>
      <c r="M595" s="1" t="s">
        <v>76</v>
      </c>
      <c r="N595" s="1" t="s">
        <v>1215</v>
      </c>
      <c r="O595" s="1" t="s">
        <v>10</v>
      </c>
    </row>
    <row r="596" spans="1:15" x14ac:dyDescent="0.3">
      <c r="A596" s="1" t="str">
        <f>HYPERLINK("https://hsdes.intel.com/resource/14013173264","14013173264")</f>
        <v>14013173264</v>
      </c>
      <c r="B596" s="1" t="s">
        <v>1216</v>
      </c>
      <c r="C596" s="1" t="s">
        <v>75</v>
      </c>
      <c r="D596" s="1" t="s">
        <v>1683</v>
      </c>
      <c r="E596" s="1" t="s">
        <v>1698</v>
      </c>
      <c r="F596" s="1" t="s">
        <v>1729</v>
      </c>
      <c r="H596" s="1" t="s">
        <v>1707</v>
      </c>
      <c r="I596" s="1" t="s">
        <v>1673</v>
      </c>
      <c r="L596" s="4">
        <v>44802</v>
      </c>
      <c r="M596" s="1" t="s">
        <v>76</v>
      </c>
      <c r="N596" s="1" t="s">
        <v>1217</v>
      </c>
      <c r="O596" s="1" t="s">
        <v>10</v>
      </c>
    </row>
    <row r="597" spans="1:15" x14ac:dyDescent="0.3">
      <c r="A597" s="1" t="str">
        <f>HYPERLINK("https://hsdes.intel.com/resource/14013173272","14013173272")</f>
        <v>14013173272</v>
      </c>
      <c r="B597" s="1" t="s">
        <v>1218</v>
      </c>
      <c r="C597" s="1" t="s">
        <v>75</v>
      </c>
      <c r="D597" s="1" t="s">
        <v>1683</v>
      </c>
      <c r="E597" s="1" t="s">
        <v>1698</v>
      </c>
      <c r="F597" s="1" t="s">
        <v>1729</v>
      </c>
      <c r="H597" s="1" t="s">
        <v>1707</v>
      </c>
      <c r="I597" s="1" t="s">
        <v>1673</v>
      </c>
      <c r="K597" s="1" t="s">
        <v>1676</v>
      </c>
      <c r="L597" s="4">
        <v>44802</v>
      </c>
      <c r="M597" s="1" t="s">
        <v>76</v>
      </c>
      <c r="N597" s="1" t="s">
        <v>1219</v>
      </c>
      <c r="O597" s="1" t="s">
        <v>10</v>
      </c>
    </row>
    <row r="598" spans="1:15" x14ac:dyDescent="0.3">
      <c r="A598" s="1" t="str">
        <f>HYPERLINK("https://hsdes.intel.com/resource/14013173276","14013173276")</f>
        <v>14013173276</v>
      </c>
      <c r="B598" s="1" t="s">
        <v>1220</v>
      </c>
      <c r="C598" s="1" t="s">
        <v>75</v>
      </c>
      <c r="D598" s="1" t="s">
        <v>1683</v>
      </c>
      <c r="E598" s="1" t="s">
        <v>1698</v>
      </c>
      <c r="F598" s="1" t="s">
        <v>1729</v>
      </c>
      <c r="H598" s="1" t="s">
        <v>1707</v>
      </c>
      <c r="I598" s="1" t="s">
        <v>1721</v>
      </c>
      <c r="L598" s="4">
        <v>44802</v>
      </c>
      <c r="M598" s="1" t="s">
        <v>76</v>
      </c>
      <c r="N598" s="1" t="s">
        <v>1221</v>
      </c>
      <c r="O598" s="1" t="s">
        <v>10</v>
      </c>
    </row>
    <row r="599" spans="1:15" x14ac:dyDescent="0.3">
      <c r="A599" s="1" t="str">
        <f>HYPERLINK("https://hsdes.intel.com/resource/14013173292","14013173292")</f>
        <v>14013173292</v>
      </c>
      <c r="B599" s="1" t="s">
        <v>1222</v>
      </c>
      <c r="C599" s="1" t="s">
        <v>75</v>
      </c>
      <c r="D599" s="1" t="s">
        <v>1683</v>
      </c>
      <c r="E599" s="1" t="s">
        <v>1698</v>
      </c>
      <c r="F599" s="1" t="s">
        <v>1729</v>
      </c>
      <c r="H599" s="1" t="s">
        <v>1707</v>
      </c>
      <c r="I599" s="1" t="s">
        <v>1721</v>
      </c>
      <c r="L599" s="4">
        <v>44802</v>
      </c>
      <c r="M599" s="1" t="s">
        <v>76</v>
      </c>
      <c r="N599" s="1" t="s">
        <v>1223</v>
      </c>
      <c r="O599" s="1" t="s">
        <v>10</v>
      </c>
    </row>
    <row r="600" spans="1:15" x14ac:dyDescent="0.3">
      <c r="A600" s="1" t="str">
        <f>HYPERLINK("https://hsdes.intel.com/resource/14013173298","14013173298")</f>
        <v>14013173298</v>
      </c>
      <c r="B600" s="1" t="s">
        <v>1224</v>
      </c>
      <c r="C600" s="1" t="s">
        <v>75</v>
      </c>
      <c r="D600" s="1" t="s">
        <v>1683</v>
      </c>
      <c r="E600" s="1" t="s">
        <v>1698</v>
      </c>
      <c r="F600" s="1" t="s">
        <v>1729</v>
      </c>
      <c r="H600" s="1" t="s">
        <v>1707</v>
      </c>
      <c r="I600" s="1" t="s">
        <v>1673</v>
      </c>
      <c r="K600" s="1" t="s">
        <v>1713</v>
      </c>
      <c r="L600" s="4">
        <v>44803</v>
      </c>
      <c r="M600" s="1" t="s">
        <v>76</v>
      </c>
      <c r="N600" s="1" t="s">
        <v>1225</v>
      </c>
      <c r="O600" s="1" t="s">
        <v>7</v>
      </c>
    </row>
    <row r="601" spans="1:15" x14ac:dyDescent="0.3">
      <c r="A601" s="1" t="str">
        <f>HYPERLINK("https://hsdes.intel.com/resource/14013173302","14013173302")</f>
        <v>14013173302</v>
      </c>
      <c r="B601" s="1" t="s">
        <v>1226</v>
      </c>
      <c r="C601" s="1" t="s">
        <v>75</v>
      </c>
      <c r="D601" s="1" t="s">
        <v>1683</v>
      </c>
      <c r="E601" s="1" t="s">
        <v>1698</v>
      </c>
      <c r="F601" s="1" t="s">
        <v>1729</v>
      </c>
      <c r="H601" s="1" t="s">
        <v>1707</v>
      </c>
      <c r="I601" s="1" t="s">
        <v>1726</v>
      </c>
      <c r="L601" s="4">
        <v>44803</v>
      </c>
      <c r="M601" s="1" t="s">
        <v>76</v>
      </c>
      <c r="N601" s="1" t="s">
        <v>1227</v>
      </c>
      <c r="O601" s="1" t="s">
        <v>10</v>
      </c>
    </row>
    <row r="602" spans="1:15" x14ac:dyDescent="0.3">
      <c r="A602" s="1" t="str">
        <f>HYPERLINK("https://hsdes.intel.com/resource/14013173314","14013173314")</f>
        <v>14013173314</v>
      </c>
      <c r="B602" s="1" t="s">
        <v>1228</v>
      </c>
      <c r="C602" s="1" t="s">
        <v>75</v>
      </c>
      <c r="D602" s="1" t="s">
        <v>1683</v>
      </c>
      <c r="E602" s="1" t="s">
        <v>1698</v>
      </c>
      <c r="F602" s="1" t="s">
        <v>1729</v>
      </c>
      <c r="H602" s="1" t="s">
        <v>1707</v>
      </c>
      <c r="I602" s="1" t="s">
        <v>1726</v>
      </c>
      <c r="L602" s="4">
        <v>44803</v>
      </c>
      <c r="M602" s="1" t="s">
        <v>76</v>
      </c>
      <c r="N602" s="1" t="s">
        <v>1229</v>
      </c>
      <c r="O602" s="1" t="s">
        <v>10</v>
      </c>
    </row>
    <row r="603" spans="1:15" x14ac:dyDescent="0.3">
      <c r="A603" s="1" t="str">
        <f>HYPERLINK("https://hsdes.intel.com/resource/14013173321","14013173321")</f>
        <v>14013173321</v>
      </c>
      <c r="B603" s="1" t="s">
        <v>1230</v>
      </c>
      <c r="C603" s="1" t="s">
        <v>75</v>
      </c>
      <c r="D603" s="1" t="s">
        <v>1683</v>
      </c>
      <c r="E603" s="1" t="s">
        <v>1698</v>
      </c>
      <c r="F603" s="1" t="s">
        <v>1729</v>
      </c>
      <c r="H603" s="1" t="s">
        <v>1707</v>
      </c>
      <c r="I603" s="1" t="s">
        <v>1726</v>
      </c>
      <c r="L603" s="4">
        <v>44803</v>
      </c>
      <c r="M603" s="1" t="s">
        <v>76</v>
      </c>
      <c r="N603" s="1" t="s">
        <v>1231</v>
      </c>
      <c r="O603" s="1" t="s">
        <v>10</v>
      </c>
    </row>
    <row r="604" spans="1:15" x14ac:dyDescent="0.3">
      <c r="A604" s="1" t="str">
        <f>HYPERLINK("https://hsdes.intel.com/resource/14013173356","14013173356")</f>
        <v>14013173356</v>
      </c>
      <c r="B604" s="1" t="s">
        <v>1232</v>
      </c>
      <c r="C604" s="1" t="s">
        <v>75</v>
      </c>
      <c r="D604" s="1" t="s">
        <v>1683</v>
      </c>
      <c r="E604" s="1" t="s">
        <v>1698</v>
      </c>
      <c r="F604" s="1" t="s">
        <v>1729</v>
      </c>
      <c r="H604" s="1" t="s">
        <v>1707</v>
      </c>
      <c r="I604" s="1" t="s">
        <v>1673</v>
      </c>
      <c r="L604" s="4">
        <v>44802</v>
      </c>
      <c r="M604" s="1" t="s">
        <v>76</v>
      </c>
      <c r="N604" s="1" t="s">
        <v>1233</v>
      </c>
      <c r="O604" s="1" t="s">
        <v>10</v>
      </c>
    </row>
    <row r="605" spans="1:15" x14ac:dyDescent="0.3">
      <c r="A605" s="1" t="str">
        <f>HYPERLINK("https://hsdes.intel.com/resource/14013173943","14013173943")</f>
        <v>14013173943</v>
      </c>
      <c r="B605" s="1" t="s">
        <v>1234</v>
      </c>
      <c r="C605" s="1" t="s">
        <v>59</v>
      </c>
      <c r="D605" s="1" t="s">
        <v>1683</v>
      </c>
      <c r="E605" s="1" t="s">
        <v>1698</v>
      </c>
      <c r="F605" s="1" t="s">
        <v>1729</v>
      </c>
      <c r="H605" s="1" t="s">
        <v>1708</v>
      </c>
      <c r="I605" s="1" t="s">
        <v>1672</v>
      </c>
      <c r="L605" s="4">
        <v>44797</v>
      </c>
      <c r="M605" s="1" t="s">
        <v>15</v>
      </c>
      <c r="N605" s="1" t="s">
        <v>1235</v>
      </c>
      <c r="O605" s="1" t="s">
        <v>10</v>
      </c>
    </row>
    <row r="606" spans="1:15" x14ac:dyDescent="0.3">
      <c r="A606" s="1" t="str">
        <f>HYPERLINK("https://hsdes.intel.com/resource/14013174046","14013174046")</f>
        <v>14013174046</v>
      </c>
      <c r="B606" s="1" t="s">
        <v>1236</v>
      </c>
      <c r="C606" s="1" t="s">
        <v>59</v>
      </c>
      <c r="D606" s="1" t="s">
        <v>1683</v>
      </c>
      <c r="E606" s="1" t="s">
        <v>1698</v>
      </c>
      <c r="F606" s="1" t="s">
        <v>1729</v>
      </c>
      <c r="H606" s="1" t="s">
        <v>1708</v>
      </c>
      <c r="I606" s="1" t="s">
        <v>1672</v>
      </c>
      <c r="L606" s="4">
        <v>44797</v>
      </c>
      <c r="M606" s="1" t="s">
        <v>15</v>
      </c>
      <c r="N606" s="1" t="s">
        <v>1237</v>
      </c>
      <c r="O606" s="1" t="s">
        <v>10</v>
      </c>
    </row>
    <row r="607" spans="1:15" x14ac:dyDescent="0.3">
      <c r="A607" s="1" t="str">
        <f>HYPERLINK("https://hsdes.intel.com/resource/14013174063","14013174063")</f>
        <v>14013174063</v>
      </c>
      <c r="B607" s="1" t="s">
        <v>1238</v>
      </c>
      <c r="C607" s="1" t="s">
        <v>59</v>
      </c>
      <c r="D607" s="1" t="s">
        <v>1683</v>
      </c>
      <c r="E607" s="1" t="s">
        <v>1698</v>
      </c>
      <c r="F607" s="1" t="s">
        <v>1729</v>
      </c>
      <c r="H607" s="1" t="s">
        <v>1707</v>
      </c>
      <c r="I607" s="1" t="s">
        <v>1671</v>
      </c>
      <c r="L607" s="4">
        <v>44803</v>
      </c>
      <c r="M607" s="1" t="s">
        <v>15</v>
      </c>
      <c r="N607" s="1" t="s">
        <v>1239</v>
      </c>
      <c r="O607" s="1" t="s">
        <v>7</v>
      </c>
    </row>
    <row r="608" spans="1:15" x14ac:dyDescent="0.3">
      <c r="A608" s="1" t="str">
        <f>HYPERLINK("https://hsdes.intel.com/resource/14013174070","14013174070")</f>
        <v>14013174070</v>
      </c>
      <c r="B608" s="1" t="s">
        <v>1240</v>
      </c>
      <c r="C608" s="1" t="s">
        <v>59</v>
      </c>
      <c r="D608" s="1" t="s">
        <v>1683</v>
      </c>
      <c r="E608" s="1" t="s">
        <v>1698</v>
      </c>
      <c r="F608" s="1" t="s">
        <v>1729</v>
      </c>
      <c r="H608" s="1" t="s">
        <v>1708</v>
      </c>
      <c r="I608" s="1" t="s">
        <v>1671</v>
      </c>
      <c r="L608" s="4">
        <v>44803</v>
      </c>
      <c r="M608" s="1" t="s">
        <v>15</v>
      </c>
      <c r="N608" s="1" t="s">
        <v>1241</v>
      </c>
      <c r="O608" s="1" t="s">
        <v>7</v>
      </c>
    </row>
    <row r="609" spans="1:15" x14ac:dyDescent="0.3">
      <c r="A609" s="1" t="str">
        <f>HYPERLINK("https://hsdes.intel.com/resource/14013174084","14013174084")</f>
        <v>14013174084</v>
      </c>
      <c r="B609" s="1" t="s">
        <v>1242</v>
      </c>
      <c r="C609" s="1" t="s">
        <v>59</v>
      </c>
      <c r="D609" s="1" t="s">
        <v>1683</v>
      </c>
      <c r="E609" s="1" t="s">
        <v>1698</v>
      </c>
      <c r="F609" s="1" t="s">
        <v>1729</v>
      </c>
      <c r="H609" s="1" t="s">
        <v>1708</v>
      </c>
      <c r="I609" s="1" t="s">
        <v>1671</v>
      </c>
      <c r="L609" s="4">
        <v>44797</v>
      </c>
      <c r="M609" s="1" t="s">
        <v>76</v>
      </c>
      <c r="N609" s="1" t="s">
        <v>1243</v>
      </c>
      <c r="O609" s="1" t="s">
        <v>10</v>
      </c>
    </row>
    <row r="610" spans="1:15" x14ac:dyDescent="0.3">
      <c r="A610" s="1" t="str">
        <f>HYPERLINK("https://hsdes.intel.com/resource/14013174087","14013174087")</f>
        <v>14013174087</v>
      </c>
      <c r="B610" s="1" t="s">
        <v>1244</v>
      </c>
      <c r="C610" s="1" t="s">
        <v>59</v>
      </c>
      <c r="D610" s="1" t="s">
        <v>1683</v>
      </c>
      <c r="E610" s="1" t="s">
        <v>1698</v>
      </c>
      <c r="F610" s="1" t="s">
        <v>1729</v>
      </c>
      <c r="H610" s="1" t="s">
        <v>1708</v>
      </c>
      <c r="I610" s="1" t="s">
        <v>1671</v>
      </c>
      <c r="K610" s="1" t="s">
        <v>1702</v>
      </c>
      <c r="L610" s="4">
        <v>44802</v>
      </c>
      <c r="M610" s="1" t="s">
        <v>76</v>
      </c>
      <c r="N610" s="1" t="s">
        <v>1245</v>
      </c>
      <c r="O610" s="1" t="s">
        <v>10</v>
      </c>
    </row>
    <row r="611" spans="1:15" x14ac:dyDescent="0.3">
      <c r="A611" s="1" t="str">
        <f>HYPERLINK("https://hsdes.intel.com/resource/14013174091","14013174091")</f>
        <v>14013174091</v>
      </c>
      <c r="B611" s="1" t="s">
        <v>1246</v>
      </c>
      <c r="C611" s="1" t="s">
        <v>59</v>
      </c>
      <c r="D611" s="1" t="s">
        <v>1683</v>
      </c>
      <c r="E611" s="1" t="s">
        <v>1698</v>
      </c>
      <c r="F611" s="1" t="s">
        <v>1729</v>
      </c>
      <c r="H611" s="1" t="s">
        <v>1707</v>
      </c>
      <c r="I611" s="1" t="s">
        <v>1671</v>
      </c>
      <c r="L611" s="4">
        <v>44797</v>
      </c>
      <c r="M611" s="1" t="s">
        <v>76</v>
      </c>
      <c r="N611" s="1" t="s">
        <v>1247</v>
      </c>
      <c r="O611" s="1" t="s">
        <v>10</v>
      </c>
    </row>
    <row r="612" spans="1:15" x14ac:dyDescent="0.3">
      <c r="A612" s="1" t="str">
        <f>HYPERLINK("https://hsdes.intel.com/resource/14013174094","14013174094")</f>
        <v>14013174094</v>
      </c>
      <c r="B612" s="1" t="s">
        <v>1248</v>
      </c>
      <c r="C612" s="1" t="s">
        <v>59</v>
      </c>
      <c r="D612" s="1" t="s">
        <v>1683</v>
      </c>
      <c r="E612" s="1" t="s">
        <v>1698</v>
      </c>
      <c r="F612" s="1" t="s">
        <v>1729</v>
      </c>
      <c r="H612" s="1" t="s">
        <v>1707</v>
      </c>
      <c r="I612" s="1" t="s">
        <v>1671</v>
      </c>
      <c r="L612" s="4">
        <v>44797</v>
      </c>
      <c r="M612" s="1" t="s">
        <v>76</v>
      </c>
      <c r="N612" s="1" t="s">
        <v>1249</v>
      </c>
      <c r="O612" s="1" t="s">
        <v>10</v>
      </c>
    </row>
    <row r="613" spans="1:15" x14ac:dyDescent="0.3">
      <c r="A613" s="1" t="str">
        <f>HYPERLINK("https://hsdes.intel.com/resource/14013174262","14013174262")</f>
        <v>14013174262</v>
      </c>
      <c r="B613" s="1" t="s">
        <v>1250</v>
      </c>
      <c r="C613" s="1" t="s">
        <v>59</v>
      </c>
      <c r="D613" s="1" t="s">
        <v>1683</v>
      </c>
      <c r="E613" s="1" t="s">
        <v>1698</v>
      </c>
      <c r="F613" s="1" t="s">
        <v>1729</v>
      </c>
      <c r="H613" s="1" t="s">
        <v>1707</v>
      </c>
      <c r="I613" s="1" t="s">
        <v>1673</v>
      </c>
      <c r="L613" s="4">
        <v>44803</v>
      </c>
      <c r="M613" s="1" t="s">
        <v>76</v>
      </c>
      <c r="N613" s="1" t="s">
        <v>1251</v>
      </c>
      <c r="O613" s="1" t="s">
        <v>32</v>
      </c>
    </row>
    <row r="614" spans="1:15" x14ac:dyDescent="0.3">
      <c r="A614" s="1" t="str">
        <f>HYPERLINK("https://hsdes.intel.com/resource/14013174288","14013174288")</f>
        <v>14013174288</v>
      </c>
      <c r="B614" s="1" t="s">
        <v>1252</v>
      </c>
      <c r="C614" s="1" t="s">
        <v>59</v>
      </c>
      <c r="D614" s="1" t="s">
        <v>1683</v>
      </c>
      <c r="E614" s="1" t="s">
        <v>1698</v>
      </c>
      <c r="F614" s="1" t="s">
        <v>1729</v>
      </c>
      <c r="H614" s="1" t="s">
        <v>1707</v>
      </c>
      <c r="I614" s="1" t="s">
        <v>1673</v>
      </c>
      <c r="L614" s="4">
        <v>44803</v>
      </c>
      <c r="M614" s="1" t="s">
        <v>15</v>
      </c>
      <c r="N614" s="1" t="s">
        <v>1253</v>
      </c>
      <c r="O614" s="1" t="s">
        <v>32</v>
      </c>
    </row>
    <row r="615" spans="1:15" x14ac:dyDescent="0.3">
      <c r="A615" s="1" t="str">
        <f>HYPERLINK("https://hsdes.intel.com/resource/14013174349","14013174349")</f>
        <v>14013174349</v>
      </c>
      <c r="B615" s="1" t="s">
        <v>1254</v>
      </c>
      <c r="C615" s="1" t="s">
        <v>59</v>
      </c>
      <c r="D615" s="1" t="s">
        <v>1683</v>
      </c>
      <c r="E615" s="1" t="s">
        <v>1698</v>
      </c>
      <c r="F615" s="1" t="s">
        <v>1729</v>
      </c>
      <c r="H615" s="1" t="s">
        <v>1708</v>
      </c>
      <c r="I615" s="1" t="s">
        <v>1671</v>
      </c>
      <c r="L615" s="4">
        <v>44799</v>
      </c>
      <c r="M615" s="1" t="s">
        <v>15</v>
      </c>
      <c r="N615" s="1" t="s">
        <v>1255</v>
      </c>
      <c r="O615" s="1" t="s">
        <v>10</v>
      </c>
    </row>
    <row r="616" spans="1:15" x14ac:dyDescent="0.3">
      <c r="A616" s="1" t="str">
        <f>HYPERLINK("https://hsdes.intel.com/resource/14013174392","14013174392")</f>
        <v>14013174392</v>
      </c>
      <c r="B616" s="1" t="s">
        <v>1256</v>
      </c>
      <c r="C616" s="1" t="s">
        <v>59</v>
      </c>
      <c r="D616" s="1" t="s">
        <v>1683</v>
      </c>
      <c r="E616" s="1" t="s">
        <v>1698</v>
      </c>
      <c r="F616" s="1" t="s">
        <v>1729</v>
      </c>
      <c r="H616" s="1" t="s">
        <v>1707</v>
      </c>
      <c r="I616" s="1" t="s">
        <v>1672</v>
      </c>
      <c r="L616" s="4">
        <v>44796</v>
      </c>
      <c r="M616" s="1" t="s">
        <v>15</v>
      </c>
      <c r="N616" s="1" t="s">
        <v>1257</v>
      </c>
      <c r="O616" s="1" t="s">
        <v>10</v>
      </c>
    </row>
    <row r="617" spans="1:15" x14ac:dyDescent="0.3">
      <c r="A617" s="1" t="str">
        <f>HYPERLINK("https://hsdes.intel.com/resource/14013174396","14013174396")</f>
        <v>14013174396</v>
      </c>
      <c r="B617" s="1" t="s">
        <v>1258</v>
      </c>
      <c r="C617" s="1" t="s">
        <v>59</v>
      </c>
      <c r="D617" s="1" t="s">
        <v>1683</v>
      </c>
      <c r="E617" s="1" t="s">
        <v>1698</v>
      </c>
      <c r="F617" s="1" t="s">
        <v>1729</v>
      </c>
      <c r="H617" s="1" t="s">
        <v>1707</v>
      </c>
      <c r="I617" s="1" t="s">
        <v>1726</v>
      </c>
      <c r="L617" s="4">
        <v>44803</v>
      </c>
      <c r="M617" s="1" t="s">
        <v>15</v>
      </c>
      <c r="N617" s="1" t="s">
        <v>1259</v>
      </c>
      <c r="O617" s="1" t="s">
        <v>7</v>
      </c>
    </row>
    <row r="618" spans="1:15" x14ac:dyDescent="0.3">
      <c r="A618" s="1" t="str">
        <f>HYPERLINK("https://hsdes.intel.com/resource/14013174406","14013174406")</f>
        <v>14013174406</v>
      </c>
      <c r="B618" s="1" t="s">
        <v>1260</v>
      </c>
      <c r="C618" s="1" t="s">
        <v>59</v>
      </c>
      <c r="D618" s="1" t="s">
        <v>1683</v>
      </c>
      <c r="E618" s="1" t="s">
        <v>1698</v>
      </c>
      <c r="F618" s="1" t="s">
        <v>1729</v>
      </c>
      <c r="H618" s="1" t="s">
        <v>1715</v>
      </c>
      <c r="I618" s="1" t="s">
        <v>1673</v>
      </c>
      <c r="J618" s="10">
        <f>HYPERLINK("https://hsdes.intel.com/resource/16016031671",16016031671)</f>
        <v>16016031671</v>
      </c>
      <c r="L618" s="4">
        <v>44799</v>
      </c>
      <c r="M618" s="1" t="s">
        <v>76</v>
      </c>
      <c r="N618" s="1" t="s">
        <v>1261</v>
      </c>
      <c r="O618" s="1" t="s">
        <v>7</v>
      </c>
    </row>
    <row r="619" spans="1:15" x14ac:dyDescent="0.3">
      <c r="A619" s="1" t="str">
        <f>HYPERLINK("https://hsdes.intel.com/resource/14013174424","14013174424")</f>
        <v>14013174424</v>
      </c>
      <c r="B619" s="1" t="s">
        <v>1262</v>
      </c>
      <c r="C619" s="1" t="s">
        <v>59</v>
      </c>
      <c r="D619" s="1" t="s">
        <v>1683</v>
      </c>
      <c r="E619" s="1" t="s">
        <v>1698</v>
      </c>
      <c r="F619" s="1" t="s">
        <v>1729</v>
      </c>
      <c r="H619" s="1" t="s">
        <v>1707</v>
      </c>
      <c r="I619" s="1" t="s">
        <v>1672</v>
      </c>
      <c r="L619" s="4">
        <v>44799</v>
      </c>
      <c r="M619" s="1" t="s">
        <v>15</v>
      </c>
      <c r="N619" s="1" t="s">
        <v>1263</v>
      </c>
      <c r="O619" s="1" t="s">
        <v>7</v>
      </c>
    </row>
    <row r="620" spans="1:15" x14ac:dyDescent="0.3">
      <c r="A620" s="1" t="str">
        <f>HYPERLINK("https://hsdes.intel.com/resource/14013174432","14013174432")</f>
        <v>14013174432</v>
      </c>
      <c r="B620" s="1" t="s">
        <v>1264</v>
      </c>
      <c r="C620" s="1" t="s">
        <v>59</v>
      </c>
      <c r="D620" s="1" t="s">
        <v>1683</v>
      </c>
      <c r="E620" s="1" t="s">
        <v>1698</v>
      </c>
      <c r="F620" s="1" t="s">
        <v>1729</v>
      </c>
      <c r="H620" s="1" t="s">
        <v>1707</v>
      </c>
      <c r="I620" s="1" t="s">
        <v>1672</v>
      </c>
      <c r="L620" s="4">
        <v>44799</v>
      </c>
      <c r="M620" s="1" t="s">
        <v>15</v>
      </c>
      <c r="N620" s="1" t="s">
        <v>1265</v>
      </c>
      <c r="O620" s="1" t="s">
        <v>7</v>
      </c>
    </row>
    <row r="621" spans="1:15" x14ac:dyDescent="0.3">
      <c r="A621" s="1" t="str">
        <f>HYPERLINK("https://hsdes.intel.com/resource/14013174439","14013174439")</f>
        <v>14013174439</v>
      </c>
      <c r="B621" s="1" t="s">
        <v>1266</v>
      </c>
      <c r="C621" s="1" t="s">
        <v>59</v>
      </c>
      <c r="D621" s="1" t="s">
        <v>1683</v>
      </c>
      <c r="E621" s="1" t="s">
        <v>1698</v>
      </c>
      <c r="F621" s="1" t="s">
        <v>1729</v>
      </c>
      <c r="H621" s="1" t="s">
        <v>1707</v>
      </c>
      <c r="I621" s="1" t="s">
        <v>1672</v>
      </c>
      <c r="L621" s="4">
        <v>44799</v>
      </c>
      <c r="M621" s="1" t="s">
        <v>15</v>
      </c>
      <c r="N621" s="1" t="s">
        <v>1267</v>
      </c>
      <c r="O621" s="1" t="s">
        <v>7</v>
      </c>
    </row>
    <row r="622" spans="1:15" x14ac:dyDescent="0.3">
      <c r="A622" s="1" t="str">
        <f>HYPERLINK("https://hsdes.intel.com/resource/14013174442","14013174442")</f>
        <v>14013174442</v>
      </c>
      <c r="B622" s="1" t="s">
        <v>1268</v>
      </c>
      <c r="C622" s="1" t="s">
        <v>59</v>
      </c>
      <c r="D622" s="1" t="s">
        <v>1683</v>
      </c>
      <c r="E622" s="1" t="s">
        <v>1698</v>
      </c>
      <c r="F622" s="1" t="s">
        <v>1729</v>
      </c>
      <c r="H622" s="1" t="s">
        <v>1715</v>
      </c>
      <c r="I622" s="1" t="s">
        <v>1673</v>
      </c>
      <c r="J622" s="10">
        <f>HYPERLINK("https://hsdes.intel.com/resource/16016031671",16016031671)</f>
        <v>16016031671</v>
      </c>
      <c r="L622" s="4">
        <v>44799</v>
      </c>
      <c r="M622" s="1" t="s">
        <v>76</v>
      </c>
      <c r="N622" s="1" t="s">
        <v>1269</v>
      </c>
      <c r="O622" s="1" t="s">
        <v>32</v>
      </c>
    </row>
    <row r="623" spans="1:15" x14ac:dyDescent="0.3">
      <c r="A623" s="1" t="str">
        <f>HYPERLINK("https://hsdes.intel.com/resource/14013174444","14013174444")</f>
        <v>14013174444</v>
      </c>
      <c r="B623" s="1" t="s">
        <v>1270</v>
      </c>
      <c r="C623" s="1" t="s">
        <v>59</v>
      </c>
      <c r="D623" s="1" t="s">
        <v>1683</v>
      </c>
      <c r="E623" s="1" t="s">
        <v>1698</v>
      </c>
      <c r="F623" s="1" t="s">
        <v>1729</v>
      </c>
      <c r="H623" s="1" t="s">
        <v>1707</v>
      </c>
      <c r="I623" s="1" t="s">
        <v>1673</v>
      </c>
      <c r="L623" s="4">
        <v>44802</v>
      </c>
      <c r="M623" s="1" t="s">
        <v>15</v>
      </c>
      <c r="N623" s="1" t="s">
        <v>1271</v>
      </c>
      <c r="O623" s="1" t="s">
        <v>32</v>
      </c>
    </row>
    <row r="624" spans="1:15" x14ac:dyDescent="0.3">
      <c r="A624" s="1" t="str">
        <f>HYPERLINK("https://hsdes.intel.com/resource/14013174453","14013174453")</f>
        <v>14013174453</v>
      </c>
      <c r="B624" s="1" t="s">
        <v>1272</v>
      </c>
      <c r="C624" s="1" t="s">
        <v>59</v>
      </c>
      <c r="D624" s="1" t="s">
        <v>1683</v>
      </c>
      <c r="E624" s="1" t="s">
        <v>1698</v>
      </c>
      <c r="F624" s="1" t="s">
        <v>1729</v>
      </c>
      <c r="H624" s="1" t="s">
        <v>1707</v>
      </c>
      <c r="I624" s="1" t="s">
        <v>1718</v>
      </c>
      <c r="L624" s="4">
        <v>44799</v>
      </c>
      <c r="M624" s="1" t="s">
        <v>15</v>
      </c>
      <c r="N624" s="1" t="s">
        <v>1273</v>
      </c>
      <c r="O624" s="1" t="s">
        <v>10</v>
      </c>
    </row>
    <row r="625" spans="1:15" x14ac:dyDescent="0.3">
      <c r="A625" s="1" t="str">
        <f>HYPERLINK("https://hsdes.intel.com/resource/14013174471","14013174471")</f>
        <v>14013174471</v>
      </c>
      <c r="B625" s="1" t="s">
        <v>1274</v>
      </c>
      <c r="C625" s="1" t="s">
        <v>59</v>
      </c>
      <c r="D625" s="1" t="s">
        <v>1683</v>
      </c>
      <c r="E625" s="1" t="s">
        <v>1698</v>
      </c>
      <c r="F625" s="1" t="s">
        <v>1729</v>
      </c>
      <c r="H625" s="1" t="s">
        <v>1674</v>
      </c>
      <c r="I625" s="1" t="s">
        <v>1674</v>
      </c>
      <c r="M625" s="1" t="s">
        <v>15</v>
      </c>
      <c r="N625" s="1" t="s">
        <v>1275</v>
      </c>
      <c r="O625" s="1" t="s">
        <v>10</v>
      </c>
    </row>
    <row r="626" spans="1:15" x14ac:dyDescent="0.3">
      <c r="A626" s="1" t="str">
        <f>HYPERLINK("https://hsdes.intel.com/resource/14013174486","14013174486")</f>
        <v>14013174486</v>
      </c>
      <c r="B626" s="1" t="s">
        <v>1276</v>
      </c>
      <c r="C626" s="1" t="s">
        <v>59</v>
      </c>
      <c r="D626" s="1" t="s">
        <v>1683</v>
      </c>
      <c r="E626" s="1" t="s">
        <v>1698</v>
      </c>
      <c r="F626" s="1" t="s">
        <v>1729</v>
      </c>
      <c r="H626" s="1" t="s">
        <v>1674</v>
      </c>
      <c r="I626" s="1" t="s">
        <v>1674</v>
      </c>
      <c r="M626" s="1" t="s">
        <v>15</v>
      </c>
      <c r="N626" s="1" t="s">
        <v>1277</v>
      </c>
      <c r="O626" s="1" t="s">
        <v>10</v>
      </c>
    </row>
    <row r="627" spans="1:15" x14ac:dyDescent="0.3">
      <c r="A627" s="1" t="str">
        <f>HYPERLINK("https://hsdes.intel.com/resource/14013174491","14013174491")</f>
        <v>14013174491</v>
      </c>
      <c r="B627" s="1" t="s">
        <v>1278</v>
      </c>
      <c r="C627" s="1" t="s">
        <v>59</v>
      </c>
      <c r="D627" s="1" t="s">
        <v>1683</v>
      </c>
      <c r="E627" s="1" t="s">
        <v>1698</v>
      </c>
      <c r="F627" s="1" t="s">
        <v>1729</v>
      </c>
      <c r="H627" s="1" t="s">
        <v>1674</v>
      </c>
      <c r="I627" s="1" t="s">
        <v>1674</v>
      </c>
      <c r="M627" s="1" t="s">
        <v>15</v>
      </c>
      <c r="N627" s="1" t="s">
        <v>1279</v>
      </c>
      <c r="O627" s="1" t="s">
        <v>10</v>
      </c>
    </row>
    <row r="628" spans="1:15" x14ac:dyDescent="0.3">
      <c r="A628" s="1" t="str">
        <f>HYPERLINK("https://hsdes.intel.com/resource/14013174555","14013174555")</f>
        <v>14013174555</v>
      </c>
      <c r="B628" s="1" t="s">
        <v>1280</v>
      </c>
      <c r="C628" s="1" t="s">
        <v>59</v>
      </c>
      <c r="D628" s="1" t="s">
        <v>1683</v>
      </c>
      <c r="E628" s="1" t="s">
        <v>1698</v>
      </c>
      <c r="F628" s="1" t="s">
        <v>1729</v>
      </c>
      <c r="H628" s="1" t="s">
        <v>1707</v>
      </c>
      <c r="I628" s="1" t="s">
        <v>1673</v>
      </c>
      <c r="L628" s="4">
        <v>44799</v>
      </c>
      <c r="M628" s="1" t="s">
        <v>15</v>
      </c>
      <c r="N628" s="1" t="s">
        <v>1281</v>
      </c>
      <c r="O628" s="1" t="s">
        <v>10</v>
      </c>
    </row>
    <row r="629" spans="1:15" x14ac:dyDescent="0.3">
      <c r="A629" s="1" t="str">
        <f>HYPERLINK("https://hsdes.intel.com/resource/14013174569","14013174569")</f>
        <v>14013174569</v>
      </c>
      <c r="B629" s="1" t="s">
        <v>1282</v>
      </c>
      <c r="C629" s="1" t="s">
        <v>59</v>
      </c>
      <c r="D629" s="1" t="s">
        <v>1683</v>
      </c>
      <c r="E629" s="1" t="s">
        <v>1698</v>
      </c>
      <c r="F629" s="1" t="s">
        <v>1729</v>
      </c>
      <c r="H629" s="1" t="s">
        <v>1707</v>
      </c>
      <c r="I629" s="1" t="s">
        <v>1671</v>
      </c>
      <c r="L629" s="4">
        <v>44797</v>
      </c>
      <c r="M629" s="1" t="s">
        <v>15</v>
      </c>
      <c r="N629" s="1" t="s">
        <v>1283</v>
      </c>
      <c r="O629" s="1" t="s">
        <v>10</v>
      </c>
    </row>
    <row r="630" spans="1:15" x14ac:dyDescent="0.3">
      <c r="A630" s="1" t="str">
        <f>HYPERLINK("https://hsdes.intel.com/resource/14013174609","14013174609")</f>
        <v>14013174609</v>
      </c>
      <c r="B630" s="1" t="s">
        <v>1284</v>
      </c>
      <c r="C630" s="1" t="s">
        <v>59</v>
      </c>
      <c r="D630" s="1" t="s">
        <v>1683</v>
      </c>
      <c r="E630" s="1" t="s">
        <v>1698</v>
      </c>
      <c r="F630" s="1" t="s">
        <v>1729</v>
      </c>
      <c r="H630" s="1" t="s">
        <v>1707</v>
      </c>
      <c r="I630" s="1" t="s">
        <v>1673</v>
      </c>
      <c r="L630" s="4">
        <v>44799</v>
      </c>
      <c r="M630" s="1" t="s">
        <v>15</v>
      </c>
      <c r="N630" s="1" t="s">
        <v>1285</v>
      </c>
      <c r="O630" s="1" t="s">
        <v>10</v>
      </c>
    </row>
    <row r="631" spans="1:15" x14ac:dyDescent="0.3">
      <c r="A631" s="1" t="str">
        <f>HYPERLINK("https://hsdes.intel.com/resource/14013174639","14013174639")</f>
        <v>14013174639</v>
      </c>
      <c r="B631" s="1" t="s">
        <v>1286</v>
      </c>
      <c r="C631" s="1" t="s">
        <v>59</v>
      </c>
      <c r="D631" s="1" t="s">
        <v>1683</v>
      </c>
      <c r="E631" s="1" t="s">
        <v>1698</v>
      </c>
      <c r="F631" s="1" t="s">
        <v>1729</v>
      </c>
      <c r="H631" s="1" t="s">
        <v>1674</v>
      </c>
      <c r="I631" s="1" t="s">
        <v>1674</v>
      </c>
      <c r="M631" s="1" t="s">
        <v>15</v>
      </c>
      <c r="N631" s="1" t="s">
        <v>1287</v>
      </c>
      <c r="O631" s="1" t="s">
        <v>7</v>
      </c>
    </row>
    <row r="632" spans="1:15" x14ac:dyDescent="0.3">
      <c r="A632" s="1" t="str">
        <f>HYPERLINK("https://hsdes.intel.com/resource/14013174645","14013174645")</f>
        <v>14013174645</v>
      </c>
      <c r="B632" s="1" t="s">
        <v>1288</v>
      </c>
      <c r="C632" s="1" t="s">
        <v>59</v>
      </c>
      <c r="D632" s="1" t="s">
        <v>1683</v>
      </c>
      <c r="E632" s="1" t="s">
        <v>1698</v>
      </c>
      <c r="F632" s="1" t="s">
        <v>1729</v>
      </c>
      <c r="H632" s="1" t="s">
        <v>1674</v>
      </c>
      <c r="I632" s="1" t="s">
        <v>1674</v>
      </c>
      <c r="M632" s="1" t="s">
        <v>15</v>
      </c>
      <c r="N632" s="1" t="s">
        <v>1289</v>
      </c>
      <c r="O632" s="1" t="s">
        <v>7</v>
      </c>
    </row>
    <row r="633" spans="1:15" x14ac:dyDescent="0.3">
      <c r="A633" s="1" t="str">
        <f>HYPERLINK("https://hsdes.intel.com/resource/14013174650","14013174650")</f>
        <v>14013174650</v>
      </c>
      <c r="B633" s="1" t="s">
        <v>1290</v>
      </c>
      <c r="C633" s="1" t="s">
        <v>59</v>
      </c>
      <c r="D633" s="1" t="s">
        <v>1683</v>
      </c>
      <c r="E633" s="1" t="s">
        <v>1698</v>
      </c>
      <c r="F633" s="1" t="s">
        <v>1729</v>
      </c>
      <c r="H633" s="1" t="s">
        <v>1674</v>
      </c>
      <c r="I633" s="1" t="s">
        <v>1674</v>
      </c>
      <c r="M633" s="1" t="s">
        <v>15</v>
      </c>
      <c r="N633" s="1" t="s">
        <v>1291</v>
      </c>
      <c r="O633" s="1" t="s">
        <v>7</v>
      </c>
    </row>
    <row r="634" spans="1:15" x14ac:dyDescent="0.3">
      <c r="A634" s="1" t="str">
        <f>HYPERLINK("https://hsdes.intel.com/resource/14013174656","14013174656")</f>
        <v>14013174656</v>
      </c>
      <c r="B634" s="1" t="s">
        <v>1292</v>
      </c>
      <c r="C634" s="1" t="s">
        <v>59</v>
      </c>
      <c r="D634" s="1" t="s">
        <v>1683</v>
      </c>
      <c r="E634" s="1" t="s">
        <v>1698</v>
      </c>
      <c r="F634" s="1" t="s">
        <v>1729</v>
      </c>
      <c r="H634" s="1" t="s">
        <v>1707</v>
      </c>
      <c r="I634" s="1" t="s">
        <v>1671</v>
      </c>
      <c r="L634" s="4">
        <v>44798</v>
      </c>
      <c r="M634" s="1" t="s">
        <v>15</v>
      </c>
      <c r="N634" s="1" t="s">
        <v>1293</v>
      </c>
      <c r="O634" s="1" t="s">
        <v>10</v>
      </c>
    </row>
    <row r="635" spans="1:15" x14ac:dyDescent="0.3">
      <c r="A635" s="1" t="str">
        <f>HYPERLINK("https://hsdes.intel.com/resource/14013174674","14013174674")</f>
        <v>14013174674</v>
      </c>
      <c r="B635" s="1" t="s">
        <v>1294</v>
      </c>
      <c r="C635" s="1" t="s">
        <v>59</v>
      </c>
      <c r="D635" s="1" t="s">
        <v>1683</v>
      </c>
      <c r="E635" s="1" t="s">
        <v>1698</v>
      </c>
      <c r="F635" s="1" t="s">
        <v>1729</v>
      </c>
      <c r="H635" s="1" t="s">
        <v>1707</v>
      </c>
      <c r="I635" s="1" t="s">
        <v>1671</v>
      </c>
      <c r="L635" s="4">
        <v>44798</v>
      </c>
      <c r="M635" s="1" t="s">
        <v>15</v>
      </c>
      <c r="N635" s="1" t="s">
        <v>1295</v>
      </c>
      <c r="O635" s="1" t="s">
        <v>10</v>
      </c>
    </row>
    <row r="636" spans="1:15" x14ac:dyDescent="0.3">
      <c r="A636" s="1" t="str">
        <f>HYPERLINK("https://hsdes.intel.com/resource/14013174680","14013174680")</f>
        <v>14013174680</v>
      </c>
      <c r="B636" s="1" t="s">
        <v>1296</v>
      </c>
      <c r="C636" s="1" t="s">
        <v>59</v>
      </c>
      <c r="D636" s="1" t="s">
        <v>1683</v>
      </c>
      <c r="E636" s="1" t="s">
        <v>1698</v>
      </c>
      <c r="F636" s="1" t="s">
        <v>1729</v>
      </c>
      <c r="H636" s="1" t="s">
        <v>1707</v>
      </c>
      <c r="I636" s="1" t="s">
        <v>1718</v>
      </c>
      <c r="L636" s="4">
        <v>44799</v>
      </c>
      <c r="M636" s="1" t="s">
        <v>15</v>
      </c>
      <c r="N636" s="1" t="s">
        <v>1297</v>
      </c>
      <c r="O636" s="1" t="s">
        <v>10</v>
      </c>
    </row>
    <row r="637" spans="1:15" x14ac:dyDescent="0.3">
      <c r="A637" s="1" t="str">
        <f>HYPERLINK("https://hsdes.intel.com/resource/14013174724","14013174724")</f>
        <v>14013174724</v>
      </c>
      <c r="B637" s="1" t="s">
        <v>1298</v>
      </c>
      <c r="C637" s="1" t="s">
        <v>59</v>
      </c>
      <c r="D637" s="1" t="s">
        <v>1683</v>
      </c>
      <c r="E637" s="1" t="s">
        <v>1698</v>
      </c>
      <c r="F637" s="1" t="s">
        <v>1729</v>
      </c>
      <c r="H637" s="1" t="s">
        <v>1707</v>
      </c>
      <c r="I637" s="1" t="s">
        <v>1671</v>
      </c>
      <c r="L637" s="4">
        <v>44798</v>
      </c>
      <c r="M637" s="1" t="s">
        <v>15</v>
      </c>
      <c r="N637" s="1" t="s">
        <v>1299</v>
      </c>
      <c r="O637" s="1" t="s">
        <v>10</v>
      </c>
    </row>
    <row r="638" spans="1:15" x14ac:dyDescent="0.3">
      <c r="A638" s="1" t="str">
        <f>HYPERLINK("https://hsdes.intel.com/resource/14013174729","14013174729")</f>
        <v>14013174729</v>
      </c>
      <c r="B638" s="1" t="s">
        <v>1300</v>
      </c>
      <c r="C638" s="1" t="s">
        <v>59</v>
      </c>
      <c r="D638" s="1" t="s">
        <v>1683</v>
      </c>
      <c r="E638" s="1" t="s">
        <v>1698</v>
      </c>
      <c r="F638" s="1" t="s">
        <v>1729</v>
      </c>
      <c r="H638" s="1" t="s">
        <v>1708</v>
      </c>
      <c r="I638" s="1" t="s">
        <v>1673</v>
      </c>
      <c r="L638" s="4">
        <v>44799</v>
      </c>
      <c r="M638" s="1" t="s">
        <v>15</v>
      </c>
      <c r="N638" s="1" t="s">
        <v>1301</v>
      </c>
      <c r="O638" s="1" t="s">
        <v>10</v>
      </c>
    </row>
    <row r="639" spans="1:15" x14ac:dyDescent="0.3">
      <c r="A639" s="1" t="str">
        <f>HYPERLINK("https://hsdes.intel.com/resource/14013174739","14013174739")</f>
        <v>14013174739</v>
      </c>
      <c r="B639" s="1" t="s">
        <v>1302</v>
      </c>
      <c r="C639" s="1" t="s">
        <v>59</v>
      </c>
      <c r="D639" s="1" t="s">
        <v>1683</v>
      </c>
      <c r="E639" s="1" t="s">
        <v>1698</v>
      </c>
      <c r="F639" s="1" t="s">
        <v>1729</v>
      </c>
      <c r="H639" s="1" t="s">
        <v>1707</v>
      </c>
      <c r="I639" s="1" t="s">
        <v>1671</v>
      </c>
      <c r="L639" s="4">
        <v>44797</v>
      </c>
      <c r="M639" s="1" t="s">
        <v>15</v>
      </c>
      <c r="N639" s="1" t="s">
        <v>1303</v>
      </c>
      <c r="O639" s="1" t="s">
        <v>7</v>
      </c>
    </row>
    <row r="640" spans="1:15" x14ac:dyDescent="0.3">
      <c r="A640" s="1" t="str">
        <f>HYPERLINK("https://hsdes.intel.com/resource/14013174748","14013174748")</f>
        <v>14013174748</v>
      </c>
      <c r="B640" s="1" t="s">
        <v>1304</v>
      </c>
      <c r="C640" s="1" t="s">
        <v>59</v>
      </c>
      <c r="D640" s="1" t="s">
        <v>1683</v>
      </c>
      <c r="E640" s="1" t="s">
        <v>1698</v>
      </c>
      <c r="F640" s="1" t="s">
        <v>1729</v>
      </c>
      <c r="H640" s="1" t="s">
        <v>1707</v>
      </c>
      <c r="I640" s="1" t="s">
        <v>1673</v>
      </c>
      <c r="L640" s="4">
        <v>44798</v>
      </c>
      <c r="M640" s="1" t="s">
        <v>15</v>
      </c>
      <c r="N640" s="1" t="s">
        <v>1305</v>
      </c>
      <c r="O640" s="1" t="s">
        <v>10</v>
      </c>
    </row>
    <row r="641" spans="1:15" x14ac:dyDescent="0.3">
      <c r="A641" s="1" t="str">
        <f>HYPERLINK("https://hsdes.intel.com/resource/14013174758","14013174758")</f>
        <v>14013174758</v>
      </c>
      <c r="B641" s="1" t="s">
        <v>1306</v>
      </c>
      <c r="C641" s="1" t="s">
        <v>59</v>
      </c>
      <c r="D641" s="1" t="s">
        <v>1683</v>
      </c>
      <c r="E641" s="1" t="s">
        <v>1698</v>
      </c>
      <c r="F641" s="1" t="s">
        <v>1729</v>
      </c>
      <c r="H641" s="1" t="s">
        <v>1707</v>
      </c>
      <c r="I641" s="1" t="s">
        <v>1673</v>
      </c>
      <c r="L641" s="4">
        <v>44798</v>
      </c>
      <c r="M641" s="1" t="s">
        <v>15</v>
      </c>
      <c r="N641" s="1" t="s">
        <v>1307</v>
      </c>
      <c r="O641" s="1" t="s">
        <v>10</v>
      </c>
    </row>
    <row r="642" spans="1:15" x14ac:dyDescent="0.3">
      <c r="A642" s="1" t="str">
        <f>HYPERLINK("https://hsdes.intel.com/resource/14013174783","14013174783")</f>
        <v>14013174783</v>
      </c>
      <c r="B642" s="1" t="s">
        <v>1308</v>
      </c>
      <c r="C642" s="1" t="s">
        <v>59</v>
      </c>
      <c r="D642" s="1" t="s">
        <v>1683</v>
      </c>
      <c r="E642" s="1" t="s">
        <v>1698</v>
      </c>
      <c r="F642" s="1" t="s">
        <v>1729</v>
      </c>
      <c r="H642" s="1" t="s">
        <v>1708</v>
      </c>
      <c r="I642" s="1" t="s">
        <v>1671</v>
      </c>
      <c r="L642" s="4">
        <v>44799</v>
      </c>
      <c r="M642" s="1" t="s">
        <v>76</v>
      </c>
      <c r="N642" s="1" t="s">
        <v>1309</v>
      </c>
      <c r="O642" s="1" t="s">
        <v>7</v>
      </c>
    </row>
    <row r="643" spans="1:15" x14ac:dyDescent="0.3">
      <c r="A643" s="1" t="str">
        <f>HYPERLINK("https://hsdes.intel.com/resource/14013174785","14013174785")</f>
        <v>14013174785</v>
      </c>
      <c r="B643" s="1" t="s">
        <v>1310</v>
      </c>
      <c r="C643" s="1" t="s">
        <v>59</v>
      </c>
      <c r="D643" s="1" t="s">
        <v>1683</v>
      </c>
      <c r="E643" s="1" t="s">
        <v>1698</v>
      </c>
      <c r="F643" s="1" t="s">
        <v>1729</v>
      </c>
      <c r="H643" s="1" t="s">
        <v>1708</v>
      </c>
      <c r="I643" s="1" t="s">
        <v>1673</v>
      </c>
      <c r="L643" s="4">
        <v>44798</v>
      </c>
      <c r="M643" s="1" t="s">
        <v>15</v>
      </c>
      <c r="N643" s="1" t="s">
        <v>1311</v>
      </c>
      <c r="O643" s="1" t="s">
        <v>7</v>
      </c>
    </row>
    <row r="644" spans="1:15" x14ac:dyDescent="0.3">
      <c r="A644" s="1" t="str">
        <f>HYPERLINK("https://hsdes.intel.com/resource/14013174791","14013174791")</f>
        <v>14013174791</v>
      </c>
      <c r="B644" s="1" t="s">
        <v>1312</v>
      </c>
      <c r="C644" s="1" t="s">
        <v>59</v>
      </c>
      <c r="D644" s="1" t="s">
        <v>1683</v>
      </c>
      <c r="E644" s="1" t="s">
        <v>1698</v>
      </c>
      <c r="F644" s="1" t="s">
        <v>1729</v>
      </c>
      <c r="H644" s="1" t="s">
        <v>1707</v>
      </c>
      <c r="I644" s="1" t="s">
        <v>1721</v>
      </c>
      <c r="L644" s="4">
        <v>44802</v>
      </c>
      <c r="M644" s="1" t="s">
        <v>15</v>
      </c>
      <c r="N644" s="1" t="s">
        <v>1313</v>
      </c>
      <c r="O644" s="1" t="s">
        <v>7</v>
      </c>
    </row>
    <row r="645" spans="1:15" x14ac:dyDescent="0.3">
      <c r="A645" s="1" t="str">
        <f>HYPERLINK("https://hsdes.intel.com/resource/14013174800","14013174800")</f>
        <v>14013174800</v>
      </c>
      <c r="B645" s="1" t="s">
        <v>1314</v>
      </c>
      <c r="C645" s="1" t="s">
        <v>59</v>
      </c>
      <c r="D645" s="1" t="s">
        <v>1683</v>
      </c>
      <c r="E645" s="1" t="s">
        <v>1698</v>
      </c>
      <c r="F645" s="1" t="s">
        <v>1729</v>
      </c>
      <c r="H645" s="1" t="s">
        <v>1707</v>
      </c>
      <c r="I645" s="1" t="s">
        <v>1673</v>
      </c>
      <c r="L645" s="4">
        <v>44802</v>
      </c>
      <c r="M645" s="1" t="s">
        <v>15</v>
      </c>
      <c r="N645" s="1" t="s">
        <v>1315</v>
      </c>
      <c r="O645" s="1" t="s">
        <v>10</v>
      </c>
    </row>
    <row r="646" spans="1:15" x14ac:dyDescent="0.3">
      <c r="A646" s="1" t="str">
        <f>HYPERLINK("https://hsdes.intel.com/resource/14013174821","14013174821")</f>
        <v>14013174821</v>
      </c>
      <c r="B646" s="1" t="s">
        <v>1316</v>
      </c>
      <c r="C646" s="1" t="s">
        <v>59</v>
      </c>
      <c r="D646" s="1" t="s">
        <v>1683</v>
      </c>
      <c r="E646" s="1" t="s">
        <v>1698</v>
      </c>
      <c r="F646" s="1" t="s">
        <v>1729</v>
      </c>
      <c r="H646" s="1" t="s">
        <v>1674</v>
      </c>
      <c r="I646" s="1" t="s">
        <v>1674</v>
      </c>
      <c r="M646" s="1" t="s">
        <v>15</v>
      </c>
      <c r="N646" s="1" t="s">
        <v>1317</v>
      </c>
      <c r="O646" s="1" t="s">
        <v>10</v>
      </c>
    </row>
    <row r="647" spans="1:15" x14ac:dyDescent="0.3">
      <c r="A647" s="1" t="str">
        <f>HYPERLINK("https://hsdes.intel.com/resource/14013174825","14013174825")</f>
        <v>14013174825</v>
      </c>
      <c r="B647" s="1" t="s">
        <v>1318</v>
      </c>
      <c r="C647" s="1" t="s">
        <v>59</v>
      </c>
      <c r="D647" s="1" t="s">
        <v>1683</v>
      </c>
      <c r="E647" s="1" t="s">
        <v>1698</v>
      </c>
      <c r="F647" s="1" t="s">
        <v>1729</v>
      </c>
      <c r="H647" s="1" t="s">
        <v>1674</v>
      </c>
      <c r="I647" s="1" t="s">
        <v>1674</v>
      </c>
      <c r="M647" s="1" t="s">
        <v>15</v>
      </c>
      <c r="N647" s="1" t="s">
        <v>1319</v>
      </c>
      <c r="O647" s="1" t="s">
        <v>10</v>
      </c>
    </row>
    <row r="648" spans="1:15" x14ac:dyDescent="0.3">
      <c r="A648" s="1" t="str">
        <f>HYPERLINK("https://hsdes.intel.com/resource/14013174827","14013174827")</f>
        <v>14013174827</v>
      </c>
      <c r="B648" s="1" t="s">
        <v>1320</v>
      </c>
      <c r="C648" s="1" t="s">
        <v>59</v>
      </c>
      <c r="D648" s="1" t="s">
        <v>1683</v>
      </c>
      <c r="E648" s="1" t="s">
        <v>1698</v>
      </c>
      <c r="F648" s="1" t="s">
        <v>1729</v>
      </c>
      <c r="H648" s="1" t="s">
        <v>1674</v>
      </c>
      <c r="I648" s="1" t="s">
        <v>1674</v>
      </c>
      <c r="M648" s="1" t="s">
        <v>15</v>
      </c>
      <c r="N648" s="1" t="s">
        <v>1321</v>
      </c>
      <c r="O648" s="1" t="s">
        <v>10</v>
      </c>
    </row>
    <row r="649" spans="1:15" x14ac:dyDescent="0.3">
      <c r="A649" s="1" t="str">
        <f>HYPERLINK("https://hsdes.intel.com/resource/14013174829","14013174829")</f>
        <v>14013174829</v>
      </c>
      <c r="B649" s="1" t="s">
        <v>1322</v>
      </c>
      <c r="C649" s="1" t="s">
        <v>59</v>
      </c>
      <c r="D649" s="1" t="s">
        <v>1683</v>
      </c>
      <c r="E649" s="1" t="s">
        <v>1698</v>
      </c>
      <c r="F649" s="1" t="s">
        <v>1729</v>
      </c>
      <c r="H649" s="1" t="s">
        <v>1674</v>
      </c>
      <c r="I649" s="1" t="s">
        <v>1674</v>
      </c>
      <c r="M649" s="1" t="s">
        <v>15</v>
      </c>
      <c r="N649" s="1" t="s">
        <v>1323</v>
      </c>
      <c r="O649" s="1" t="s">
        <v>10</v>
      </c>
    </row>
    <row r="650" spans="1:15" x14ac:dyDescent="0.3">
      <c r="A650" s="1" t="str">
        <f>HYPERLINK("https://hsdes.intel.com/resource/14013174831","14013174831")</f>
        <v>14013174831</v>
      </c>
      <c r="B650" s="1" t="s">
        <v>1324</v>
      </c>
      <c r="C650" s="1" t="s">
        <v>59</v>
      </c>
      <c r="D650" s="1" t="s">
        <v>1683</v>
      </c>
      <c r="E650" s="1" t="s">
        <v>1698</v>
      </c>
      <c r="F650" s="1" t="s">
        <v>1729</v>
      </c>
      <c r="H650" s="1" t="s">
        <v>1674</v>
      </c>
      <c r="I650" s="1" t="s">
        <v>1674</v>
      </c>
      <c r="M650" s="1" t="s">
        <v>15</v>
      </c>
      <c r="N650" s="1" t="s">
        <v>1325</v>
      </c>
      <c r="O650" s="1" t="s">
        <v>10</v>
      </c>
    </row>
    <row r="651" spans="1:15" x14ac:dyDescent="0.3">
      <c r="A651" s="1" t="str">
        <f>HYPERLINK("https://hsdes.intel.com/resource/14013174835","14013174835")</f>
        <v>14013174835</v>
      </c>
      <c r="B651" s="1" t="s">
        <v>1326</v>
      </c>
      <c r="C651" s="1" t="s">
        <v>59</v>
      </c>
      <c r="D651" s="1" t="s">
        <v>1683</v>
      </c>
      <c r="E651" s="1" t="s">
        <v>1698</v>
      </c>
      <c r="F651" s="1" t="s">
        <v>1729</v>
      </c>
      <c r="H651" s="1" t="s">
        <v>1674</v>
      </c>
      <c r="I651" s="1" t="s">
        <v>1674</v>
      </c>
      <c r="M651" s="1" t="s">
        <v>15</v>
      </c>
      <c r="N651" s="1" t="s">
        <v>1327</v>
      </c>
      <c r="O651" s="1" t="s">
        <v>10</v>
      </c>
    </row>
    <row r="652" spans="1:15" x14ac:dyDescent="0.3">
      <c r="A652" s="1" t="str">
        <f>HYPERLINK("https://hsdes.intel.com/resource/14013174839","14013174839")</f>
        <v>14013174839</v>
      </c>
      <c r="B652" s="1" t="s">
        <v>1328</v>
      </c>
      <c r="C652" s="1" t="s">
        <v>59</v>
      </c>
      <c r="D652" s="1" t="s">
        <v>1683</v>
      </c>
      <c r="E652" s="1" t="s">
        <v>1698</v>
      </c>
      <c r="F652" s="1" t="s">
        <v>1729</v>
      </c>
      <c r="H652" s="1" t="s">
        <v>1674</v>
      </c>
      <c r="I652" s="1" t="s">
        <v>1674</v>
      </c>
      <c r="M652" s="1" t="s">
        <v>15</v>
      </c>
      <c r="N652" s="1" t="s">
        <v>1329</v>
      </c>
      <c r="O652" s="1" t="s">
        <v>10</v>
      </c>
    </row>
    <row r="653" spans="1:15" x14ac:dyDescent="0.3">
      <c r="A653" s="1" t="str">
        <f>HYPERLINK("https://hsdes.intel.com/resource/14013174841","14013174841")</f>
        <v>14013174841</v>
      </c>
      <c r="B653" s="1" t="s">
        <v>1330</v>
      </c>
      <c r="C653" s="1" t="s">
        <v>59</v>
      </c>
      <c r="D653" s="1" t="s">
        <v>1683</v>
      </c>
      <c r="E653" s="1" t="s">
        <v>1698</v>
      </c>
      <c r="F653" s="1" t="s">
        <v>1729</v>
      </c>
      <c r="H653" s="1" t="s">
        <v>1708</v>
      </c>
      <c r="I653" s="1" t="s">
        <v>1671</v>
      </c>
      <c r="L653" s="4">
        <v>44799</v>
      </c>
      <c r="M653" s="1" t="s">
        <v>76</v>
      </c>
      <c r="N653" s="1" t="s">
        <v>1331</v>
      </c>
      <c r="O653" s="1" t="s">
        <v>10</v>
      </c>
    </row>
    <row r="654" spans="1:15" x14ac:dyDescent="0.3">
      <c r="A654" s="1" t="str">
        <f>HYPERLINK("https://hsdes.intel.com/resource/14013174843","14013174843")</f>
        <v>14013174843</v>
      </c>
      <c r="B654" s="1" t="s">
        <v>1332</v>
      </c>
      <c r="C654" s="1" t="s">
        <v>59</v>
      </c>
      <c r="D654" s="1" t="s">
        <v>1683</v>
      </c>
      <c r="E654" s="1" t="s">
        <v>1698</v>
      </c>
      <c r="F654" s="1" t="s">
        <v>1729</v>
      </c>
      <c r="H654" s="1" t="s">
        <v>1707</v>
      </c>
      <c r="I654" s="1" t="s">
        <v>1671</v>
      </c>
      <c r="K654" s="1" t="s">
        <v>1702</v>
      </c>
      <c r="L654" s="4">
        <v>44802</v>
      </c>
      <c r="M654" s="1" t="s">
        <v>76</v>
      </c>
      <c r="N654" s="1" t="s">
        <v>1333</v>
      </c>
      <c r="O654" s="1" t="s">
        <v>10</v>
      </c>
    </row>
    <row r="655" spans="1:15" x14ac:dyDescent="0.3">
      <c r="A655" s="1" t="str">
        <f>HYPERLINK("https://hsdes.intel.com/resource/14013174856","14013174856")</f>
        <v>14013174856</v>
      </c>
      <c r="B655" s="1" t="s">
        <v>1334</v>
      </c>
      <c r="C655" s="1" t="s">
        <v>59</v>
      </c>
      <c r="D655" s="1" t="s">
        <v>1683</v>
      </c>
      <c r="E655" s="1" t="s">
        <v>1698</v>
      </c>
      <c r="F655" s="1" t="s">
        <v>1729</v>
      </c>
      <c r="H655" s="1" t="s">
        <v>1708</v>
      </c>
      <c r="I655" s="1" t="s">
        <v>1671</v>
      </c>
      <c r="L655" s="4">
        <v>44803</v>
      </c>
      <c r="M655" s="1" t="s">
        <v>76</v>
      </c>
      <c r="N655" s="1" t="s">
        <v>1335</v>
      </c>
      <c r="O655" s="1" t="s">
        <v>10</v>
      </c>
    </row>
    <row r="656" spans="1:15" x14ac:dyDescent="0.3">
      <c r="A656" s="1" t="str">
        <f>HYPERLINK("https://hsdes.intel.com/resource/14013175124","14013175124")</f>
        <v>14013175124</v>
      </c>
      <c r="B656" s="1" t="s">
        <v>1336</v>
      </c>
      <c r="C656" s="1" t="s">
        <v>59</v>
      </c>
      <c r="D656" s="1" t="s">
        <v>1683</v>
      </c>
      <c r="E656" s="1" t="s">
        <v>1698</v>
      </c>
      <c r="F656" s="1" t="s">
        <v>1729</v>
      </c>
      <c r="H656" s="1" t="s">
        <v>1708</v>
      </c>
      <c r="I656" s="1" t="s">
        <v>1671</v>
      </c>
      <c r="L656" s="4">
        <v>44797</v>
      </c>
      <c r="M656" s="1" t="s">
        <v>15</v>
      </c>
      <c r="N656" s="1" t="s">
        <v>1337</v>
      </c>
      <c r="O656" s="1" t="s">
        <v>10</v>
      </c>
    </row>
    <row r="657" spans="1:15" x14ac:dyDescent="0.3">
      <c r="A657" s="1" t="str">
        <f>HYPERLINK("https://hsdes.intel.com/resource/14013175225","14013175225")</f>
        <v>14013175225</v>
      </c>
      <c r="B657" s="1" t="s">
        <v>1338</v>
      </c>
      <c r="C657" s="1" t="s">
        <v>59</v>
      </c>
      <c r="D657" s="1" t="s">
        <v>1683</v>
      </c>
      <c r="E657" s="1" t="s">
        <v>1698</v>
      </c>
      <c r="F657" s="1" t="s">
        <v>1729</v>
      </c>
      <c r="H657" s="1" t="s">
        <v>1708</v>
      </c>
      <c r="I657" s="1" t="s">
        <v>1671</v>
      </c>
      <c r="L657" s="4">
        <v>44799</v>
      </c>
      <c r="M657" s="1" t="s">
        <v>15</v>
      </c>
      <c r="N657" s="1" t="s">
        <v>1339</v>
      </c>
      <c r="O657" s="1" t="s">
        <v>10</v>
      </c>
    </row>
    <row r="658" spans="1:15" x14ac:dyDescent="0.3">
      <c r="A658" s="1" t="str">
        <f>HYPERLINK("https://hsdes.intel.com/resource/14013175301","14013175301")</f>
        <v>14013175301</v>
      </c>
      <c r="B658" s="1" t="s">
        <v>1340</v>
      </c>
      <c r="C658" s="1" t="s">
        <v>59</v>
      </c>
      <c r="D658" s="1" t="s">
        <v>1683</v>
      </c>
      <c r="E658" s="1" t="s">
        <v>1698</v>
      </c>
      <c r="F658" s="1" t="s">
        <v>1729</v>
      </c>
      <c r="H658" s="7" t="s">
        <v>1707</v>
      </c>
      <c r="I658" s="1" t="s">
        <v>1718</v>
      </c>
      <c r="L658" s="4">
        <v>44802</v>
      </c>
      <c r="M658" s="1" t="s">
        <v>15</v>
      </c>
      <c r="N658" s="1" t="s">
        <v>1341</v>
      </c>
      <c r="O658" s="1" t="s">
        <v>7</v>
      </c>
    </row>
    <row r="659" spans="1:15" x14ac:dyDescent="0.3">
      <c r="A659" s="1" t="str">
        <f>HYPERLINK("https://hsdes.intel.com/resource/14013175303","14013175303")</f>
        <v>14013175303</v>
      </c>
      <c r="B659" s="1" t="s">
        <v>1342</v>
      </c>
      <c r="C659" s="1" t="s">
        <v>59</v>
      </c>
      <c r="D659" s="1" t="s">
        <v>1683</v>
      </c>
      <c r="E659" s="1" t="s">
        <v>1698</v>
      </c>
      <c r="F659" s="1" t="s">
        <v>1729</v>
      </c>
      <c r="H659" s="7" t="s">
        <v>1707</v>
      </c>
      <c r="I659" s="1" t="s">
        <v>1718</v>
      </c>
      <c r="L659" s="4">
        <v>44802</v>
      </c>
      <c r="M659" s="1" t="s">
        <v>15</v>
      </c>
      <c r="N659" s="1" t="s">
        <v>1343</v>
      </c>
      <c r="O659" s="1" t="s">
        <v>7</v>
      </c>
    </row>
    <row r="660" spans="1:15" x14ac:dyDescent="0.3">
      <c r="A660" s="1" t="str">
        <f>HYPERLINK("https://hsdes.intel.com/resource/14013175419","14013175419")</f>
        <v>14013175419</v>
      </c>
      <c r="B660" s="1" t="s">
        <v>1344</v>
      </c>
      <c r="C660" s="1" t="s">
        <v>59</v>
      </c>
      <c r="D660" s="1" t="s">
        <v>1683</v>
      </c>
      <c r="E660" s="1" t="s">
        <v>1698</v>
      </c>
      <c r="F660" s="1" t="s">
        <v>1729</v>
      </c>
      <c r="H660" s="1" t="s">
        <v>1707</v>
      </c>
      <c r="I660" s="1" t="s">
        <v>1671</v>
      </c>
      <c r="L660" s="4">
        <v>44797</v>
      </c>
      <c r="M660" s="1" t="s">
        <v>15</v>
      </c>
      <c r="N660" s="1" t="s">
        <v>1345</v>
      </c>
      <c r="O660" s="1" t="s">
        <v>10</v>
      </c>
    </row>
    <row r="661" spans="1:15" x14ac:dyDescent="0.3">
      <c r="A661" s="1" t="str">
        <f>HYPERLINK("https://hsdes.intel.com/resource/14013175425","14013175425")</f>
        <v>14013175425</v>
      </c>
      <c r="B661" s="1" t="s">
        <v>1346</v>
      </c>
      <c r="C661" s="1" t="s">
        <v>59</v>
      </c>
      <c r="D661" s="1" t="s">
        <v>1683</v>
      </c>
      <c r="E661" s="1" t="s">
        <v>1698</v>
      </c>
      <c r="F661" s="1" t="s">
        <v>1729</v>
      </c>
      <c r="H661" s="1" t="s">
        <v>1707</v>
      </c>
      <c r="I661" s="1" t="s">
        <v>1673</v>
      </c>
      <c r="L661" s="4">
        <v>44802</v>
      </c>
      <c r="M661" s="1" t="s">
        <v>15</v>
      </c>
      <c r="N661" s="1" t="s">
        <v>1347</v>
      </c>
      <c r="O661" s="1" t="s">
        <v>7</v>
      </c>
    </row>
    <row r="662" spans="1:15" x14ac:dyDescent="0.3">
      <c r="A662" s="1" t="str">
        <f>HYPERLINK("https://hsdes.intel.com/resource/14013175611","14013175611")</f>
        <v>14013175611</v>
      </c>
      <c r="B662" s="1" t="s">
        <v>1348</v>
      </c>
      <c r="C662" s="1" t="s">
        <v>75</v>
      </c>
      <c r="D662" s="1" t="s">
        <v>1683</v>
      </c>
      <c r="E662" s="1" t="s">
        <v>1698</v>
      </c>
      <c r="F662" s="1" t="s">
        <v>1729</v>
      </c>
      <c r="H662" s="1" t="s">
        <v>1707</v>
      </c>
      <c r="I662" s="1" t="s">
        <v>1721</v>
      </c>
      <c r="L662" s="4">
        <v>44802</v>
      </c>
      <c r="M662" s="1" t="s">
        <v>76</v>
      </c>
      <c r="N662" s="1" t="s">
        <v>1349</v>
      </c>
      <c r="O662" s="1" t="s">
        <v>10</v>
      </c>
    </row>
    <row r="663" spans="1:15" x14ac:dyDescent="0.3">
      <c r="A663" s="1" t="str">
        <f>HYPERLINK("https://hsdes.intel.com/resource/14013175622","14013175622")</f>
        <v>14013175622</v>
      </c>
      <c r="B663" s="1" t="s">
        <v>1350</v>
      </c>
      <c r="C663" s="1" t="s">
        <v>36</v>
      </c>
      <c r="D663" s="1" t="s">
        <v>1683</v>
      </c>
      <c r="E663" s="1" t="s">
        <v>1698</v>
      </c>
      <c r="F663" s="1" t="s">
        <v>1729</v>
      </c>
      <c r="H663" s="1" t="s">
        <v>1707</v>
      </c>
      <c r="I663" s="1" t="s">
        <v>1671</v>
      </c>
      <c r="L663" s="4">
        <v>44797</v>
      </c>
      <c r="M663" s="1" t="s">
        <v>37</v>
      </c>
      <c r="N663" s="1" t="s">
        <v>1351</v>
      </c>
      <c r="O663" s="1" t="s">
        <v>10</v>
      </c>
    </row>
    <row r="664" spans="1:15" x14ac:dyDescent="0.3">
      <c r="A664" s="1" t="str">
        <f>HYPERLINK("https://hsdes.intel.com/resource/14013175625","14013175625")</f>
        <v>14013175625</v>
      </c>
      <c r="B664" s="1" t="s">
        <v>1352</v>
      </c>
      <c r="C664" s="1" t="s">
        <v>68</v>
      </c>
      <c r="D664" s="1" t="s">
        <v>1683</v>
      </c>
      <c r="E664" s="1" t="s">
        <v>1698</v>
      </c>
      <c r="F664" s="1" t="s">
        <v>1729</v>
      </c>
      <c r="H664" s="1" t="s">
        <v>1707</v>
      </c>
      <c r="I664" s="1" t="s">
        <v>1718</v>
      </c>
      <c r="L664" s="4">
        <v>44799</v>
      </c>
      <c r="M664" s="1" t="s">
        <v>15</v>
      </c>
      <c r="N664" s="1" t="s">
        <v>1353</v>
      </c>
      <c r="O664" s="1" t="s">
        <v>10</v>
      </c>
    </row>
    <row r="665" spans="1:15" x14ac:dyDescent="0.3">
      <c r="A665" s="1" t="str">
        <f>HYPERLINK("https://hsdes.intel.com/resource/14013175631","14013175631")</f>
        <v>14013175631</v>
      </c>
      <c r="B665" s="1" t="s">
        <v>1354</v>
      </c>
      <c r="C665" s="1" t="s">
        <v>14</v>
      </c>
      <c r="D665" s="1" t="s">
        <v>1683</v>
      </c>
      <c r="E665" s="1" t="s">
        <v>1698</v>
      </c>
      <c r="F665" s="1" t="s">
        <v>1729</v>
      </c>
      <c r="H665" s="1" t="s">
        <v>1707</v>
      </c>
      <c r="I665" s="1" t="s">
        <v>1718</v>
      </c>
      <c r="L665" s="4">
        <v>44798</v>
      </c>
      <c r="M665" s="1" t="s">
        <v>15</v>
      </c>
      <c r="N665" s="1" t="s">
        <v>1355</v>
      </c>
      <c r="O665" s="1" t="s">
        <v>10</v>
      </c>
    </row>
    <row r="666" spans="1:15" x14ac:dyDescent="0.3">
      <c r="A666" s="1" t="str">
        <f>HYPERLINK("https://hsdes.intel.com/resource/14013175635","14013175635")</f>
        <v>14013175635</v>
      </c>
      <c r="B666" s="1" t="s">
        <v>1356</v>
      </c>
      <c r="C666" s="1" t="s">
        <v>115</v>
      </c>
      <c r="D666" s="1" t="s">
        <v>1683</v>
      </c>
      <c r="E666" s="1" t="s">
        <v>1698</v>
      </c>
      <c r="F666" s="1" t="s">
        <v>1729</v>
      </c>
      <c r="H666" s="7" t="s">
        <v>1707</v>
      </c>
      <c r="I666" s="1" t="s">
        <v>1718</v>
      </c>
      <c r="L666" s="4">
        <v>44802</v>
      </c>
      <c r="M666" s="1" t="s">
        <v>15</v>
      </c>
      <c r="N666" s="1" t="s">
        <v>1357</v>
      </c>
      <c r="O666" s="1" t="s">
        <v>7</v>
      </c>
    </row>
    <row r="667" spans="1:15" x14ac:dyDescent="0.3">
      <c r="A667" s="1" t="str">
        <f>HYPERLINK("https://hsdes.intel.com/resource/14013175666","14013175666")</f>
        <v>14013175666</v>
      </c>
      <c r="B667" s="1" t="s">
        <v>1358</v>
      </c>
      <c r="C667" s="1" t="s">
        <v>75</v>
      </c>
      <c r="D667" s="1" t="s">
        <v>1684</v>
      </c>
      <c r="E667" s="1" t="s">
        <v>1698</v>
      </c>
      <c r="F667" s="1" t="s">
        <v>1729</v>
      </c>
      <c r="H667" s="1" t="s">
        <v>1707</v>
      </c>
      <c r="I667" s="1" t="s">
        <v>1671</v>
      </c>
      <c r="L667" s="4">
        <v>44802</v>
      </c>
      <c r="M667" s="1" t="s">
        <v>76</v>
      </c>
      <c r="N667" s="1" t="s">
        <v>1359</v>
      </c>
      <c r="O667" s="1" t="s">
        <v>10</v>
      </c>
    </row>
    <row r="668" spans="1:15" x14ac:dyDescent="0.3">
      <c r="A668" s="1" t="str">
        <f>HYPERLINK("https://hsdes.intel.com/resource/14013175673","14013175673")</f>
        <v>14013175673</v>
      </c>
      <c r="B668" s="1" t="s">
        <v>1360</v>
      </c>
      <c r="C668" s="1" t="s">
        <v>36</v>
      </c>
      <c r="D668" s="1" t="s">
        <v>1683</v>
      </c>
      <c r="E668" s="1" t="s">
        <v>1698</v>
      </c>
      <c r="F668" s="1" t="s">
        <v>1729</v>
      </c>
      <c r="H668" s="1" t="s">
        <v>1707</v>
      </c>
      <c r="I668" s="1" t="s">
        <v>1718</v>
      </c>
      <c r="L668" s="4">
        <v>44799</v>
      </c>
      <c r="M668" s="1" t="s">
        <v>37</v>
      </c>
      <c r="N668" s="1" t="s">
        <v>1361</v>
      </c>
      <c r="O668" s="1" t="s">
        <v>10</v>
      </c>
    </row>
    <row r="669" spans="1:15" x14ac:dyDescent="0.3">
      <c r="A669" s="1" t="str">
        <f>HYPERLINK("https://hsdes.intel.com/resource/14013175709","14013175709")</f>
        <v>14013175709</v>
      </c>
      <c r="B669" s="1" t="s">
        <v>1362</v>
      </c>
      <c r="C669" s="1" t="s">
        <v>75</v>
      </c>
      <c r="D669" s="1" t="s">
        <v>1683</v>
      </c>
      <c r="E669" s="1" t="s">
        <v>1698</v>
      </c>
      <c r="F669" s="1" t="s">
        <v>1729</v>
      </c>
      <c r="H669" s="1" t="s">
        <v>1707</v>
      </c>
      <c r="I669" s="1" t="s">
        <v>1672</v>
      </c>
      <c r="L669" s="22">
        <v>44796</v>
      </c>
      <c r="M669" s="1" t="s">
        <v>76</v>
      </c>
      <c r="N669" s="1" t="s">
        <v>1363</v>
      </c>
      <c r="O669" s="1" t="s">
        <v>10</v>
      </c>
    </row>
    <row r="670" spans="1:15" x14ac:dyDescent="0.3">
      <c r="A670" s="1" t="str">
        <f>HYPERLINK("https://hsdes.intel.com/resource/14013175715","14013175715")</f>
        <v>14013175715</v>
      </c>
      <c r="B670" s="1" t="s">
        <v>1364</v>
      </c>
      <c r="C670" s="1" t="s">
        <v>118</v>
      </c>
      <c r="D670" s="1" t="s">
        <v>1684</v>
      </c>
      <c r="E670" s="1" t="s">
        <v>1698</v>
      </c>
      <c r="F670" s="1" t="s">
        <v>1729</v>
      </c>
      <c r="H670" s="1" t="s">
        <v>1707</v>
      </c>
      <c r="I670" s="1" t="s">
        <v>1671</v>
      </c>
      <c r="L670" s="4">
        <v>44802</v>
      </c>
      <c r="M670" s="1" t="s">
        <v>19</v>
      </c>
      <c r="N670" s="1" t="s">
        <v>1365</v>
      </c>
      <c r="O670" s="1" t="s">
        <v>10</v>
      </c>
    </row>
    <row r="671" spans="1:15" x14ac:dyDescent="0.3">
      <c r="A671" s="1" t="str">
        <f>HYPERLINK("https://hsdes.intel.com/resource/14013175724","14013175724")</f>
        <v>14013175724</v>
      </c>
      <c r="B671" s="1" t="s">
        <v>1366</v>
      </c>
      <c r="C671" s="1" t="s">
        <v>36</v>
      </c>
      <c r="D671" s="1" t="s">
        <v>1684</v>
      </c>
      <c r="E671" s="1" t="s">
        <v>1698</v>
      </c>
      <c r="F671" s="1" t="s">
        <v>1729</v>
      </c>
      <c r="H671" s="1" t="s">
        <v>1707</v>
      </c>
      <c r="I671" s="1" t="s">
        <v>1673</v>
      </c>
      <c r="L671" s="4">
        <v>44798</v>
      </c>
      <c r="M671" s="1" t="s">
        <v>37</v>
      </c>
      <c r="N671" s="1" t="s">
        <v>1367</v>
      </c>
      <c r="O671" s="1" t="s">
        <v>10</v>
      </c>
    </row>
    <row r="672" spans="1:15" x14ac:dyDescent="0.3">
      <c r="A672" s="1" t="str">
        <f>HYPERLINK("https://hsdes.intel.com/resource/14013175746","14013175746")</f>
        <v>14013175746</v>
      </c>
      <c r="B672" s="1" t="s">
        <v>1368</v>
      </c>
      <c r="C672" s="1" t="s">
        <v>118</v>
      </c>
      <c r="D672" s="1" t="s">
        <v>1684</v>
      </c>
      <c r="E672" s="1" t="s">
        <v>1698</v>
      </c>
      <c r="F672" s="1" t="s">
        <v>1729</v>
      </c>
      <c r="H672" s="1" t="s">
        <v>1707</v>
      </c>
      <c r="I672" s="1" t="s">
        <v>1671</v>
      </c>
      <c r="L672" s="4">
        <v>44802</v>
      </c>
      <c r="M672" s="1" t="s">
        <v>19</v>
      </c>
      <c r="N672" s="1" t="s">
        <v>1369</v>
      </c>
      <c r="O672" s="1" t="s">
        <v>10</v>
      </c>
    </row>
    <row r="673" spans="1:16" x14ac:dyDescent="0.3">
      <c r="A673" s="1" t="str">
        <f>HYPERLINK("https://hsdes.intel.com/resource/14013175753","14013175753")</f>
        <v>14013175753</v>
      </c>
      <c r="B673" s="1" t="s">
        <v>1370</v>
      </c>
      <c r="C673" s="1" t="s">
        <v>36</v>
      </c>
      <c r="D673" s="1" t="s">
        <v>1683</v>
      </c>
      <c r="E673" s="1" t="s">
        <v>1698</v>
      </c>
      <c r="F673" s="1" t="s">
        <v>1729</v>
      </c>
      <c r="H673" s="1" t="s">
        <v>1717</v>
      </c>
      <c r="I673" s="1" t="s">
        <v>1671</v>
      </c>
      <c r="K673" s="1" t="s">
        <v>1677</v>
      </c>
      <c r="L673" s="4"/>
      <c r="M673" s="1" t="s">
        <v>37</v>
      </c>
      <c r="N673" s="1" t="s">
        <v>1371</v>
      </c>
      <c r="O673" s="1" t="s">
        <v>32</v>
      </c>
      <c r="P673" s="1" t="s">
        <v>1710</v>
      </c>
    </row>
    <row r="674" spans="1:16" x14ac:dyDescent="0.3">
      <c r="A674" s="1" t="str">
        <f>HYPERLINK("https://hsdes.intel.com/resource/14013175762","14013175762")</f>
        <v>14013175762</v>
      </c>
      <c r="B674" s="1" t="s">
        <v>1372</v>
      </c>
      <c r="C674" s="1" t="s">
        <v>36</v>
      </c>
      <c r="D674" s="1" t="s">
        <v>1683</v>
      </c>
      <c r="E674" s="1" t="s">
        <v>1698</v>
      </c>
      <c r="F674" s="1" t="s">
        <v>1729</v>
      </c>
      <c r="H674" s="1" t="s">
        <v>1707</v>
      </c>
      <c r="I674" s="1" t="s">
        <v>1672</v>
      </c>
      <c r="K674" s="1" t="s">
        <v>1706</v>
      </c>
      <c r="L674" s="4">
        <v>44803</v>
      </c>
      <c r="M674" s="1" t="s">
        <v>37</v>
      </c>
      <c r="N674" s="1" t="s">
        <v>1373</v>
      </c>
      <c r="O674" s="1" t="s">
        <v>10</v>
      </c>
      <c r="P674" s="1" t="s">
        <v>1710</v>
      </c>
    </row>
    <row r="675" spans="1:16" x14ac:dyDescent="0.3">
      <c r="A675" s="1" t="str">
        <f>HYPERLINK("https://hsdes.intel.com/resource/14013175764","14013175764")</f>
        <v>14013175764</v>
      </c>
      <c r="B675" s="1" t="s">
        <v>1374</v>
      </c>
      <c r="C675" s="1" t="s">
        <v>59</v>
      </c>
      <c r="D675" s="1" t="s">
        <v>1683</v>
      </c>
      <c r="E675" s="1" t="s">
        <v>1698</v>
      </c>
      <c r="F675" s="1" t="s">
        <v>1729</v>
      </c>
      <c r="H675" s="1" t="s">
        <v>1707</v>
      </c>
      <c r="I675" s="1" t="s">
        <v>1673</v>
      </c>
      <c r="L675" s="4">
        <v>44802</v>
      </c>
      <c r="M675" s="1" t="s">
        <v>15</v>
      </c>
      <c r="N675" s="1" t="s">
        <v>1375</v>
      </c>
      <c r="O675" s="1" t="s">
        <v>32</v>
      </c>
    </row>
    <row r="676" spans="1:16" x14ac:dyDescent="0.3">
      <c r="A676" s="1" t="str">
        <f>HYPERLINK("https://hsdes.intel.com/resource/14013175768","14013175768")</f>
        <v>14013175768</v>
      </c>
      <c r="B676" s="1" t="s">
        <v>1376</v>
      </c>
      <c r="C676" s="1" t="s">
        <v>4</v>
      </c>
      <c r="D676" s="1" t="s">
        <v>1683</v>
      </c>
      <c r="E676" s="1" t="s">
        <v>1698</v>
      </c>
      <c r="F676" s="1" t="s">
        <v>1729</v>
      </c>
      <c r="H676" s="1" t="s">
        <v>1707</v>
      </c>
      <c r="I676" s="1" t="s">
        <v>1718</v>
      </c>
      <c r="L676" s="4">
        <v>44799</v>
      </c>
      <c r="M676" s="1" t="s">
        <v>5</v>
      </c>
      <c r="N676" s="1" t="s">
        <v>1377</v>
      </c>
      <c r="O676" s="1" t="s">
        <v>32</v>
      </c>
    </row>
    <row r="677" spans="1:16" x14ac:dyDescent="0.3">
      <c r="A677" s="1" t="str">
        <f>HYPERLINK("https://hsdes.intel.com/resource/14013175770","14013175770")</f>
        <v>14013175770</v>
      </c>
      <c r="B677" s="1" t="s">
        <v>1378</v>
      </c>
      <c r="C677" s="1" t="s">
        <v>4</v>
      </c>
      <c r="D677" s="1" t="s">
        <v>1683</v>
      </c>
      <c r="E677" s="1" t="s">
        <v>1698</v>
      </c>
      <c r="F677" s="1" t="s">
        <v>1729</v>
      </c>
      <c r="H677" s="1" t="s">
        <v>1707</v>
      </c>
      <c r="I677" s="1" t="s">
        <v>1718</v>
      </c>
      <c r="L677" s="4">
        <v>44799</v>
      </c>
      <c r="M677" s="1" t="s">
        <v>5</v>
      </c>
      <c r="N677" s="1" t="s">
        <v>1379</v>
      </c>
      <c r="O677" s="1" t="s">
        <v>7</v>
      </c>
    </row>
    <row r="678" spans="1:16" x14ac:dyDescent="0.3">
      <c r="A678" s="1" t="str">
        <f>HYPERLINK("https://hsdes.intel.com/resource/14013175832","14013175832")</f>
        <v>14013175832</v>
      </c>
      <c r="B678" s="1" t="s">
        <v>1380</v>
      </c>
      <c r="C678" s="1" t="s">
        <v>59</v>
      </c>
      <c r="D678" s="1" t="s">
        <v>1683</v>
      </c>
      <c r="E678" s="1" t="s">
        <v>1698</v>
      </c>
      <c r="F678" s="1" t="s">
        <v>1729</v>
      </c>
      <c r="H678" s="1" t="s">
        <v>1707</v>
      </c>
      <c r="I678" s="1" t="s">
        <v>1673</v>
      </c>
      <c r="L678" s="4">
        <v>44797</v>
      </c>
      <c r="M678" s="1" t="s">
        <v>15</v>
      </c>
      <c r="N678" s="1" t="s">
        <v>1381</v>
      </c>
      <c r="O678" s="1" t="s">
        <v>10</v>
      </c>
    </row>
    <row r="679" spans="1:16" x14ac:dyDescent="0.3">
      <c r="A679" s="1" t="str">
        <f>HYPERLINK("https://hsdes.intel.com/resource/14013175838","14013175838")</f>
        <v>14013175838</v>
      </c>
      <c r="B679" s="1" t="s">
        <v>1382</v>
      </c>
      <c r="C679" s="1" t="s">
        <v>98</v>
      </c>
      <c r="D679" s="1" t="s">
        <v>1683</v>
      </c>
      <c r="E679" s="1" t="s">
        <v>1698</v>
      </c>
      <c r="F679" s="1" t="s">
        <v>1729</v>
      </c>
      <c r="H679" s="1" t="s">
        <v>1707</v>
      </c>
      <c r="I679" s="1" t="s">
        <v>1673</v>
      </c>
      <c r="L679" s="4">
        <v>44797</v>
      </c>
      <c r="M679" s="1" t="s">
        <v>76</v>
      </c>
      <c r="N679" s="1" t="s">
        <v>1383</v>
      </c>
      <c r="O679" s="1" t="s">
        <v>10</v>
      </c>
    </row>
    <row r="680" spans="1:16" x14ac:dyDescent="0.3">
      <c r="A680" s="1" t="str">
        <f>HYPERLINK("https://hsdes.intel.com/resource/14013175866","14013175866")</f>
        <v>14013175866</v>
      </c>
      <c r="B680" s="1" t="s">
        <v>1384</v>
      </c>
      <c r="C680" s="1" t="s">
        <v>4</v>
      </c>
      <c r="D680" s="1" t="s">
        <v>1684</v>
      </c>
      <c r="E680" s="1" t="s">
        <v>1698</v>
      </c>
      <c r="F680" s="1" t="s">
        <v>1729</v>
      </c>
      <c r="H680" s="1" t="s">
        <v>1707</v>
      </c>
      <c r="I680" s="1" t="s">
        <v>1718</v>
      </c>
      <c r="L680" s="4">
        <v>44798</v>
      </c>
      <c r="M680" s="1" t="s">
        <v>5</v>
      </c>
      <c r="N680" s="1" t="s">
        <v>1385</v>
      </c>
      <c r="O680" s="1" t="s">
        <v>32</v>
      </c>
    </row>
    <row r="681" spans="1:16" x14ac:dyDescent="0.3">
      <c r="A681" s="1" t="str">
        <f>HYPERLINK("https://hsdes.intel.com/resource/14013175888","14013175888")</f>
        <v>14013175888</v>
      </c>
      <c r="B681" s="1" t="s">
        <v>1386</v>
      </c>
      <c r="C681" s="1" t="s">
        <v>118</v>
      </c>
      <c r="D681" s="1" t="s">
        <v>1684</v>
      </c>
      <c r="E681" s="1" t="s">
        <v>1698</v>
      </c>
      <c r="F681" s="1" t="s">
        <v>1729</v>
      </c>
      <c r="H681" s="1" t="s">
        <v>1707</v>
      </c>
      <c r="I681" s="1" t="s">
        <v>1673</v>
      </c>
      <c r="L681" s="4">
        <v>44803</v>
      </c>
      <c r="M681" s="1" t="s">
        <v>19</v>
      </c>
      <c r="N681" s="1" t="s">
        <v>1387</v>
      </c>
      <c r="O681" s="1" t="s">
        <v>7</v>
      </c>
    </row>
    <row r="682" spans="1:16" x14ac:dyDescent="0.3">
      <c r="A682" s="1" t="str">
        <f>HYPERLINK("https://hsdes.intel.com/resource/14013175897","14013175897")</f>
        <v>14013175897</v>
      </c>
      <c r="B682" s="1" t="s">
        <v>1388</v>
      </c>
      <c r="C682" s="1" t="s">
        <v>36</v>
      </c>
      <c r="D682" s="1" t="s">
        <v>1683</v>
      </c>
      <c r="E682" s="1" t="s">
        <v>1698</v>
      </c>
      <c r="F682" s="1" t="s">
        <v>1729</v>
      </c>
      <c r="H682" s="1" t="s">
        <v>1674</v>
      </c>
      <c r="I682" s="1" t="s">
        <v>1674</v>
      </c>
      <c r="M682" s="1" t="s">
        <v>37</v>
      </c>
      <c r="N682" s="1" t="s">
        <v>1389</v>
      </c>
      <c r="O682" s="1" t="s">
        <v>10</v>
      </c>
    </row>
    <row r="683" spans="1:16" x14ac:dyDescent="0.3">
      <c r="A683" s="1" t="str">
        <f>HYPERLINK("https://hsdes.intel.com/resource/14013175948","14013175948")</f>
        <v>14013175948</v>
      </c>
      <c r="B683" s="1" t="s">
        <v>1390</v>
      </c>
      <c r="C683" s="1" t="s">
        <v>59</v>
      </c>
      <c r="D683" s="1" t="s">
        <v>1683</v>
      </c>
      <c r="E683" s="1" t="s">
        <v>1698</v>
      </c>
      <c r="F683" s="1" t="s">
        <v>1729</v>
      </c>
      <c r="H683" s="1" t="s">
        <v>1707</v>
      </c>
      <c r="I683" s="1" t="s">
        <v>1673</v>
      </c>
      <c r="L683" s="4">
        <v>44797</v>
      </c>
      <c r="M683" s="1" t="s">
        <v>15</v>
      </c>
      <c r="N683" s="1" t="s">
        <v>1391</v>
      </c>
      <c r="O683" s="1" t="s">
        <v>7</v>
      </c>
    </row>
    <row r="684" spans="1:16" x14ac:dyDescent="0.3">
      <c r="A684" s="1" t="str">
        <f>HYPERLINK("https://hsdes.intel.com/resource/14013175953","14013175953")</f>
        <v>14013175953</v>
      </c>
      <c r="B684" s="1" t="s">
        <v>1392</v>
      </c>
      <c r="C684" s="1" t="s">
        <v>59</v>
      </c>
      <c r="D684" s="1" t="s">
        <v>1683</v>
      </c>
      <c r="E684" s="1" t="s">
        <v>1698</v>
      </c>
      <c r="F684" s="1" t="s">
        <v>1729</v>
      </c>
      <c r="H684" s="1" t="s">
        <v>1707</v>
      </c>
      <c r="I684" s="1" t="s">
        <v>1671</v>
      </c>
      <c r="L684" s="4">
        <v>44799</v>
      </c>
      <c r="M684" s="1" t="s">
        <v>15</v>
      </c>
      <c r="N684" s="1" t="s">
        <v>1393</v>
      </c>
      <c r="O684" s="1" t="s">
        <v>10</v>
      </c>
    </row>
    <row r="685" spans="1:16" x14ac:dyDescent="0.3">
      <c r="A685" s="1" t="str">
        <f>HYPERLINK("https://hsdes.intel.com/resource/14013176019","14013176019")</f>
        <v>14013176019</v>
      </c>
      <c r="B685" s="1" t="s">
        <v>1394</v>
      </c>
      <c r="C685" s="1" t="s">
        <v>118</v>
      </c>
      <c r="D685" s="1" t="s">
        <v>1684</v>
      </c>
      <c r="E685" s="1" t="s">
        <v>1698</v>
      </c>
      <c r="F685" s="1" t="s">
        <v>1729</v>
      </c>
      <c r="H685" s="1" t="s">
        <v>1707</v>
      </c>
      <c r="I685" s="1" t="s">
        <v>1671</v>
      </c>
      <c r="K685" s="1" t="s">
        <v>1682</v>
      </c>
      <c r="L685" s="4">
        <v>44802</v>
      </c>
      <c r="M685" s="1" t="s">
        <v>19</v>
      </c>
      <c r="N685" s="1" t="s">
        <v>1395</v>
      </c>
      <c r="O685" s="1" t="s">
        <v>10</v>
      </c>
    </row>
    <row r="686" spans="1:16" x14ac:dyDescent="0.3">
      <c r="A686" s="1" t="str">
        <f>HYPERLINK("https://hsdes.intel.com/resource/14013176036","14013176036")</f>
        <v>14013176036</v>
      </c>
      <c r="B686" s="1" t="s">
        <v>1396</v>
      </c>
      <c r="C686" s="1" t="s">
        <v>4</v>
      </c>
      <c r="D686" s="1" t="s">
        <v>1684</v>
      </c>
      <c r="E686" s="1" t="s">
        <v>1698</v>
      </c>
      <c r="F686" s="1" t="s">
        <v>1729</v>
      </c>
      <c r="H686" s="1" t="s">
        <v>1707</v>
      </c>
      <c r="I686" s="1" t="s">
        <v>1723</v>
      </c>
      <c r="L686" s="4">
        <v>44802</v>
      </c>
      <c r="M686" s="1" t="s">
        <v>5</v>
      </c>
      <c r="N686" s="1" t="s">
        <v>1397</v>
      </c>
      <c r="O686" s="1" t="s">
        <v>7</v>
      </c>
    </row>
    <row r="687" spans="1:16" x14ac:dyDescent="0.3">
      <c r="A687" s="1" t="str">
        <f>HYPERLINK("https://hsdes.intel.com/resource/14013176048","14013176048")</f>
        <v>14013176048</v>
      </c>
      <c r="B687" s="1" t="s">
        <v>1398</v>
      </c>
      <c r="C687" s="1" t="s">
        <v>118</v>
      </c>
      <c r="D687" s="1" t="s">
        <v>1684</v>
      </c>
      <c r="E687" s="1" t="s">
        <v>1698</v>
      </c>
      <c r="F687" s="1" t="s">
        <v>1729</v>
      </c>
      <c r="H687" s="1" t="s">
        <v>1707</v>
      </c>
      <c r="I687" s="1" t="s">
        <v>1672</v>
      </c>
      <c r="K687" s="1" t="s">
        <v>1676</v>
      </c>
      <c r="L687" s="4">
        <v>44803</v>
      </c>
      <c r="M687" s="1" t="s">
        <v>19</v>
      </c>
      <c r="N687" s="1" t="s">
        <v>1399</v>
      </c>
      <c r="O687" s="1" t="s">
        <v>10</v>
      </c>
    </row>
    <row r="688" spans="1:16" x14ac:dyDescent="0.3">
      <c r="A688" s="1" t="str">
        <f>HYPERLINK("https://hsdes.intel.com/resource/14013176063","14013176063")</f>
        <v>14013176063</v>
      </c>
      <c r="B688" s="1" t="s">
        <v>1400</v>
      </c>
      <c r="C688" s="1" t="s">
        <v>59</v>
      </c>
      <c r="D688" s="1" t="s">
        <v>1683</v>
      </c>
      <c r="E688" s="1" t="s">
        <v>1698</v>
      </c>
      <c r="F688" s="1" t="s">
        <v>1729</v>
      </c>
      <c r="H688" s="1" t="s">
        <v>1708</v>
      </c>
      <c r="I688" s="1" t="s">
        <v>1720</v>
      </c>
      <c r="L688" s="4">
        <v>44802</v>
      </c>
      <c r="M688" s="1" t="s">
        <v>15</v>
      </c>
      <c r="N688" s="1" t="s">
        <v>1401</v>
      </c>
      <c r="O688" s="1" t="s">
        <v>10</v>
      </c>
    </row>
    <row r="689" spans="1:16" x14ac:dyDescent="0.3">
      <c r="A689" s="1" t="str">
        <f>HYPERLINK("https://hsdes.intel.com/resource/14013176084","14013176084")</f>
        <v>14013176084</v>
      </c>
      <c r="B689" s="1" t="s">
        <v>1402</v>
      </c>
      <c r="C689" s="1" t="s">
        <v>118</v>
      </c>
      <c r="D689" s="1" t="s">
        <v>1684</v>
      </c>
      <c r="E689" s="1" t="s">
        <v>1698</v>
      </c>
      <c r="F689" s="1" t="s">
        <v>1729</v>
      </c>
      <c r="H689" s="1" t="s">
        <v>1707</v>
      </c>
      <c r="I689" s="1" t="s">
        <v>1720</v>
      </c>
      <c r="L689" s="4">
        <v>44802</v>
      </c>
      <c r="M689" s="1" t="s">
        <v>19</v>
      </c>
      <c r="N689" s="1" t="s">
        <v>1403</v>
      </c>
      <c r="O689" s="1" t="s">
        <v>10</v>
      </c>
    </row>
    <row r="690" spans="1:16" x14ac:dyDescent="0.3">
      <c r="A690" s="1" t="str">
        <f>HYPERLINK("https://hsdes.intel.com/resource/14013176106","14013176106")</f>
        <v>14013176106</v>
      </c>
      <c r="B690" s="1" t="s">
        <v>1404</v>
      </c>
      <c r="C690" s="1" t="s">
        <v>118</v>
      </c>
      <c r="D690" s="1" t="s">
        <v>1684</v>
      </c>
      <c r="E690" s="1" t="s">
        <v>1698</v>
      </c>
      <c r="F690" s="1" t="s">
        <v>1729</v>
      </c>
      <c r="H690" s="1" t="s">
        <v>1707</v>
      </c>
      <c r="I690" s="1" t="s">
        <v>1727</v>
      </c>
      <c r="K690" s="1" t="s">
        <v>1678</v>
      </c>
      <c r="L690" s="4">
        <v>44803</v>
      </c>
      <c r="M690" s="1" t="s">
        <v>19</v>
      </c>
      <c r="N690" s="1" t="s">
        <v>1405</v>
      </c>
      <c r="O690" s="1" t="s">
        <v>7</v>
      </c>
    </row>
    <row r="691" spans="1:16" x14ac:dyDescent="0.3">
      <c r="A691" s="1" t="str">
        <f>HYPERLINK("https://hsdes.intel.com/resource/14013176145","14013176145")</f>
        <v>14013176145</v>
      </c>
      <c r="B691" s="1" t="s">
        <v>1406</v>
      </c>
      <c r="C691" s="1" t="s">
        <v>59</v>
      </c>
      <c r="D691" s="1" t="s">
        <v>1683</v>
      </c>
      <c r="E691" s="1" t="s">
        <v>1698</v>
      </c>
      <c r="F691" s="1" t="s">
        <v>1729</v>
      </c>
      <c r="H691" s="1" t="s">
        <v>1707</v>
      </c>
      <c r="I691" s="1" t="s">
        <v>1673</v>
      </c>
      <c r="L691" s="4">
        <v>44797</v>
      </c>
      <c r="M691" s="1" t="s">
        <v>15</v>
      </c>
      <c r="N691" s="1" t="s">
        <v>1407</v>
      </c>
      <c r="O691" s="1" t="s">
        <v>10</v>
      </c>
    </row>
    <row r="692" spans="1:16" x14ac:dyDescent="0.3">
      <c r="A692" s="1" t="str">
        <f>HYPERLINK("https://hsdes.intel.com/resource/14013176172","14013176172")</f>
        <v>14013176172</v>
      </c>
      <c r="B692" s="1" t="s">
        <v>1408</v>
      </c>
      <c r="C692" s="1" t="s">
        <v>89</v>
      </c>
      <c r="D692" s="1" t="s">
        <v>1683</v>
      </c>
      <c r="E692" s="1" t="s">
        <v>1698</v>
      </c>
      <c r="F692" s="1" t="s">
        <v>1729</v>
      </c>
      <c r="H692" s="1" t="s">
        <v>1707</v>
      </c>
      <c r="I692" s="1" t="s">
        <v>1673</v>
      </c>
      <c r="L692" s="4">
        <v>44798</v>
      </c>
      <c r="M692" s="1" t="s">
        <v>23</v>
      </c>
      <c r="N692" s="1" t="s">
        <v>1409</v>
      </c>
      <c r="O692" s="1" t="s">
        <v>10</v>
      </c>
    </row>
    <row r="693" spans="1:16" x14ac:dyDescent="0.3">
      <c r="A693" s="1" t="str">
        <f>HYPERLINK("https://hsdes.intel.com/resource/14013176205","14013176205")</f>
        <v>14013176205</v>
      </c>
      <c r="B693" s="1" t="s">
        <v>1410</v>
      </c>
      <c r="C693" s="1" t="s">
        <v>59</v>
      </c>
      <c r="D693" s="1" t="s">
        <v>1683</v>
      </c>
      <c r="E693" s="1" t="s">
        <v>1698</v>
      </c>
      <c r="F693" s="1" t="s">
        <v>1729</v>
      </c>
      <c r="H693" s="8" t="s">
        <v>1708</v>
      </c>
      <c r="I693" s="1" t="s">
        <v>1672</v>
      </c>
      <c r="L693" s="4">
        <v>44803</v>
      </c>
      <c r="M693" s="1" t="s">
        <v>15</v>
      </c>
      <c r="N693" s="1" t="s">
        <v>1411</v>
      </c>
      <c r="O693" s="1" t="s">
        <v>10</v>
      </c>
    </row>
    <row r="694" spans="1:16" x14ac:dyDescent="0.3">
      <c r="A694" s="1" t="str">
        <f>HYPERLINK("https://hsdes.intel.com/resource/14013176237","14013176237")</f>
        <v>14013176237</v>
      </c>
      <c r="B694" s="1" t="s">
        <v>1412</v>
      </c>
      <c r="C694" s="1" t="s">
        <v>59</v>
      </c>
      <c r="D694" s="1" t="s">
        <v>1683</v>
      </c>
      <c r="E694" s="1" t="s">
        <v>1698</v>
      </c>
      <c r="F694" s="1" t="s">
        <v>1729</v>
      </c>
      <c r="H694" s="8" t="s">
        <v>1707</v>
      </c>
      <c r="I694" s="1" t="s">
        <v>1672</v>
      </c>
      <c r="K694" s="1" t="s">
        <v>1681</v>
      </c>
      <c r="L694" s="4">
        <v>44803</v>
      </c>
      <c r="M694" s="1" t="s">
        <v>15</v>
      </c>
      <c r="N694" s="1" t="s">
        <v>1413</v>
      </c>
      <c r="O694" s="1" t="s">
        <v>10</v>
      </c>
    </row>
    <row r="695" spans="1:16" x14ac:dyDescent="0.3">
      <c r="A695" s="1" t="str">
        <f>HYPERLINK("https://hsdes.intel.com/resource/14013176273","14013176273")</f>
        <v>14013176273</v>
      </c>
      <c r="B695" s="1" t="s">
        <v>1414</v>
      </c>
      <c r="C695" s="1" t="s">
        <v>98</v>
      </c>
      <c r="D695" s="1" t="s">
        <v>1684</v>
      </c>
      <c r="E695" s="1" t="s">
        <v>1698</v>
      </c>
      <c r="F695" s="1" t="s">
        <v>1729</v>
      </c>
      <c r="H695" s="1" t="s">
        <v>1674</v>
      </c>
      <c r="I695" s="1" t="s">
        <v>1674</v>
      </c>
      <c r="M695" s="1" t="s">
        <v>76</v>
      </c>
      <c r="N695" s="1" t="s">
        <v>1415</v>
      </c>
      <c r="O695" s="1" t="s">
        <v>10</v>
      </c>
    </row>
    <row r="696" spans="1:16" x14ac:dyDescent="0.3">
      <c r="A696" s="1" t="str">
        <f>HYPERLINK("https://hsdes.intel.com/resource/14013176285","14013176285")</f>
        <v>14013176285</v>
      </c>
      <c r="B696" s="1" t="s">
        <v>1416</v>
      </c>
      <c r="C696" s="1" t="s">
        <v>59</v>
      </c>
      <c r="D696" s="1" t="s">
        <v>1683</v>
      </c>
      <c r="E696" s="1" t="s">
        <v>1698</v>
      </c>
      <c r="F696" s="1" t="s">
        <v>1729</v>
      </c>
      <c r="H696" s="1" t="s">
        <v>1708</v>
      </c>
      <c r="I696" s="1" t="s">
        <v>1672</v>
      </c>
      <c r="L696" s="4">
        <v>44803</v>
      </c>
      <c r="M696" s="1" t="s">
        <v>15</v>
      </c>
      <c r="N696" s="1" t="s">
        <v>1417</v>
      </c>
      <c r="O696" s="1" t="s">
        <v>7</v>
      </c>
    </row>
    <row r="697" spans="1:16" x14ac:dyDescent="0.3">
      <c r="A697" s="1" t="str">
        <f>HYPERLINK("https://hsdes.intel.com/resource/14013176347","14013176347")</f>
        <v>14013176347</v>
      </c>
      <c r="B697" s="1" t="s">
        <v>1418</v>
      </c>
      <c r="C697" s="1" t="s">
        <v>36</v>
      </c>
      <c r="D697" s="1" t="s">
        <v>1683</v>
      </c>
      <c r="E697" s="1" t="s">
        <v>1698</v>
      </c>
      <c r="F697" s="1" t="s">
        <v>1729</v>
      </c>
      <c r="H697" s="1" t="s">
        <v>1708</v>
      </c>
      <c r="I697" s="1" t="s">
        <v>1672</v>
      </c>
      <c r="L697" s="4">
        <v>44802</v>
      </c>
      <c r="M697" s="1" t="s">
        <v>37</v>
      </c>
      <c r="N697" s="1" t="s">
        <v>1419</v>
      </c>
      <c r="O697" s="1" t="s">
        <v>10</v>
      </c>
    </row>
    <row r="698" spans="1:16" x14ac:dyDescent="0.3">
      <c r="A698" s="1" t="str">
        <f>HYPERLINK("https://hsdes.intel.com/resource/14013176358","14013176358")</f>
        <v>14013176358</v>
      </c>
      <c r="B698" s="1" t="s">
        <v>1420</v>
      </c>
      <c r="C698" s="1" t="s">
        <v>18</v>
      </c>
      <c r="D698" s="1" t="s">
        <v>1683</v>
      </c>
      <c r="E698" s="1" t="s">
        <v>1698</v>
      </c>
      <c r="F698" s="1" t="s">
        <v>1729</v>
      </c>
      <c r="H698" s="1" t="s">
        <v>1708</v>
      </c>
      <c r="I698" s="1" t="s">
        <v>1721</v>
      </c>
      <c r="L698" s="4">
        <v>44802</v>
      </c>
      <c r="M698" s="1" t="s">
        <v>19</v>
      </c>
      <c r="N698" s="1" t="s">
        <v>1421</v>
      </c>
      <c r="O698" s="1" t="s">
        <v>10</v>
      </c>
    </row>
    <row r="699" spans="1:16" x14ac:dyDescent="0.3">
      <c r="A699" s="1" t="str">
        <f>HYPERLINK("https://hsdes.intel.com/resource/14013176373","14013176373")</f>
        <v>14013176373</v>
      </c>
      <c r="B699" s="1" t="s">
        <v>1422</v>
      </c>
      <c r="C699" s="1" t="s">
        <v>118</v>
      </c>
      <c r="D699" s="1" t="s">
        <v>1683</v>
      </c>
      <c r="E699" s="1" t="s">
        <v>1698</v>
      </c>
      <c r="F699" s="1" t="s">
        <v>1729</v>
      </c>
      <c r="H699" s="1" t="s">
        <v>1708</v>
      </c>
      <c r="I699" s="1" t="s">
        <v>1720</v>
      </c>
      <c r="L699" s="4">
        <v>44802</v>
      </c>
      <c r="M699" s="1" t="s">
        <v>19</v>
      </c>
      <c r="N699" s="1" t="s">
        <v>1423</v>
      </c>
      <c r="O699" s="1" t="s">
        <v>10</v>
      </c>
    </row>
    <row r="700" spans="1:16" x14ac:dyDescent="0.3">
      <c r="A700" s="1" t="str">
        <f>HYPERLINK("https://hsdes.intel.com/resource/14013176393","14013176393")</f>
        <v>14013176393</v>
      </c>
      <c r="B700" s="1" t="s">
        <v>1424</v>
      </c>
      <c r="C700" s="1" t="s">
        <v>115</v>
      </c>
      <c r="D700" s="1" t="s">
        <v>1684</v>
      </c>
      <c r="E700" s="1" t="s">
        <v>1698</v>
      </c>
      <c r="F700" s="1" t="s">
        <v>1729</v>
      </c>
      <c r="H700" s="1" t="s">
        <v>1708</v>
      </c>
      <c r="I700" s="1" t="s">
        <v>1671</v>
      </c>
      <c r="K700" s="1" t="s">
        <v>1705</v>
      </c>
      <c r="L700" s="4">
        <v>44802</v>
      </c>
      <c r="M700" s="1" t="s">
        <v>15</v>
      </c>
      <c r="N700" s="1" t="s">
        <v>1425</v>
      </c>
      <c r="O700" s="1" t="s">
        <v>7</v>
      </c>
    </row>
    <row r="701" spans="1:16" x14ac:dyDescent="0.3">
      <c r="A701" s="1" t="str">
        <f>HYPERLINK("https://hsdes.intel.com/resource/14013176403","14013176403")</f>
        <v>14013176403</v>
      </c>
      <c r="B701" s="1" t="s">
        <v>1426</v>
      </c>
      <c r="C701" s="1" t="s">
        <v>36</v>
      </c>
      <c r="D701" s="1" t="s">
        <v>1683</v>
      </c>
      <c r="E701" s="1" t="s">
        <v>1698</v>
      </c>
      <c r="F701" s="1" t="s">
        <v>1729</v>
      </c>
      <c r="H701" s="1" t="s">
        <v>1708</v>
      </c>
      <c r="I701" s="1" t="s">
        <v>1672</v>
      </c>
      <c r="L701" s="4">
        <v>44803</v>
      </c>
      <c r="M701" s="1" t="s">
        <v>37</v>
      </c>
      <c r="N701" s="1" t="s">
        <v>1427</v>
      </c>
      <c r="O701" s="1" t="s">
        <v>10</v>
      </c>
      <c r="P701" s="1" t="s">
        <v>1711</v>
      </c>
    </row>
    <row r="702" spans="1:16" x14ac:dyDescent="0.3">
      <c r="A702" s="1" t="str">
        <f>HYPERLINK("https://hsdes.intel.com/resource/14013176412","14013176412")</f>
        <v>14013176412</v>
      </c>
      <c r="B702" s="1" t="s">
        <v>1428</v>
      </c>
      <c r="C702" s="1" t="s">
        <v>36</v>
      </c>
      <c r="D702" s="1" t="s">
        <v>1683</v>
      </c>
      <c r="E702" s="1" t="s">
        <v>1698</v>
      </c>
      <c r="F702" s="1" t="s">
        <v>1729</v>
      </c>
      <c r="H702" s="1" t="s">
        <v>1708</v>
      </c>
      <c r="I702" s="1" t="s">
        <v>1671</v>
      </c>
      <c r="L702" s="4">
        <v>44802</v>
      </c>
      <c r="M702" s="1" t="s">
        <v>37</v>
      </c>
      <c r="N702" s="1" t="s">
        <v>1429</v>
      </c>
      <c r="O702" s="1" t="s">
        <v>10</v>
      </c>
    </row>
    <row r="703" spans="1:16" x14ac:dyDescent="0.3">
      <c r="A703" s="1" t="str">
        <f>HYPERLINK("https://hsdes.intel.com/resource/14013176417","14013176417")</f>
        <v>14013176417</v>
      </c>
      <c r="B703" s="1" t="s">
        <v>1430</v>
      </c>
      <c r="C703" s="1" t="s">
        <v>115</v>
      </c>
      <c r="D703" s="1" t="s">
        <v>1683</v>
      </c>
      <c r="E703" s="1" t="s">
        <v>1698</v>
      </c>
      <c r="F703" s="1" t="s">
        <v>1729</v>
      </c>
      <c r="H703" s="1" t="s">
        <v>1707</v>
      </c>
      <c r="I703" s="1" t="s">
        <v>1671</v>
      </c>
      <c r="L703" s="4">
        <v>44803</v>
      </c>
      <c r="M703" s="1" t="s">
        <v>15</v>
      </c>
      <c r="N703" s="1" t="s">
        <v>1431</v>
      </c>
      <c r="O703" s="1" t="s">
        <v>10</v>
      </c>
    </row>
    <row r="704" spans="1:16" x14ac:dyDescent="0.3">
      <c r="A704" s="1" t="str">
        <f>HYPERLINK("https://hsdes.intel.com/resource/14013176423","14013176423")</f>
        <v>14013176423</v>
      </c>
      <c r="B704" s="1" t="s">
        <v>1432</v>
      </c>
      <c r="C704" s="1" t="s">
        <v>115</v>
      </c>
      <c r="D704" s="1" t="s">
        <v>1683</v>
      </c>
      <c r="E704" s="1" t="s">
        <v>1698</v>
      </c>
      <c r="F704" s="1" t="s">
        <v>1729</v>
      </c>
      <c r="H704" s="1" t="s">
        <v>1708</v>
      </c>
      <c r="I704" s="1" t="s">
        <v>1671</v>
      </c>
      <c r="L704" s="4">
        <v>44803</v>
      </c>
      <c r="M704" s="1" t="s">
        <v>15</v>
      </c>
      <c r="N704" s="1" t="s">
        <v>1433</v>
      </c>
      <c r="O704" s="1" t="s">
        <v>10</v>
      </c>
    </row>
    <row r="705" spans="1:15" x14ac:dyDescent="0.3">
      <c r="A705" s="1" t="str">
        <f>HYPERLINK("https://hsdes.intel.com/resource/14013176437","14013176437")</f>
        <v>14013176437</v>
      </c>
      <c r="B705" s="1" t="s">
        <v>1434</v>
      </c>
      <c r="C705" s="1" t="s">
        <v>36</v>
      </c>
      <c r="D705" s="1" t="s">
        <v>1684</v>
      </c>
      <c r="E705" s="1" t="s">
        <v>1698</v>
      </c>
      <c r="F705" s="1" t="s">
        <v>1729</v>
      </c>
      <c r="H705" s="1" t="s">
        <v>1708</v>
      </c>
      <c r="I705" s="1" t="s">
        <v>1720</v>
      </c>
      <c r="L705" s="4">
        <v>44802</v>
      </c>
      <c r="M705" s="1" t="s">
        <v>37</v>
      </c>
      <c r="N705" s="1" t="s">
        <v>1435</v>
      </c>
      <c r="O705" s="1" t="s">
        <v>7</v>
      </c>
    </row>
    <row r="706" spans="1:15" x14ac:dyDescent="0.3">
      <c r="A706" s="1" t="str">
        <f>HYPERLINK("https://hsdes.intel.com/resource/14013176445","14013176445")</f>
        <v>14013176445</v>
      </c>
      <c r="B706" s="1" t="s">
        <v>1436</v>
      </c>
      <c r="C706" s="1" t="s">
        <v>118</v>
      </c>
      <c r="D706" s="1" t="s">
        <v>1683</v>
      </c>
      <c r="E706" s="1" t="s">
        <v>1698</v>
      </c>
      <c r="F706" s="1" t="s">
        <v>1729</v>
      </c>
      <c r="H706" s="1" t="s">
        <v>1708</v>
      </c>
      <c r="I706" s="1" t="s">
        <v>1671</v>
      </c>
      <c r="L706" s="4">
        <v>44802</v>
      </c>
      <c r="M706" s="1" t="s">
        <v>19</v>
      </c>
      <c r="N706" s="1" t="s">
        <v>1437</v>
      </c>
      <c r="O706" s="1" t="s">
        <v>10</v>
      </c>
    </row>
    <row r="707" spans="1:15" x14ac:dyDescent="0.3">
      <c r="A707" s="1" t="str">
        <f>HYPERLINK("https://hsdes.intel.com/resource/14013176448","14013176448")</f>
        <v>14013176448</v>
      </c>
      <c r="B707" s="1" t="s">
        <v>1438</v>
      </c>
      <c r="C707" s="1" t="s">
        <v>59</v>
      </c>
      <c r="D707" s="1" t="s">
        <v>1683</v>
      </c>
      <c r="E707" s="1" t="s">
        <v>1698</v>
      </c>
      <c r="F707" s="1" t="s">
        <v>1729</v>
      </c>
      <c r="H707" s="1" t="s">
        <v>1707</v>
      </c>
      <c r="I707" s="1" t="s">
        <v>1671</v>
      </c>
      <c r="K707" s="1" t="s">
        <v>1702</v>
      </c>
      <c r="L707" s="4">
        <v>44802</v>
      </c>
      <c r="M707" s="1" t="s">
        <v>15</v>
      </c>
      <c r="N707" s="1" t="s">
        <v>1439</v>
      </c>
      <c r="O707" s="1" t="s">
        <v>10</v>
      </c>
    </row>
    <row r="708" spans="1:15" x14ac:dyDescent="0.3">
      <c r="A708" s="1" t="str">
        <f>HYPERLINK("https://hsdes.intel.com/resource/14013176661","14013176661")</f>
        <v>14013176661</v>
      </c>
      <c r="B708" s="1" t="s">
        <v>1440</v>
      </c>
      <c r="C708" s="1" t="s">
        <v>118</v>
      </c>
      <c r="D708" s="1" t="s">
        <v>1683</v>
      </c>
      <c r="E708" s="1" t="s">
        <v>1698</v>
      </c>
      <c r="F708" s="1" t="s">
        <v>1729</v>
      </c>
      <c r="H708" s="1" t="s">
        <v>1707</v>
      </c>
      <c r="I708" s="1" t="s">
        <v>1720</v>
      </c>
      <c r="L708" s="4">
        <v>44802</v>
      </c>
      <c r="M708" s="1" t="s">
        <v>19</v>
      </c>
      <c r="N708" s="1" t="s">
        <v>1441</v>
      </c>
      <c r="O708" s="1" t="s">
        <v>10</v>
      </c>
    </row>
    <row r="709" spans="1:15" x14ac:dyDescent="0.3">
      <c r="A709" s="1" t="str">
        <f>HYPERLINK("https://hsdes.intel.com/resource/14013176669","14013176669")</f>
        <v>14013176669</v>
      </c>
      <c r="B709" s="1" t="s">
        <v>1442</v>
      </c>
      <c r="C709" s="1" t="s">
        <v>115</v>
      </c>
      <c r="D709" s="1" t="s">
        <v>1683</v>
      </c>
      <c r="E709" s="1" t="s">
        <v>1698</v>
      </c>
      <c r="F709" s="1" t="s">
        <v>1729</v>
      </c>
      <c r="H709" s="1" t="s">
        <v>1707</v>
      </c>
      <c r="I709" s="1" t="s">
        <v>1673</v>
      </c>
      <c r="L709" s="4">
        <v>44803</v>
      </c>
      <c r="M709" s="1" t="s">
        <v>15</v>
      </c>
      <c r="N709" s="1" t="s">
        <v>1443</v>
      </c>
      <c r="O709" s="1" t="s">
        <v>32</v>
      </c>
    </row>
    <row r="710" spans="1:15" x14ac:dyDescent="0.3">
      <c r="A710" s="11" t="str">
        <f>HYPERLINK("https://hsdes.intel.com/resource/14013176745","14013176745")</f>
        <v>14013176745</v>
      </c>
      <c r="B710" s="1" t="s">
        <v>1444</v>
      </c>
      <c r="C710" s="1" t="s">
        <v>36</v>
      </c>
      <c r="D710" s="1" t="s">
        <v>1683</v>
      </c>
      <c r="E710" s="1" t="s">
        <v>1698</v>
      </c>
      <c r="F710" s="1" t="s">
        <v>1729</v>
      </c>
      <c r="H710" s="1" t="s">
        <v>1707</v>
      </c>
      <c r="I710" s="1" t="s">
        <v>1671</v>
      </c>
      <c r="L710" s="4">
        <v>44802</v>
      </c>
      <c r="M710" s="1" t="s">
        <v>37</v>
      </c>
      <c r="N710" s="1" t="s">
        <v>1445</v>
      </c>
      <c r="O710" s="1" t="s">
        <v>32</v>
      </c>
    </row>
    <row r="711" spans="1:15" x14ac:dyDescent="0.3">
      <c r="A711" s="11" t="str">
        <f>HYPERLINK("https://hsdes.intel.com/resource/14013176760","14013176760")</f>
        <v>14013176760</v>
      </c>
      <c r="B711" s="1" t="s">
        <v>1446</v>
      </c>
      <c r="C711" s="1" t="s">
        <v>36</v>
      </c>
      <c r="D711" s="1" t="s">
        <v>1683</v>
      </c>
      <c r="E711" s="1" t="s">
        <v>1698</v>
      </c>
      <c r="F711" s="1" t="s">
        <v>1729</v>
      </c>
      <c r="H711" s="1" t="s">
        <v>1707</v>
      </c>
      <c r="I711" s="1" t="s">
        <v>1726</v>
      </c>
      <c r="L711" s="4">
        <v>44803</v>
      </c>
      <c r="M711" s="1" t="s">
        <v>37</v>
      </c>
      <c r="N711" s="1" t="s">
        <v>1447</v>
      </c>
      <c r="O711" s="1" t="s">
        <v>7</v>
      </c>
    </row>
    <row r="712" spans="1:15" x14ac:dyDescent="0.3">
      <c r="A712" s="1" t="str">
        <f>HYPERLINK("https://hsdes.intel.com/resource/14013176813","14013176813")</f>
        <v>14013176813</v>
      </c>
      <c r="B712" s="1" t="s">
        <v>1448</v>
      </c>
      <c r="C712" s="1" t="s">
        <v>36</v>
      </c>
      <c r="D712" s="1" t="s">
        <v>1683</v>
      </c>
      <c r="E712" s="1" t="s">
        <v>1698</v>
      </c>
      <c r="F712" s="1" t="s">
        <v>1729</v>
      </c>
      <c r="H712" s="1" t="s">
        <v>1707</v>
      </c>
      <c r="I712" s="1" t="s">
        <v>1671</v>
      </c>
      <c r="L712" s="4">
        <v>44797</v>
      </c>
      <c r="M712" s="1" t="s">
        <v>37</v>
      </c>
      <c r="N712" s="1" t="s">
        <v>1449</v>
      </c>
      <c r="O712" s="1" t="s">
        <v>32</v>
      </c>
    </row>
    <row r="713" spans="1:15" x14ac:dyDescent="0.3">
      <c r="A713" s="1" t="str">
        <f>HYPERLINK("https://hsdes.intel.com/resource/14013176879","14013176879")</f>
        <v>14013176879</v>
      </c>
      <c r="B713" s="1" t="s">
        <v>1450</v>
      </c>
      <c r="C713" s="1" t="s">
        <v>115</v>
      </c>
      <c r="D713" s="1" t="s">
        <v>1683</v>
      </c>
      <c r="E713" s="1" t="s">
        <v>1698</v>
      </c>
      <c r="F713" s="1" t="s">
        <v>1729</v>
      </c>
      <c r="H713" s="1" t="s">
        <v>1707</v>
      </c>
      <c r="I713" s="1" t="s">
        <v>1673</v>
      </c>
      <c r="L713" s="4">
        <v>44802</v>
      </c>
      <c r="M713" s="1" t="s">
        <v>15</v>
      </c>
      <c r="N713" s="1" t="s">
        <v>1451</v>
      </c>
      <c r="O713" s="1" t="s">
        <v>7</v>
      </c>
    </row>
    <row r="714" spans="1:15" x14ac:dyDescent="0.3">
      <c r="A714" s="1" t="str">
        <f>HYPERLINK("https://hsdes.intel.com/resource/14013176882","14013176882")</f>
        <v>14013176882</v>
      </c>
      <c r="B714" s="1" t="s">
        <v>1452</v>
      </c>
      <c r="C714" s="1" t="s">
        <v>118</v>
      </c>
      <c r="D714" s="1" t="s">
        <v>1683</v>
      </c>
      <c r="E714" s="1" t="s">
        <v>1698</v>
      </c>
      <c r="F714" s="1" t="s">
        <v>1729</v>
      </c>
      <c r="H714" s="1" t="s">
        <v>1707</v>
      </c>
      <c r="I714" s="1" t="s">
        <v>1671</v>
      </c>
      <c r="L714" s="4">
        <v>44799</v>
      </c>
      <c r="M714" s="1" t="s">
        <v>19</v>
      </c>
      <c r="N714" s="1" t="s">
        <v>1453</v>
      </c>
      <c r="O714" s="1" t="s">
        <v>10</v>
      </c>
    </row>
    <row r="715" spans="1:15" x14ac:dyDescent="0.3">
      <c r="A715" s="1" t="str">
        <f>HYPERLINK("https://hsdes.intel.com/resource/14013176896","14013176896")</f>
        <v>14013176896</v>
      </c>
      <c r="B715" s="1" t="s">
        <v>1454</v>
      </c>
      <c r="C715" s="1" t="s">
        <v>115</v>
      </c>
      <c r="D715" s="1" t="s">
        <v>1683</v>
      </c>
      <c r="E715" s="1" t="s">
        <v>1698</v>
      </c>
      <c r="F715" s="1" t="s">
        <v>1729</v>
      </c>
      <c r="H715" s="1" t="s">
        <v>1707</v>
      </c>
      <c r="I715" s="1" t="s">
        <v>1673</v>
      </c>
      <c r="L715" s="4">
        <v>44802</v>
      </c>
      <c r="M715" s="1" t="s">
        <v>15</v>
      </c>
      <c r="N715" s="1" t="s">
        <v>1455</v>
      </c>
      <c r="O715" s="1" t="s">
        <v>7</v>
      </c>
    </row>
    <row r="716" spans="1:15" x14ac:dyDescent="0.3">
      <c r="A716" s="1" t="str">
        <f>HYPERLINK("https://hsdes.intel.com/resource/14013176898","14013176898")</f>
        <v>14013176898</v>
      </c>
      <c r="B716" s="1" t="s">
        <v>1456</v>
      </c>
      <c r="C716" s="1" t="s">
        <v>115</v>
      </c>
      <c r="D716" s="1" t="s">
        <v>1683</v>
      </c>
      <c r="E716" s="1" t="s">
        <v>1698</v>
      </c>
      <c r="F716" s="1" t="s">
        <v>1729</v>
      </c>
      <c r="H716" s="1" t="s">
        <v>1707</v>
      </c>
      <c r="I716" s="1" t="s">
        <v>1671</v>
      </c>
      <c r="L716" s="4">
        <v>44802</v>
      </c>
      <c r="M716" s="1" t="s">
        <v>15</v>
      </c>
      <c r="N716" s="1" t="s">
        <v>1457</v>
      </c>
      <c r="O716" s="1" t="s">
        <v>7</v>
      </c>
    </row>
    <row r="717" spans="1:15" x14ac:dyDescent="0.3">
      <c r="A717" s="1" t="str">
        <f>HYPERLINK("https://hsdes.intel.com/resource/14013176901","14013176901")</f>
        <v>14013176901</v>
      </c>
      <c r="B717" s="1" t="s">
        <v>1458</v>
      </c>
      <c r="C717" s="1" t="s">
        <v>115</v>
      </c>
      <c r="D717" s="1" t="s">
        <v>1683</v>
      </c>
      <c r="E717" s="1" t="s">
        <v>1698</v>
      </c>
      <c r="F717" s="1" t="s">
        <v>1729</v>
      </c>
      <c r="H717" s="1" t="s">
        <v>1707</v>
      </c>
      <c r="I717" s="1" t="s">
        <v>1671</v>
      </c>
      <c r="L717" s="4">
        <v>44799</v>
      </c>
      <c r="M717" s="1" t="s">
        <v>15</v>
      </c>
      <c r="N717" s="1" t="s">
        <v>1459</v>
      </c>
      <c r="O717" s="1" t="s">
        <v>7</v>
      </c>
    </row>
    <row r="718" spans="1:15" x14ac:dyDescent="0.3">
      <c r="A718" s="1" t="str">
        <f>HYPERLINK("https://hsdes.intel.com/resource/14013176907","14013176907")</f>
        <v>14013176907</v>
      </c>
      <c r="B718" s="1" t="s">
        <v>1460</v>
      </c>
      <c r="C718" s="1" t="s">
        <v>115</v>
      </c>
      <c r="D718" s="1" t="s">
        <v>1683</v>
      </c>
      <c r="E718" s="1" t="s">
        <v>1698</v>
      </c>
      <c r="F718" s="1" t="s">
        <v>1729</v>
      </c>
      <c r="H718" s="1" t="s">
        <v>1707</v>
      </c>
      <c r="I718" s="1" t="s">
        <v>1671</v>
      </c>
      <c r="L718" s="4">
        <v>44799</v>
      </c>
      <c r="M718" s="1" t="s">
        <v>15</v>
      </c>
      <c r="N718" s="1" t="s">
        <v>1461</v>
      </c>
      <c r="O718" s="1" t="s">
        <v>7</v>
      </c>
    </row>
    <row r="719" spans="1:15" x14ac:dyDescent="0.3">
      <c r="A719" s="1" t="str">
        <f>HYPERLINK("https://hsdes.intel.com/resource/14013176909","14013176909")</f>
        <v>14013176909</v>
      </c>
      <c r="B719" s="1" t="s">
        <v>1462</v>
      </c>
      <c r="C719" s="1" t="s">
        <v>115</v>
      </c>
      <c r="D719" s="1" t="s">
        <v>1683</v>
      </c>
      <c r="E719" s="1" t="s">
        <v>1698</v>
      </c>
      <c r="F719" s="1" t="s">
        <v>1729</v>
      </c>
      <c r="H719" s="1" t="s">
        <v>1707</v>
      </c>
      <c r="I719" s="1" t="s">
        <v>1673</v>
      </c>
      <c r="L719" s="4">
        <v>44803</v>
      </c>
      <c r="M719" s="1" t="s">
        <v>15</v>
      </c>
      <c r="N719" s="1" t="s">
        <v>1463</v>
      </c>
      <c r="O719" s="1" t="s">
        <v>32</v>
      </c>
    </row>
    <row r="720" spans="1:15" x14ac:dyDescent="0.3">
      <c r="A720" s="1" t="str">
        <f>HYPERLINK("https://hsdes.intel.com/resource/14013176932","14013176932")</f>
        <v>14013176932</v>
      </c>
      <c r="B720" s="1" t="s">
        <v>1464</v>
      </c>
      <c r="C720" s="1" t="s">
        <v>18</v>
      </c>
      <c r="D720" s="1" t="s">
        <v>1683</v>
      </c>
      <c r="E720" s="1" t="s">
        <v>1698</v>
      </c>
      <c r="F720" s="1" t="s">
        <v>1729</v>
      </c>
      <c r="H720" s="1" t="s">
        <v>1674</v>
      </c>
      <c r="I720" s="1" t="s">
        <v>1674</v>
      </c>
      <c r="M720" s="1" t="s">
        <v>37</v>
      </c>
      <c r="N720" s="1" t="s">
        <v>1465</v>
      </c>
      <c r="O720" s="1" t="s">
        <v>32</v>
      </c>
    </row>
    <row r="721" spans="1:16" x14ac:dyDescent="0.3">
      <c r="A721" s="1" t="str">
        <f>HYPERLINK("https://hsdes.intel.com/resource/14013176960","14013176960")</f>
        <v>14013176960</v>
      </c>
      <c r="B721" s="1" t="s">
        <v>1466</v>
      </c>
      <c r="C721" s="1" t="s">
        <v>118</v>
      </c>
      <c r="D721" s="1" t="s">
        <v>1684</v>
      </c>
      <c r="E721" s="1" t="s">
        <v>1698</v>
      </c>
      <c r="F721" s="1" t="s">
        <v>1729</v>
      </c>
      <c r="H721" s="1" t="s">
        <v>1707</v>
      </c>
      <c r="I721" s="1" t="s">
        <v>1671</v>
      </c>
      <c r="L721" s="4">
        <v>44803</v>
      </c>
      <c r="M721" s="1" t="s">
        <v>19</v>
      </c>
      <c r="N721" s="1" t="s">
        <v>1467</v>
      </c>
      <c r="O721" s="1" t="s">
        <v>10</v>
      </c>
    </row>
    <row r="722" spans="1:16" x14ac:dyDescent="0.3">
      <c r="A722" s="1" t="str">
        <f>HYPERLINK("https://hsdes.intel.com/resource/14013176978","14013176978")</f>
        <v>14013176978</v>
      </c>
      <c r="B722" s="1" t="s">
        <v>1468</v>
      </c>
      <c r="C722" s="1" t="s">
        <v>118</v>
      </c>
      <c r="D722" s="1" t="s">
        <v>1684</v>
      </c>
      <c r="E722" s="1" t="s">
        <v>1698</v>
      </c>
      <c r="F722" s="1" t="s">
        <v>1729</v>
      </c>
      <c r="H722" s="1" t="s">
        <v>1674</v>
      </c>
      <c r="I722" s="1" t="s">
        <v>1674</v>
      </c>
      <c r="M722" s="1" t="s">
        <v>19</v>
      </c>
      <c r="N722" s="1" t="s">
        <v>1469</v>
      </c>
      <c r="O722" s="1" t="s">
        <v>10</v>
      </c>
    </row>
    <row r="723" spans="1:16" x14ac:dyDescent="0.3">
      <c r="A723" s="1" t="str">
        <f>HYPERLINK("https://hsdes.intel.com/resource/14013177010","14013177010")</f>
        <v>14013177010</v>
      </c>
      <c r="B723" s="1" t="s">
        <v>1470</v>
      </c>
      <c r="C723" s="1" t="s">
        <v>46</v>
      </c>
      <c r="D723" s="1" t="s">
        <v>1684</v>
      </c>
      <c r="E723" s="1" t="s">
        <v>1698</v>
      </c>
      <c r="F723" s="1" t="s">
        <v>1729</v>
      </c>
      <c r="H723" s="1" t="s">
        <v>1707</v>
      </c>
      <c r="I723" s="1" t="s">
        <v>1720</v>
      </c>
      <c r="L723" s="4">
        <v>44802</v>
      </c>
      <c r="M723" s="1" t="s">
        <v>5</v>
      </c>
      <c r="N723" s="1" t="s">
        <v>1471</v>
      </c>
      <c r="O723" s="1" t="s">
        <v>10</v>
      </c>
    </row>
    <row r="724" spans="1:16" x14ac:dyDescent="0.3">
      <c r="A724" s="1" t="str">
        <f>HYPERLINK("https://hsdes.intel.com/resource/14013177012","14013177012")</f>
        <v>14013177012</v>
      </c>
      <c r="B724" s="1" t="s">
        <v>1472</v>
      </c>
      <c r="C724" s="1" t="s">
        <v>46</v>
      </c>
      <c r="D724" s="1" t="s">
        <v>1684</v>
      </c>
      <c r="E724" s="1" t="s">
        <v>1698</v>
      </c>
      <c r="F724" s="1" t="s">
        <v>1729</v>
      </c>
      <c r="H724" s="1" t="s">
        <v>1707</v>
      </c>
      <c r="I724" s="1" t="s">
        <v>1720</v>
      </c>
      <c r="L724" s="4">
        <v>44802</v>
      </c>
      <c r="M724" s="1" t="s">
        <v>5</v>
      </c>
      <c r="N724" s="1" t="s">
        <v>1473</v>
      </c>
      <c r="O724" s="1" t="s">
        <v>10</v>
      </c>
    </row>
    <row r="725" spans="1:16" x14ac:dyDescent="0.3">
      <c r="A725" s="1" t="str">
        <f>HYPERLINK("https://hsdes.intel.com/resource/14013177055","14013177055")</f>
        <v>14013177055</v>
      </c>
      <c r="B725" s="1" t="s">
        <v>1474</v>
      </c>
      <c r="C725" s="1" t="s">
        <v>118</v>
      </c>
      <c r="D725" s="1" t="s">
        <v>1684</v>
      </c>
      <c r="E725" s="1" t="s">
        <v>1698</v>
      </c>
      <c r="F725" s="1" t="s">
        <v>1729</v>
      </c>
      <c r="H725" s="1" t="s">
        <v>1707</v>
      </c>
      <c r="I725" s="1" t="s">
        <v>1671</v>
      </c>
      <c r="L725" s="4">
        <v>44799</v>
      </c>
      <c r="M725" s="1" t="s">
        <v>19</v>
      </c>
      <c r="N725" s="1" t="s">
        <v>1475</v>
      </c>
      <c r="O725" s="1" t="s">
        <v>10</v>
      </c>
    </row>
    <row r="726" spans="1:16" x14ac:dyDescent="0.3">
      <c r="A726" s="1" t="str">
        <f>HYPERLINK("https://hsdes.intel.com/resource/14013177122","14013177122")</f>
        <v>14013177122</v>
      </c>
      <c r="B726" s="1" t="s">
        <v>1476</v>
      </c>
      <c r="C726" s="1" t="s">
        <v>36</v>
      </c>
      <c r="D726" s="1" t="s">
        <v>1683</v>
      </c>
      <c r="E726" s="1" t="s">
        <v>1698</v>
      </c>
      <c r="F726" s="1" t="s">
        <v>1729</v>
      </c>
      <c r="H726" s="1" t="s">
        <v>1707</v>
      </c>
      <c r="I726" s="1" t="s">
        <v>1672</v>
      </c>
      <c r="K726" s="1" t="s">
        <v>1713</v>
      </c>
      <c r="L726" s="4">
        <v>44803</v>
      </c>
      <c r="M726" s="1" t="s">
        <v>37</v>
      </c>
      <c r="N726" s="1" t="s">
        <v>1477</v>
      </c>
      <c r="O726" s="1" t="s">
        <v>10</v>
      </c>
      <c r="P726" s="1" t="s">
        <v>1710</v>
      </c>
    </row>
    <row r="727" spans="1:16" x14ac:dyDescent="0.3">
      <c r="A727" s="1" t="str">
        <f>HYPERLINK("https://hsdes.intel.com/resource/14013177326","14013177326")</f>
        <v>14013177326</v>
      </c>
      <c r="B727" s="1" t="s">
        <v>1478</v>
      </c>
      <c r="C727" s="1" t="s">
        <v>118</v>
      </c>
      <c r="D727" s="1" t="s">
        <v>1684</v>
      </c>
      <c r="E727" s="1" t="s">
        <v>1698</v>
      </c>
      <c r="F727" s="1" t="s">
        <v>1729</v>
      </c>
      <c r="H727" s="1" t="s">
        <v>1707</v>
      </c>
      <c r="I727" s="1" t="s">
        <v>1671</v>
      </c>
      <c r="L727" s="4">
        <v>44803</v>
      </c>
      <c r="M727" s="1" t="s">
        <v>19</v>
      </c>
      <c r="N727" s="1" t="s">
        <v>1479</v>
      </c>
      <c r="O727" s="1" t="s">
        <v>10</v>
      </c>
    </row>
    <row r="728" spans="1:16" x14ac:dyDescent="0.3">
      <c r="A728" s="1" t="str">
        <f>HYPERLINK("https://hsdes.intel.com/resource/14013177328","14013177328")</f>
        <v>14013177328</v>
      </c>
      <c r="B728" s="1" t="s">
        <v>1480</v>
      </c>
      <c r="C728" s="1" t="s">
        <v>118</v>
      </c>
      <c r="D728" s="1" t="s">
        <v>1684</v>
      </c>
      <c r="E728" s="1" t="s">
        <v>1698</v>
      </c>
      <c r="F728" s="1" t="s">
        <v>1729</v>
      </c>
      <c r="H728" s="1" t="s">
        <v>1707</v>
      </c>
      <c r="I728" s="1" t="s">
        <v>1671</v>
      </c>
      <c r="L728" s="4">
        <v>44799</v>
      </c>
      <c r="M728" s="1" t="s">
        <v>19</v>
      </c>
      <c r="N728" s="1" t="s">
        <v>1481</v>
      </c>
      <c r="O728" s="1" t="s">
        <v>10</v>
      </c>
    </row>
    <row r="729" spans="1:16" x14ac:dyDescent="0.3">
      <c r="A729" s="1" t="str">
        <f>HYPERLINK("https://hsdes.intel.com/resource/14013177771","14013177771")</f>
        <v>14013177771</v>
      </c>
      <c r="B729" s="1" t="s">
        <v>1482</v>
      </c>
      <c r="C729" s="1" t="s">
        <v>46</v>
      </c>
      <c r="D729" s="1" t="s">
        <v>1683</v>
      </c>
      <c r="E729" s="1" t="s">
        <v>1698</v>
      </c>
      <c r="F729" s="1" t="s">
        <v>1729</v>
      </c>
      <c r="H729" s="1" t="s">
        <v>1707</v>
      </c>
      <c r="I729" s="1" t="s">
        <v>1671</v>
      </c>
      <c r="L729" s="4">
        <v>44797</v>
      </c>
      <c r="M729" s="1" t="s">
        <v>19</v>
      </c>
      <c r="N729" s="1" t="s">
        <v>1483</v>
      </c>
      <c r="O729" s="1" t="s">
        <v>10</v>
      </c>
    </row>
    <row r="730" spans="1:16" x14ac:dyDescent="0.3">
      <c r="A730" s="1" t="str">
        <f>HYPERLINK("https://hsdes.intel.com/resource/14013177887","14013177887")</f>
        <v>14013177887</v>
      </c>
      <c r="B730" s="1" t="s">
        <v>1484</v>
      </c>
      <c r="C730" s="1" t="s">
        <v>59</v>
      </c>
      <c r="D730" s="1" t="s">
        <v>1683</v>
      </c>
      <c r="E730" s="1" t="s">
        <v>1698</v>
      </c>
      <c r="F730" s="1" t="s">
        <v>1729</v>
      </c>
      <c r="H730" s="1" t="s">
        <v>1707</v>
      </c>
      <c r="I730" s="1" t="s">
        <v>1673</v>
      </c>
      <c r="L730" s="4">
        <v>44802</v>
      </c>
      <c r="M730" s="1" t="s">
        <v>76</v>
      </c>
      <c r="N730" s="1" t="s">
        <v>1485</v>
      </c>
      <c r="O730" s="1" t="s">
        <v>10</v>
      </c>
    </row>
    <row r="731" spans="1:16" x14ac:dyDescent="0.3">
      <c r="A731" s="1" t="str">
        <f>HYPERLINK("https://hsdes.intel.com/resource/14013177951","14013177951")</f>
        <v>14013177951</v>
      </c>
      <c r="B731" s="1" t="s">
        <v>1486</v>
      </c>
      <c r="C731" s="1" t="s">
        <v>115</v>
      </c>
      <c r="D731" s="1" t="s">
        <v>1683</v>
      </c>
      <c r="E731" s="1" t="s">
        <v>1698</v>
      </c>
      <c r="F731" s="1" t="s">
        <v>1729</v>
      </c>
      <c r="H731" s="1" t="s">
        <v>1707</v>
      </c>
      <c r="I731" s="1" t="s">
        <v>1673</v>
      </c>
      <c r="L731" s="4">
        <v>44803</v>
      </c>
      <c r="M731" s="1" t="s">
        <v>15</v>
      </c>
      <c r="N731" s="1" t="s">
        <v>1487</v>
      </c>
      <c r="O731" s="1" t="s">
        <v>32</v>
      </c>
    </row>
    <row r="732" spans="1:16" x14ac:dyDescent="0.3">
      <c r="A732" s="1" t="str">
        <f>HYPERLINK("https://hsdes.intel.com/resource/14013178034","14013178034")</f>
        <v>14013178034</v>
      </c>
      <c r="B732" s="1" t="s">
        <v>1488</v>
      </c>
      <c r="C732" s="1" t="s">
        <v>46</v>
      </c>
      <c r="D732" s="1" t="s">
        <v>1683</v>
      </c>
      <c r="E732" s="1" t="s">
        <v>1698</v>
      </c>
      <c r="F732" s="1" t="s">
        <v>1729</v>
      </c>
      <c r="H732" s="1" t="s">
        <v>1707</v>
      </c>
      <c r="I732" s="1" t="s">
        <v>1672</v>
      </c>
      <c r="L732" s="4">
        <v>44796</v>
      </c>
      <c r="M732" s="1" t="s">
        <v>5</v>
      </c>
      <c r="N732" s="1" t="s">
        <v>1489</v>
      </c>
      <c r="O732" s="1" t="s">
        <v>10</v>
      </c>
    </row>
    <row r="733" spans="1:16" x14ac:dyDescent="0.3">
      <c r="A733" s="1" t="str">
        <f>HYPERLINK("https://hsdes.intel.com/resource/14013178035","14013178035")</f>
        <v>14013178035</v>
      </c>
      <c r="B733" s="1" t="s">
        <v>1490</v>
      </c>
      <c r="C733" s="1" t="s">
        <v>46</v>
      </c>
      <c r="D733" s="1" t="s">
        <v>1683</v>
      </c>
      <c r="E733" s="1" t="s">
        <v>1698</v>
      </c>
      <c r="F733" s="1" t="s">
        <v>1729</v>
      </c>
      <c r="H733" s="1" t="s">
        <v>1707</v>
      </c>
      <c r="I733" s="1" t="s">
        <v>1672</v>
      </c>
      <c r="L733" s="4">
        <v>44796</v>
      </c>
      <c r="M733" s="1" t="s">
        <v>5</v>
      </c>
      <c r="N733" s="1" t="s">
        <v>1491</v>
      </c>
      <c r="O733" s="1" t="s">
        <v>10</v>
      </c>
    </row>
    <row r="734" spans="1:16" x14ac:dyDescent="0.3">
      <c r="A734" s="1" t="str">
        <f>HYPERLINK("https://hsdes.intel.com/resource/14013178043","14013178043")</f>
        <v>14013178043</v>
      </c>
      <c r="B734" s="1" t="s">
        <v>1492</v>
      </c>
      <c r="C734" s="1" t="s">
        <v>89</v>
      </c>
      <c r="D734" s="1" t="s">
        <v>1683</v>
      </c>
      <c r="E734" s="1" t="s">
        <v>1698</v>
      </c>
      <c r="F734" s="1" t="s">
        <v>1729</v>
      </c>
      <c r="H734" s="1" t="s">
        <v>1707</v>
      </c>
      <c r="I734" s="1" t="s">
        <v>1673</v>
      </c>
      <c r="L734" s="4">
        <v>44798</v>
      </c>
      <c r="M734" s="1" t="s">
        <v>23</v>
      </c>
      <c r="N734" s="1" t="s">
        <v>1493</v>
      </c>
      <c r="O734" s="1" t="s">
        <v>7</v>
      </c>
    </row>
    <row r="735" spans="1:16" x14ac:dyDescent="0.3">
      <c r="A735" s="1" t="str">
        <f>HYPERLINK("https://hsdes.intel.com/resource/14013178162","14013178162")</f>
        <v>14013178162</v>
      </c>
      <c r="B735" s="1" t="s">
        <v>1494</v>
      </c>
      <c r="C735" s="1" t="s">
        <v>59</v>
      </c>
      <c r="D735" s="1" t="s">
        <v>1683</v>
      </c>
      <c r="E735" s="1" t="s">
        <v>1698</v>
      </c>
      <c r="F735" s="1" t="s">
        <v>1729</v>
      </c>
      <c r="H735" s="1" t="s">
        <v>1708</v>
      </c>
      <c r="I735" s="1" t="s">
        <v>1720</v>
      </c>
      <c r="L735" s="4">
        <v>44802</v>
      </c>
      <c r="M735" s="1" t="s">
        <v>15</v>
      </c>
      <c r="N735" s="1" t="s">
        <v>1495</v>
      </c>
      <c r="O735" s="1" t="s">
        <v>10</v>
      </c>
    </row>
    <row r="736" spans="1:16" x14ac:dyDescent="0.3">
      <c r="A736" s="1" t="str">
        <f>HYPERLINK("https://hsdes.intel.com/resource/14013178238","14013178238")</f>
        <v>14013178238</v>
      </c>
      <c r="B736" t="s">
        <v>1712</v>
      </c>
      <c r="C736" s="1" t="s">
        <v>118</v>
      </c>
      <c r="D736" s="1" t="s">
        <v>1683</v>
      </c>
      <c r="E736" s="1" t="s">
        <v>1698</v>
      </c>
      <c r="F736" s="1" t="s">
        <v>1729</v>
      </c>
      <c r="H736" s="1" t="s">
        <v>1708</v>
      </c>
      <c r="I736" s="1" t="s">
        <v>1673</v>
      </c>
      <c r="J736" s="1" t="s">
        <v>1725</v>
      </c>
      <c r="K736" s="19" t="s">
        <v>1700</v>
      </c>
      <c r="L736" s="4">
        <v>44803</v>
      </c>
      <c r="M736" s="1" t="s">
        <v>19</v>
      </c>
      <c r="N736" s="1" t="s">
        <v>1496</v>
      </c>
      <c r="O736" s="1" t="s">
        <v>7</v>
      </c>
    </row>
    <row r="737" spans="1:15" x14ac:dyDescent="0.3">
      <c r="A737" s="11" t="str">
        <f>HYPERLINK("https://hsdes.intel.com/resource/14013178242","14013178242")</f>
        <v>14013178242</v>
      </c>
      <c r="B737" s="1" t="s">
        <v>1497</v>
      </c>
      <c r="C737" s="1" t="s">
        <v>118</v>
      </c>
      <c r="D737" s="1" t="s">
        <v>1683</v>
      </c>
      <c r="E737" s="1" t="s">
        <v>1698</v>
      </c>
      <c r="F737" s="1" t="s">
        <v>1729</v>
      </c>
      <c r="H737" s="1" t="s">
        <v>1707</v>
      </c>
      <c r="I737" s="1" t="s">
        <v>1672</v>
      </c>
      <c r="K737" s="1" t="s">
        <v>1699</v>
      </c>
      <c r="L737" s="4">
        <v>44798</v>
      </c>
      <c r="M737" s="1" t="s">
        <v>19</v>
      </c>
      <c r="N737" s="1" t="s">
        <v>1498</v>
      </c>
      <c r="O737" s="1" t="s">
        <v>7</v>
      </c>
    </row>
    <row r="738" spans="1:15" x14ac:dyDescent="0.3">
      <c r="A738" s="1" t="str">
        <f>HYPERLINK("https://hsdes.intel.com/resource/14013178394","14013178394")</f>
        <v>14013178394</v>
      </c>
      <c r="B738" s="1" t="s">
        <v>1499</v>
      </c>
      <c r="C738" s="1" t="s">
        <v>118</v>
      </c>
      <c r="D738" s="1" t="s">
        <v>1683</v>
      </c>
      <c r="E738" s="1" t="s">
        <v>1698</v>
      </c>
      <c r="F738" s="1" t="s">
        <v>1729</v>
      </c>
      <c r="H738" s="1" t="s">
        <v>1707</v>
      </c>
      <c r="I738" s="1" t="s">
        <v>1671</v>
      </c>
      <c r="L738" s="4">
        <v>44799</v>
      </c>
      <c r="M738" s="1" t="s">
        <v>19</v>
      </c>
      <c r="N738" s="1" t="s">
        <v>1500</v>
      </c>
      <c r="O738" s="1" t="s">
        <v>10</v>
      </c>
    </row>
    <row r="739" spans="1:15" x14ac:dyDescent="0.3">
      <c r="A739" s="1" t="str">
        <f>HYPERLINK("https://hsdes.intel.com/resource/14013178891","14013178891")</f>
        <v>14013178891</v>
      </c>
      <c r="B739" s="1" t="s">
        <v>1501</v>
      </c>
      <c r="C739" s="1" t="s">
        <v>118</v>
      </c>
      <c r="D739" s="1" t="s">
        <v>1683</v>
      </c>
      <c r="E739" s="1" t="s">
        <v>1698</v>
      </c>
      <c r="F739" s="1" t="s">
        <v>1729</v>
      </c>
      <c r="H739" s="1" t="s">
        <v>1707</v>
      </c>
      <c r="I739" s="1" t="s">
        <v>1671</v>
      </c>
      <c r="L739" s="4">
        <v>44799</v>
      </c>
      <c r="M739" s="1" t="s">
        <v>19</v>
      </c>
      <c r="N739" s="1" t="s">
        <v>1502</v>
      </c>
      <c r="O739" s="1" t="s">
        <v>10</v>
      </c>
    </row>
    <row r="740" spans="1:15" x14ac:dyDescent="0.3">
      <c r="A740" s="1" t="str">
        <f>HYPERLINK("https://hsdes.intel.com/resource/14013178916","14013178916")</f>
        <v>14013178916</v>
      </c>
      <c r="B740" s="1" t="s">
        <v>1503</v>
      </c>
      <c r="C740" s="1" t="s">
        <v>98</v>
      </c>
      <c r="D740" s="1" t="s">
        <v>1683</v>
      </c>
      <c r="E740" s="1" t="s">
        <v>1698</v>
      </c>
      <c r="F740" s="1" t="s">
        <v>1729</v>
      </c>
      <c r="H740" s="1" t="s">
        <v>1707</v>
      </c>
      <c r="I740" s="1" t="s">
        <v>1673</v>
      </c>
      <c r="L740" s="4">
        <v>44797</v>
      </c>
      <c r="M740" s="1" t="s">
        <v>76</v>
      </c>
      <c r="N740" s="1" t="s">
        <v>1504</v>
      </c>
      <c r="O740" s="1" t="s">
        <v>10</v>
      </c>
    </row>
    <row r="741" spans="1:15" x14ac:dyDescent="0.3">
      <c r="A741" s="1" t="str">
        <f>HYPERLINK("https://hsdes.intel.com/resource/14013178933","14013178933")</f>
        <v>14013178933</v>
      </c>
      <c r="B741" s="1" t="s">
        <v>1505</v>
      </c>
      <c r="C741" s="1" t="s">
        <v>59</v>
      </c>
      <c r="D741" s="1" t="s">
        <v>1683</v>
      </c>
      <c r="E741" s="1" t="s">
        <v>1698</v>
      </c>
      <c r="F741" s="1" t="s">
        <v>1729</v>
      </c>
      <c r="H741" s="1" t="s">
        <v>1707</v>
      </c>
      <c r="I741" s="1" t="s">
        <v>1673</v>
      </c>
      <c r="L741" s="4">
        <v>44802</v>
      </c>
      <c r="M741" s="1" t="s">
        <v>15</v>
      </c>
      <c r="N741" s="1" t="s">
        <v>1506</v>
      </c>
      <c r="O741" s="1" t="s">
        <v>7</v>
      </c>
    </row>
    <row r="742" spans="1:15" x14ac:dyDescent="0.3">
      <c r="A742" s="1" t="str">
        <f>HYPERLINK("https://hsdes.intel.com/resource/14013179046","14013179046")</f>
        <v>14013179046</v>
      </c>
      <c r="B742" s="1" t="s">
        <v>1507</v>
      </c>
      <c r="C742" s="1" t="s">
        <v>59</v>
      </c>
      <c r="D742" s="1" t="s">
        <v>1683</v>
      </c>
      <c r="E742" s="1" t="s">
        <v>1698</v>
      </c>
      <c r="F742" s="1" t="s">
        <v>1729</v>
      </c>
      <c r="H742" s="1" t="s">
        <v>1707</v>
      </c>
      <c r="I742" s="1" t="s">
        <v>1672</v>
      </c>
      <c r="L742" s="4">
        <v>44798</v>
      </c>
      <c r="M742" s="1" t="s">
        <v>15</v>
      </c>
      <c r="N742" s="1" t="s">
        <v>1508</v>
      </c>
      <c r="O742" s="1" t="s">
        <v>7</v>
      </c>
    </row>
    <row r="743" spans="1:15" x14ac:dyDescent="0.3">
      <c r="A743" s="1" t="str">
        <f>HYPERLINK("https://hsdes.intel.com/resource/14013179082","14013179082")</f>
        <v>14013179082</v>
      </c>
      <c r="B743" s="1" t="s">
        <v>1509</v>
      </c>
      <c r="C743" s="1" t="s">
        <v>98</v>
      </c>
      <c r="D743" s="1" t="s">
        <v>1683</v>
      </c>
      <c r="E743" s="1" t="s">
        <v>1698</v>
      </c>
      <c r="F743" s="1" t="s">
        <v>1729</v>
      </c>
      <c r="H743" s="1" t="s">
        <v>1707</v>
      </c>
      <c r="I743" s="1" t="s">
        <v>1673</v>
      </c>
      <c r="L743" s="4">
        <v>44797</v>
      </c>
      <c r="M743" s="1" t="s">
        <v>76</v>
      </c>
      <c r="N743" s="1" t="s">
        <v>1510</v>
      </c>
      <c r="O743" s="1" t="s">
        <v>32</v>
      </c>
    </row>
    <row r="744" spans="1:15" x14ac:dyDescent="0.3">
      <c r="A744" s="1" t="str">
        <f>HYPERLINK("https://hsdes.intel.com/resource/14013179088","14013179088")</f>
        <v>14013179088</v>
      </c>
      <c r="B744" s="1" t="s">
        <v>1511</v>
      </c>
      <c r="C744" s="1" t="s">
        <v>98</v>
      </c>
      <c r="D744" s="1" t="s">
        <v>1683</v>
      </c>
      <c r="E744" s="1" t="s">
        <v>1698</v>
      </c>
      <c r="F744" s="1" t="s">
        <v>1729</v>
      </c>
      <c r="H744" s="1" t="s">
        <v>1707</v>
      </c>
      <c r="I744" s="1" t="s">
        <v>1673</v>
      </c>
      <c r="L744" s="4">
        <v>44797</v>
      </c>
      <c r="M744" s="1" t="s">
        <v>76</v>
      </c>
      <c r="N744" s="1" t="s">
        <v>1512</v>
      </c>
      <c r="O744" s="1" t="s">
        <v>32</v>
      </c>
    </row>
    <row r="745" spans="1:15" x14ac:dyDescent="0.3">
      <c r="A745" s="1" t="str">
        <f>HYPERLINK("https://hsdes.intel.com/resource/14013179099","14013179099")</f>
        <v>14013179099</v>
      </c>
      <c r="B745" s="1" t="s">
        <v>1513</v>
      </c>
      <c r="C745" s="1" t="s">
        <v>59</v>
      </c>
      <c r="D745" s="1" t="s">
        <v>1683</v>
      </c>
      <c r="E745" s="1" t="s">
        <v>1698</v>
      </c>
      <c r="F745" s="1" t="s">
        <v>1729</v>
      </c>
      <c r="H745" s="1" t="s">
        <v>1717</v>
      </c>
      <c r="I745" s="1" t="s">
        <v>1673</v>
      </c>
      <c r="K745" s="9" t="s">
        <v>1679</v>
      </c>
      <c r="L745" s="4"/>
      <c r="M745" s="1" t="s">
        <v>15</v>
      </c>
      <c r="N745" s="1" t="s">
        <v>1514</v>
      </c>
      <c r="O745" s="1" t="s">
        <v>10</v>
      </c>
    </row>
    <row r="746" spans="1:15" x14ac:dyDescent="0.3">
      <c r="A746" s="1" t="str">
        <f>HYPERLINK("https://hsdes.intel.com/resource/14013179113","14013179113")</f>
        <v>14013179113</v>
      </c>
      <c r="B746" s="1" t="s">
        <v>1515</v>
      </c>
      <c r="C746" s="1" t="s">
        <v>98</v>
      </c>
      <c r="D746" s="1" t="s">
        <v>1683</v>
      </c>
      <c r="E746" s="1" t="s">
        <v>1698</v>
      </c>
      <c r="F746" s="1" t="s">
        <v>1729</v>
      </c>
      <c r="H746" s="1" t="s">
        <v>1707</v>
      </c>
      <c r="I746" s="1" t="s">
        <v>1673</v>
      </c>
      <c r="L746" s="4">
        <v>44797</v>
      </c>
      <c r="M746" s="1" t="s">
        <v>76</v>
      </c>
      <c r="N746" s="1" t="s">
        <v>1516</v>
      </c>
      <c r="O746" s="1" t="s">
        <v>7</v>
      </c>
    </row>
    <row r="747" spans="1:15" x14ac:dyDescent="0.3">
      <c r="A747" s="1" t="str">
        <f>HYPERLINK("https://hsdes.intel.com/resource/14013179120","14013179120")</f>
        <v>14013179120</v>
      </c>
      <c r="B747" s="1" t="s">
        <v>1517</v>
      </c>
      <c r="C747" s="1" t="s">
        <v>98</v>
      </c>
      <c r="D747" s="1" t="s">
        <v>1683</v>
      </c>
      <c r="E747" s="1" t="s">
        <v>1698</v>
      </c>
      <c r="F747" s="1" t="s">
        <v>1729</v>
      </c>
      <c r="H747" s="1" t="s">
        <v>1707</v>
      </c>
      <c r="I747" s="1" t="s">
        <v>1672</v>
      </c>
      <c r="L747" s="4">
        <v>44798</v>
      </c>
      <c r="M747" s="1" t="s">
        <v>76</v>
      </c>
      <c r="N747" s="1" t="s">
        <v>1518</v>
      </c>
      <c r="O747" s="1" t="s">
        <v>32</v>
      </c>
    </row>
    <row r="748" spans="1:15" x14ac:dyDescent="0.3">
      <c r="A748" s="1" t="str">
        <f>HYPERLINK("https://hsdes.intel.com/resource/14013179126","14013179126")</f>
        <v>14013179126</v>
      </c>
      <c r="B748" s="1" t="s">
        <v>1519</v>
      </c>
      <c r="C748" s="1" t="s">
        <v>36</v>
      </c>
      <c r="D748" s="1" t="s">
        <v>1683</v>
      </c>
      <c r="E748" s="1" t="s">
        <v>1698</v>
      </c>
      <c r="F748" s="1" t="s">
        <v>1729</v>
      </c>
      <c r="H748" s="1" t="s">
        <v>1708</v>
      </c>
      <c r="I748" s="1" t="s">
        <v>1726</v>
      </c>
      <c r="L748" s="4">
        <v>44803</v>
      </c>
      <c r="M748" s="1" t="s">
        <v>37</v>
      </c>
      <c r="N748" s="1" t="s">
        <v>1520</v>
      </c>
      <c r="O748" s="1" t="s">
        <v>10</v>
      </c>
    </row>
    <row r="749" spans="1:15" x14ac:dyDescent="0.3">
      <c r="A749" s="1" t="str">
        <f>HYPERLINK("https://hsdes.intel.com/resource/14013179135","14013179135")</f>
        <v>14013179135</v>
      </c>
      <c r="B749" s="1" t="s">
        <v>1521</v>
      </c>
      <c r="C749" s="1" t="s">
        <v>59</v>
      </c>
      <c r="D749" s="1" t="s">
        <v>1683</v>
      </c>
      <c r="E749" s="1" t="s">
        <v>1698</v>
      </c>
      <c r="F749" s="1" t="s">
        <v>1729</v>
      </c>
      <c r="H749" s="1" t="s">
        <v>1707</v>
      </c>
      <c r="I749" s="1" t="s">
        <v>1718</v>
      </c>
      <c r="L749" s="4">
        <v>44799</v>
      </c>
      <c r="M749" s="1" t="s">
        <v>15</v>
      </c>
      <c r="N749" s="1" t="s">
        <v>1522</v>
      </c>
      <c r="O749" s="1" t="s">
        <v>10</v>
      </c>
    </row>
    <row r="750" spans="1:15" x14ac:dyDescent="0.3">
      <c r="A750" s="1" t="str">
        <f>HYPERLINK("https://hsdes.intel.com/resource/14013179137","14013179137")</f>
        <v>14013179137</v>
      </c>
      <c r="B750" s="1" t="s">
        <v>1523</v>
      </c>
      <c r="C750" s="1" t="s">
        <v>59</v>
      </c>
      <c r="D750" s="1" t="s">
        <v>1683</v>
      </c>
      <c r="E750" s="1" t="s">
        <v>1698</v>
      </c>
      <c r="F750" s="1" t="s">
        <v>1729</v>
      </c>
      <c r="H750" s="1" t="s">
        <v>1708</v>
      </c>
      <c r="I750" s="1" t="s">
        <v>1673</v>
      </c>
      <c r="L750" s="4">
        <v>44802</v>
      </c>
      <c r="M750" s="1" t="s">
        <v>15</v>
      </c>
      <c r="N750" s="1" t="s">
        <v>1524</v>
      </c>
      <c r="O750" s="1" t="s">
        <v>10</v>
      </c>
    </row>
    <row r="751" spans="1:15" x14ac:dyDescent="0.3">
      <c r="A751" s="1" t="str">
        <f>HYPERLINK("https://hsdes.intel.com/resource/14013179145","14013179145")</f>
        <v>14013179145</v>
      </c>
      <c r="B751" s="1" t="s">
        <v>1525</v>
      </c>
      <c r="C751" s="1" t="s">
        <v>4</v>
      </c>
      <c r="D751" s="1" t="s">
        <v>1683</v>
      </c>
      <c r="E751" s="1" t="s">
        <v>1698</v>
      </c>
      <c r="F751" s="1" t="s">
        <v>1729</v>
      </c>
      <c r="H751" s="1" t="s">
        <v>1707</v>
      </c>
      <c r="I751" s="1" t="s">
        <v>1718</v>
      </c>
      <c r="L751" s="4">
        <v>44798</v>
      </c>
      <c r="M751" s="1" t="s">
        <v>5</v>
      </c>
      <c r="N751" s="1" t="s">
        <v>1526</v>
      </c>
      <c r="O751" s="1" t="s">
        <v>32</v>
      </c>
    </row>
    <row r="752" spans="1:15" x14ac:dyDescent="0.3">
      <c r="A752" s="1" t="str">
        <f>HYPERLINK("https://hsdes.intel.com/resource/14013179154","14013179154")</f>
        <v>14013179154</v>
      </c>
      <c r="B752" s="1" t="s">
        <v>1527</v>
      </c>
      <c r="C752" s="1" t="s">
        <v>59</v>
      </c>
      <c r="D752" s="1" t="s">
        <v>1683</v>
      </c>
      <c r="E752" s="1" t="s">
        <v>1698</v>
      </c>
      <c r="F752" s="1" t="s">
        <v>1729</v>
      </c>
      <c r="H752" s="1" t="s">
        <v>1708</v>
      </c>
      <c r="I752" s="1" t="s">
        <v>1673</v>
      </c>
      <c r="L752" s="4">
        <v>44802</v>
      </c>
      <c r="M752" s="1" t="s">
        <v>15</v>
      </c>
      <c r="N752" s="1" t="s">
        <v>1528</v>
      </c>
      <c r="O752" s="1" t="s">
        <v>7</v>
      </c>
    </row>
    <row r="753" spans="1:15" x14ac:dyDescent="0.3">
      <c r="A753" s="1" t="str">
        <f>HYPERLINK("https://hsdes.intel.com/resource/14013179158","14013179158")</f>
        <v>14013179158</v>
      </c>
      <c r="B753" s="1" t="s">
        <v>1529</v>
      </c>
      <c r="C753" s="1" t="s">
        <v>36</v>
      </c>
      <c r="D753" s="1" t="s">
        <v>1683</v>
      </c>
      <c r="E753" s="1" t="s">
        <v>1698</v>
      </c>
      <c r="F753" s="1" t="s">
        <v>1729</v>
      </c>
      <c r="H753" s="1" t="s">
        <v>1707</v>
      </c>
      <c r="I753" s="1" t="s">
        <v>1718</v>
      </c>
      <c r="L753" s="4">
        <v>44799</v>
      </c>
      <c r="M753" s="1" t="s">
        <v>37</v>
      </c>
      <c r="N753" s="1" t="s">
        <v>1530</v>
      </c>
      <c r="O753" s="1" t="s">
        <v>32</v>
      </c>
    </row>
    <row r="754" spans="1:15" x14ac:dyDescent="0.3">
      <c r="A754" s="1" t="str">
        <f>HYPERLINK("https://hsdes.intel.com/resource/14013179182","14013179182")</f>
        <v>14013179182</v>
      </c>
      <c r="B754" s="1" t="s">
        <v>1531</v>
      </c>
      <c r="C754" s="1" t="s">
        <v>4</v>
      </c>
      <c r="D754" s="1" t="s">
        <v>1683</v>
      </c>
      <c r="E754" s="1" t="s">
        <v>1698</v>
      </c>
      <c r="F754" s="1" t="s">
        <v>1729</v>
      </c>
      <c r="H754" s="8" t="s">
        <v>1707</v>
      </c>
      <c r="I754" s="1" t="s">
        <v>1718</v>
      </c>
      <c r="L754" s="4">
        <v>44799</v>
      </c>
      <c r="M754" s="1" t="s">
        <v>5</v>
      </c>
      <c r="N754" s="1" t="s">
        <v>1532</v>
      </c>
      <c r="O754" s="1" t="s">
        <v>32</v>
      </c>
    </row>
    <row r="755" spans="1:15" x14ac:dyDescent="0.3">
      <c r="A755" s="1" t="str">
        <f>HYPERLINK("https://hsdes.intel.com/resource/14013179185","14013179185")</f>
        <v>14013179185</v>
      </c>
      <c r="B755" s="1" t="s">
        <v>1533</v>
      </c>
      <c r="C755" s="1" t="s">
        <v>98</v>
      </c>
      <c r="D755" s="1" t="s">
        <v>1683</v>
      </c>
      <c r="E755" s="1" t="s">
        <v>1698</v>
      </c>
      <c r="F755" s="1" t="s">
        <v>1729</v>
      </c>
      <c r="H755" s="8" t="s">
        <v>1707</v>
      </c>
      <c r="I755" s="1" t="s">
        <v>1672</v>
      </c>
      <c r="L755" s="22">
        <v>44796</v>
      </c>
      <c r="M755" s="1" t="s">
        <v>76</v>
      </c>
      <c r="N755" s="1" t="s">
        <v>1534</v>
      </c>
      <c r="O755" s="1" t="s">
        <v>10</v>
      </c>
    </row>
    <row r="756" spans="1:15" x14ac:dyDescent="0.3">
      <c r="A756" s="1" t="str">
        <f>HYPERLINK("https://hsdes.intel.com/resource/14013179187","14013179187")</f>
        <v>14013179187</v>
      </c>
      <c r="B756" s="1" t="s">
        <v>1535</v>
      </c>
      <c r="C756" s="1" t="s">
        <v>98</v>
      </c>
      <c r="D756" s="1" t="s">
        <v>1683</v>
      </c>
      <c r="E756" s="1" t="s">
        <v>1698</v>
      </c>
      <c r="F756" s="1" t="s">
        <v>1729</v>
      </c>
      <c r="H756" s="1" t="s">
        <v>1707</v>
      </c>
      <c r="I756" s="1" t="s">
        <v>1673</v>
      </c>
      <c r="L756" s="4">
        <v>44797</v>
      </c>
      <c r="M756" s="1" t="s">
        <v>76</v>
      </c>
      <c r="N756" s="1" t="s">
        <v>1536</v>
      </c>
      <c r="O756" s="1" t="s">
        <v>10</v>
      </c>
    </row>
    <row r="757" spans="1:15" x14ac:dyDescent="0.3">
      <c r="A757" s="1" t="str">
        <f>HYPERLINK("https://hsdes.intel.com/resource/14013179188","14013179188")</f>
        <v>14013179188</v>
      </c>
      <c r="B757" s="1" t="s">
        <v>1537</v>
      </c>
      <c r="C757" s="1" t="s">
        <v>4</v>
      </c>
      <c r="D757" s="1" t="s">
        <v>1683</v>
      </c>
      <c r="E757" s="1" t="s">
        <v>1698</v>
      </c>
      <c r="F757" s="1" t="s">
        <v>1729</v>
      </c>
      <c r="H757" s="1" t="s">
        <v>1707</v>
      </c>
      <c r="I757" s="1" t="s">
        <v>1718</v>
      </c>
      <c r="L757" s="4">
        <v>44799</v>
      </c>
      <c r="M757" s="1" t="s">
        <v>5</v>
      </c>
      <c r="N757" s="1" t="s">
        <v>1538</v>
      </c>
      <c r="O757" s="1" t="s">
        <v>7</v>
      </c>
    </row>
    <row r="758" spans="1:15" x14ac:dyDescent="0.3">
      <c r="A758" s="1" t="str">
        <f>HYPERLINK("https://hsdes.intel.com/resource/14013179201","14013179201")</f>
        <v>14013179201</v>
      </c>
      <c r="B758" s="1" t="s">
        <v>1539</v>
      </c>
      <c r="C758" s="1" t="s">
        <v>118</v>
      </c>
      <c r="D758" s="1" t="s">
        <v>1684</v>
      </c>
      <c r="E758" s="1" t="s">
        <v>1698</v>
      </c>
      <c r="F758" s="1" t="s">
        <v>1729</v>
      </c>
      <c r="H758" s="1" t="s">
        <v>1707</v>
      </c>
      <c r="I758" s="1" t="s">
        <v>1671</v>
      </c>
      <c r="L758" s="4">
        <v>44799</v>
      </c>
      <c r="M758" s="1" t="s">
        <v>19</v>
      </c>
      <c r="N758" s="1" t="s">
        <v>1540</v>
      </c>
      <c r="O758" s="1" t="s">
        <v>10</v>
      </c>
    </row>
    <row r="759" spans="1:15" x14ac:dyDescent="0.3">
      <c r="A759" s="1" t="str">
        <f>HYPERLINK("https://hsdes.intel.com/resource/14013179301","14013179301")</f>
        <v>14013179301</v>
      </c>
      <c r="B759" s="1" t="s">
        <v>1541</v>
      </c>
      <c r="C759" s="1" t="s">
        <v>98</v>
      </c>
      <c r="D759" s="1" t="s">
        <v>1683</v>
      </c>
      <c r="E759" s="1" t="s">
        <v>1698</v>
      </c>
      <c r="F759" s="1" t="s">
        <v>1729</v>
      </c>
      <c r="H759" s="1" t="s">
        <v>1707</v>
      </c>
      <c r="I759" s="1" t="s">
        <v>1720</v>
      </c>
      <c r="L759" s="4">
        <v>44802</v>
      </c>
      <c r="M759" s="1" t="s">
        <v>76</v>
      </c>
      <c r="N759" s="1" t="s">
        <v>1542</v>
      </c>
      <c r="O759" s="1" t="s">
        <v>10</v>
      </c>
    </row>
    <row r="760" spans="1:15" x14ac:dyDescent="0.3">
      <c r="A760" s="1" t="str">
        <f>HYPERLINK("https://hsdes.intel.com/resource/14013179352","14013179352")</f>
        <v>14013179352</v>
      </c>
      <c r="B760" s="1" t="s">
        <v>1543</v>
      </c>
      <c r="C760" s="1" t="s">
        <v>115</v>
      </c>
      <c r="D760" s="1" t="s">
        <v>1684</v>
      </c>
      <c r="E760" s="1" t="s">
        <v>1698</v>
      </c>
      <c r="F760" s="1" t="s">
        <v>1729</v>
      </c>
      <c r="H760" s="1" t="s">
        <v>1707</v>
      </c>
      <c r="I760" s="1" t="s">
        <v>1671</v>
      </c>
      <c r="L760" s="4">
        <v>44802</v>
      </c>
      <c r="M760" s="1" t="s">
        <v>15</v>
      </c>
      <c r="N760" s="1" t="s">
        <v>1544</v>
      </c>
      <c r="O760" s="1" t="s">
        <v>32</v>
      </c>
    </row>
    <row r="761" spans="1:15" x14ac:dyDescent="0.3">
      <c r="A761" s="1" t="str">
        <f>HYPERLINK("https://hsdes.intel.com/resource/14013179370","14013179370")</f>
        <v>14013179370</v>
      </c>
      <c r="B761" s="1" t="s">
        <v>1545</v>
      </c>
      <c r="C761" s="1" t="s">
        <v>115</v>
      </c>
      <c r="D761" s="1" t="s">
        <v>1684</v>
      </c>
      <c r="E761" s="1" t="s">
        <v>1698</v>
      </c>
      <c r="F761" s="1" t="s">
        <v>1729</v>
      </c>
      <c r="H761" s="1" t="s">
        <v>1707</v>
      </c>
      <c r="I761" s="1" t="s">
        <v>1671</v>
      </c>
      <c r="L761" s="4">
        <v>44802</v>
      </c>
      <c r="M761" s="1" t="s">
        <v>15</v>
      </c>
      <c r="N761" s="1" t="s">
        <v>1546</v>
      </c>
      <c r="O761" s="1" t="s">
        <v>7</v>
      </c>
    </row>
    <row r="762" spans="1:15" x14ac:dyDescent="0.3">
      <c r="A762" s="1" t="str">
        <f>HYPERLINK("https://hsdes.intel.com/resource/14013179413","14013179413")</f>
        <v>14013179413</v>
      </c>
      <c r="B762" s="1" t="s">
        <v>1547</v>
      </c>
      <c r="C762" s="1" t="s">
        <v>98</v>
      </c>
      <c r="D762" s="1" t="s">
        <v>1683</v>
      </c>
      <c r="E762" s="1" t="s">
        <v>1698</v>
      </c>
      <c r="F762" s="1" t="s">
        <v>1729</v>
      </c>
      <c r="H762" s="1" t="s">
        <v>1707</v>
      </c>
      <c r="I762" s="1" t="s">
        <v>1673</v>
      </c>
      <c r="L762" s="4">
        <v>44797</v>
      </c>
      <c r="M762" s="1" t="s">
        <v>76</v>
      </c>
      <c r="N762" s="1" t="s">
        <v>1548</v>
      </c>
      <c r="O762" s="1" t="s">
        <v>10</v>
      </c>
    </row>
    <row r="763" spans="1:15" x14ac:dyDescent="0.3">
      <c r="A763" s="1" t="str">
        <f>HYPERLINK("https://hsdes.intel.com/resource/14013179427","14013179427")</f>
        <v>14013179427</v>
      </c>
      <c r="B763" s="1" t="s">
        <v>1549</v>
      </c>
      <c r="C763" s="1" t="s">
        <v>98</v>
      </c>
      <c r="D763" s="1" t="s">
        <v>1683</v>
      </c>
      <c r="E763" s="1" t="s">
        <v>1698</v>
      </c>
      <c r="F763" s="1" t="s">
        <v>1729</v>
      </c>
      <c r="H763" s="1" t="s">
        <v>1707</v>
      </c>
      <c r="I763" s="1" t="s">
        <v>1673</v>
      </c>
      <c r="L763" s="4">
        <v>44797</v>
      </c>
      <c r="M763" s="1" t="s">
        <v>76</v>
      </c>
      <c r="N763" s="1" t="s">
        <v>1550</v>
      </c>
      <c r="O763" s="1" t="s">
        <v>10</v>
      </c>
    </row>
    <row r="764" spans="1:15" x14ac:dyDescent="0.3">
      <c r="A764" s="1" t="str">
        <f>HYPERLINK("https://hsdes.intel.com/resource/14013179431","14013179431")</f>
        <v>14013179431</v>
      </c>
      <c r="B764" s="1" t="s">
        <v>1551</v>
      </c>
      <c r="C764" s="1" t="s">
        <v>98</v>
      </c>
      <c r="D764" s="1" t="s">
        <v>1683</v>
      </c>
      <c r="E764" s="1" t="s">
        <v>1698</v>
      </c>
      <c r="F764" s="1" t="s">
        <v>1729</v>
      </c>
      <c r="H764" s="1" t="s">
        <v>1707</v>
      </c>
      <c r="I764" s="1" t="s">
        <v>1673</v>
      </c>
      <c r="L764" s="4">
        <v>44797</v>
      </c>
      <c r="M764" s="1" t="s">
        <v>76</v>
      </c>
      <c r="N764" s="1" t="s">
        <v>1552</v>
      </c>
      <c r="O764" s="1" t="s">
        <v>10</v>
      </c>
    </row>
    <row r="765" spans="1:15" x14ac:dyDescent="0.3">
      <c r="A765" s="1" t="str">
        <f>HYPERLINK("https://hsdes.intel.com/resource/14013179691","14013179691")</f>
        <v>14013179691</v>
      </c>
      <c r="B765" s="1" t="s">
        <v>1553</v>
      </c>
      <c r="C765" s="1" t="s">
        <v>18</v>
      </c>
      <c r="D765" s="1" t="s">
        <v>1683</v>
      </c>
      <c r="E765" s="1" t="s">
        <v>1698</v>
      </c>
      <c r="F765" s="1" t="s">
        <v>1729</v>
      </c>
      <c r="H765" s="1" t="s">
        <v>1707</v>
      </c>
      <c r="I765" s="1" t="s">
        <v>1718</v>
      </c>
      <c r="L765" s="4">
        <v>44799</v>
      </c>
      <c r="M765" s="1" t="s">
        <v>5</v>
      </c>
      <c r="N765" s="1" t="s">
        <v>1554</v>
      </c>
      <c r="O765" s="1" t="s">
        <v>10</v>
      </c>
    </row>
    <row r="766" spans="1:15" x14ac:dyDescent="0.3">
      <c r="A766" s="1" t="str">
        <f>HYPERLINK("https://hsdes.intel.com/resource/14013179692","14013179692")</f>
        <v>14013179692</v>
      </c>
      <c r="B766" s="1" t="s">
        <v>1555</v>
      </c>
      <c r="C766" s="1" t="s">
        <v>18</v>
      </c>
      <c r="D766" s="1" t="s">
        <v>1683</v>
      </c>
      <c r="E766" s="1" t="s">
        <v>1698</v>
      </c>
      <c r="F766" s="1" t="s">
        <v>1729</v>
      </c>
      <c r="H766" s="1" t="s">
        <v>1707</v>
      </c>
      <c r="I766" s="1" t="s">
        <v>1672</v>
      </c>
      <c r="L766" s="4">
        <v>44802</v>
      </c>
      <c r="M766" s="1" t="s">
        <v>5</v>
      </c>
      <c r="N766" s="1" t="s">
        <v>1556</v>
      </c>
      <c r="O766" s="1" t="s">
        <v>10</v>
      </c>
    </row>
    <row r="767" spans="1:15" x14ac:dyDescent="0.3">
      <c r="A767" s="1" t="str">
        <f>HYPERLINK("https://hsdes.intel.com/resource/14013179698","14013179698")</f>
        <v>14013179698</v>
      </c>
      <c r="B767" s="1" t="s">
        <v>1557</v>
      </c>
      <c r="C767" s="1" t="s">
        <v>46</v>
      </c>
      <c r="D767" s="1" t="s">
        <v>1683</v>
      </c>
      <c r="E767" s="1" t="s">
        <v>1698</v>
      </c>
      <c r="F767" s="1" t="s">
        <v>1729</v>
      </c>
      <c r="H767" s="1" t="s">
        <v>1707</v>
      </c>
      <c r="I767" s="1" t="s">
        <v>1726</v>
      </c>
      <c r="L767" s="4">
        <v>44803</v>
      </c>
      <c r="M767" s="1" t="s">
        <v>19</v>
      </c>
      <c r="N767" s="1" t="s">
        <v>1558</v>
      </c>
      <c r="O767" s="1" t="s">
        <v>10</v>
      </c>
    </row>
    <row r="768" spans="1:15" x14ac:dyDescent="0.3">
      <c r="A768" s="1" t="str">
        <f>HYPERLINK("https://hsdes.intel.com/resource/14013179713","14013179713")</f>
        <v>14013179713</v>
      </c>
      <c r="B768" s="1" t="s">
        <v>1559</v>
      </c>
      <c r="C768" s="1" t="s">
        <v>46</v>
      </c>
      <c r="D768" s="1" t="s">
        <v>1683</v>
      </c>
      <c r="E768" s="1" t="s">
        <v>1698</v>
      </c>
      <c r="F768" s="1" t="s">
        <v>1729</v>
      </c>
      <c r="H768" s="1" t="s">
        <v>1707</v>
      </c>
      <c r="I768" s="1" t="s">
        <v>1720</v>
      </c>
      <c r="L768" s="4">
        <v>44802</v>
      </c>
      <c r="M768" s="1" t="s">
        <v>19</v>
      </c>
      <c r="N768" s="1" t="s">
        <v>1560</v>
      </c>
      <c r="O768" s="1" t="s">
        <v>7</v>
      </c>
    </row>
    <row r="769" spans="1:15" x14ac:dyDescent="0.3">
      <c r="A769" s="1" t="str">
        <f>HYPERLINK("https://hsdes.intel.com/resource/14013179754","14013179754")</f>
        <v>14013179754</v>
      </c>
      <c r="B769" s="1" t="s">
        <v>1561</v>
      </c>
      <c r="C769" s="1" t="s">
        <v>98</v>
      </c>
      <c r="D769" s="1" t="s">
        <v>1683</v>
      </c>
      <c r="E769" s="1" t="s">
        <v>1698</v>
      </c>
      <c r="F769" s="1" t="s">
        <v>1729</v>
      </c>
      <c r="H769" s="1" t="s">
        <v>1707</v>
      </c>
      <c r="I769" s="1" t="s">
        <v>1671</v>
      </c>
      <c r="L769" s="4">
        <v>44799</v>
      </c>
      <c r="M769" s="1" t="s">
        <v>76</v>
      </c>
      <c r="N769" s="1" t="s">
        <v>1562</v>
      </c>
      <c r="O769" s="1" t="s">
        <v>10</v>
      </c>
    </row>
    <row r="770" spans="1:15" x14ac:dyDescent="0.3">
      <c r="A770" s="11" t="str">
        <f>HYPERLINK("https://hsdes.intel.com/resource/14013179861","14013179861")</f>
        <v>14013179861</v>
      </c>
      <c r="B770" s="1" t="s">
        <v>1563</v>
      </c>
      <c r="C770" s="1" t="s">
        <v>46</v>
      </c>
      <c r="D770" s="1" t="s">
        <v>1683</v>
      </c>
      <c r="E770" s="1" t="s">
        <v>1698</v>
      </c>
      <c r="F770" s="1" t="s">
        <v>1729</v>
      </c>
      <c r="H770" s="1" t="s">
        <v>1707</v>
      </c>
      <c r="I770" s="1" t="s">
        <v>1723</v>
      </c>
      <c r="L770" s="4">
        <v>44802</v>
      </c>
      <c r="M770" s="1" t="s">
        <v>19</v>
      </c>
      <c r="N770" s="1" t="s">
        <v>1564</v>
      </c>
      <c r="O770" s="1" t="s">
        <v>7</v>
      </c>
    </row>
    <row r="771" spans="1:15" x14ac:dyDescent="0.3">
      <c r="A771" s="1" t="str">
        <f>HYPERLINK("https://hsdes.intel.com/resource/14013179902","14013179902")</f>
        <v>14013179902</v>
      </c>
      <c r="B771" s="1" t="s">
        <v>1565</v>
      </c>
      <c r="C771" s="1" t="s">
        <v>28</v>
      </c>
      <c r="D771" s="1" t="s">
        <v>1683</v>
      </c>
      <c r="E771" s="1" t="s">
        <v>1698</v>
      </c>
      <c r="F771" s="1" t="s">
        <v>1729</v>
      </c>
      <c r="H771" s="1" t="s">
        <v>1707</v>
      </c>
      <c r="I771" s="1" t="s">
        <v>1672</v>
      </c>
      <c r="L771" s="4">
        <v>44803</v>
      </c>
      <c r="M771" s="1" t="s">
        <v>5</v>
      </c>
      <c r="N771" s="1" t="s">
        <v>1566</v>
      </c>
      <c r="O771" s="1" t="s">
        <v>10</v>
      </c>
    </row>
    <row r="772" spans="1:15" x14ac:dyDescent="0.3">
      <c r="A772" s="1" t="str">
        <f>HYPERLINK("https://hsdes.intel.com/resource/14013179993","14013179993")</f>
        <v>14013179993</v>
      </c>
      <c r="B772" s="1" t="s">
        <v>1567</v>
      </c>
      <c r="C772" s="1" t="s">
        <v>115</v>
      </c>
      <c r="D772" s="1" t="s">
        <v>1683</v>
      </c>
      <c r="E772" s="1" t="s">
        <v>1698</v>
      </c>
      <c r="F772" s="1" t="s">
        <v>1729</v>
      </c>
      <c r="H772" s="1" t="s">
        <v>1707</v>
      </c>
      <c r="I772" s="1" t="s">
        <v>1672</v>
      </c>
      <c r="L772" s="4">
        <v>44799</v>
      </c>
      <c r="M772" s="1" t="s">
        <v>15</v>
      </c>
      <c r="N772" s="1" t="s">
        <v>1568</v>
      </c>
      <c r="O772" s="1" t="s">
        <v>7</v>
      </c>
    </row>
    <row r="773" spans="1:15" x14ac:dyDescent="0.3">
      <c r="A773" s="1" t="str">
        <f>HYPERLINK("https://hsdes.intel.com/resource/14013179998","14013179998")</f>
        <v>14013179998</v>
      </c>
      <c r="B773" s="1" t="s">
        <v>1569</v>
      </c>
      <c r="C773" s="1" t="s">
        <v>14</v>
      </c>
      <c r="D773" s="1" t="s">
        <v>1683</v>
      </c>
      <c r="E773" s="1" t="s">
        <v>1698</v>
      </c>
      <c r="F773" s="1" t="s">
        <v>1729</v>
      </c>
      <c r="H773" s="1" t="s">
        <v>1707</v>
      </c>
      <c r="I773" s="1" t="s">
        <v>1718</v>
      </c>
      <c r="L773" s="4">
        <v>44798</v>
      </c>
      <c r="M773" s="1" t="s">
        <v>15</v>
      </c>
      <c r="N773" s="1" t="s">
        <v>1570</v>
      </c>
      <c r="O773" s="1" t="s">
        <v>10</v>
      </c>
    </row>
    <row r="774" spans="1:15" x14ac:dyDescent="0.3">
      <c r="A774" s="1" t="str">
        <f>HYPERLINK("https://hsdes.intel.com/resource/14013180190","14013180190")</f>
        <v>14013180190</v>
      </c>
      <c r="B774" s="1" t="s">
        <v>1571</v>
      </c>
      <c r="C774" s="1" t="s">
        <v>75</v>
      </c>
      <c r="D774" s="1" t="s">
        <v>1683</v>
      </c>
      <c r="E774" s="1" t="s">
        <v>1698</v>
      </c>
      <c r="F774" s="1" t="s">
        <v>1729</v>
      </c>
      <c r="H774" s="1" t="s">
        <v>1707</v>
      </c>
      <c r="I774" s="1" t="s">
        <v>1671</v>
      </c>
      <c r="L774" s="4">
        <v>44799</v>
      </c>
      <c r="M774" s="1" t="s">
        <v>76</v>
      </c>
      <c r="N774" s="1" t="s">
        <v>1572</v>
      </c>
      <c r="O774" s="1" t="s">
        <v>10</v>
      </c>
    </row>
    <row r="775" spans="1:15" x14ac:dyDescent="0.3">
      <c r="A775" s="1" t="str">
        <f>HYPERLINK("https://hsdes.intel.com/resource/14013180191","14013180191")</f>
        <v>14013180191</v>
      </c>
      <c r="B775" s="1" t="s">
        <v>1573</v>
      </c>
      <c r="C775" s="1" t="s">
        <v>75</v>
      </c>
      <c r="D775" s="1" t="s">
        <v>1683</v>
      </c>
      <c r="E775" s="1" t="s">
        <v>1698</v>
      </c>
      <c r="F775" s="1" t="s">
        <v>1729</v>
      </c>
      <c r="H775" s="1" t="s">
        <v>1707</v>
      </c>
      <c r="I775" s="1" t="s">
        <v>1671</v>
      </c>
      <c r="L775" s="4">
        <v>44799</v>
      </c>
      <c r="M775" s="1" t="s">
        <v>76</v>
      </c>
      <c r="N775" s="1" t="s">
        <v>1574</v>
      </c>
      <c r="O775" s="1" t="s">
        <v>10</v>
      </c>
    </row>
    <row r="776" spans="1:15" x14ac:dyDescent="0.3">
      <c r="A776" s="1" t="str">
        <f>HYPERLINK("https://hsdes.intel.com/resource/14013180193","14013180193")</f>
        <v>14013180193</v>
      </c>
      <c r="B776" s="1" t="s">
        <v>1575</v>
      </c>
      <c r="C776" s="1" t="s">
        <v>115</v>
      </c>
      <c r="D776" s="1" t="s">
        <v>1683</v>
      </c>
      <c r="E776" s="1" t="s">
        <v>1698</v>
      </c>
      <c r="F776" s="1" t="s">
        <v>1729</v>
      </c>
      <c r="H776" s="1" t="s">
        <v>1707</v>
      </c>
      <c r="I776" s="1" t="s">
        <v>1672</v>
      </c>
      <c r="L776" s="4">
        <v>44799</v>
      </c>
      <c r="M776" s="1" t="s">
        <v>15</v>
      </c>
      <c r="N776" s="1" t="s">
        <v>1576</v>
      </c>
      <c r="O776" s="1" t="s">
        <v>10</v>
      </c>
    </row>
    <row r="777" spans="1:15" x14ac:dyDescent="0.3">
      <c r="A777" s="1" t="str">
        <f>HYPERLINK("https://hsdes.intel.com/resource/14013180197","14013180197")</f>
        <v>14013180197</v>
      </c>
      <c r="B777" s="1" t="s">
        <v>1577</v>
      </c>
      <c r="C777" s="1" t="s">
        <v>776</v>
      </c>
      <c r="D777" s="1" t="s">
        <v>1683</v>
      </c>
      <c r="E777" s="1" t="s">
        <v>1698</v>
      </c>
      <c r="F777" s="1" t="s">
        <v>1729</v>
      </c>
      <c r="H777" s="1" t="s">
        <v>1707</v>
      </c>
      <c r="I777" s="1" t="s">
        <v>1672</v>
      </c>
      <c r="K777" s="1" t="s">
        <v>1676</v>
      </c>
      <c r="L777" s="4">
        <v>44803</v>
      </c>
      <c r="M777" s="1" t="s">
        <v>23</v>
      </c>
      <c r="N777" s="1" t="s">
        <v>1578</v>
      </c>
      <c r="O777" s="1" t="s">
        <v>10</v>
      </c>
    </row>
    <row r="778" spans="1:15" x14ac:dyDescent="0.3">
      <c r="A778" s="1" t="str">
        <f>HYPERLINK("https://hsdes.intel.com/resource/14013180355","14013180355")</f>
        <v>14013180355</v>
      </c>
      <c r="B778" s="1" t="s">
        <v>1579</v>
      </c>
      <c r="C778" s="1" t="s">
        <v>75</v>
      </c>
      <c r="D778" s="1" t="s">
        <v>1683</v>
      </c>
      <c r="E778" s="1" t="s">
        <v>1698</v>
      </c>
      <c r="F778" s="1" t="s">
        <v>1729</v>
      </c>
      <c r="H778" s="1" t="s">
        <v>1707</v>
      </c>
      <c r="I778" s="1" t="s">
        <v>1671</v>
      </c>
      <c r="L778" s="4">
        <v>44798</v>
      </c>
      <c r="M778" s="1" t="s">
        <v>76</v>
      </c>
      <c r="N778" s="1" t="s">
        <v>1580</v>
      </c>
      <c r="O778" s="1" t="s">
        <v>7</v>
      </c>
    </row>
    <row r="779" spans="1:15" x14ac:dyDescent="0.3">
      <c r="A779" s="1" t="str">
        <f>HYPERLINK("https://hsdes.intel.com/resource/14013181785","14013181785")</f>
        <v>14013181785</v>
      </c>
      <c r="B779" s="1" t="s">
        <v>1581</v>
      </c>
      <c r="C779" s="1" t="s">
        <v>46</v>
      </c>
      <c r="D779" s="1" t="s">
        <v>1683</v>
      </c>
      <c r="E779" s="1" t="s">
        <v>1698</v>
      </c>
      <c r="F779" s="1" t="s">
        <v>1729</v>
      </c>
      <c r="H779" s="1" t="s">
        <v>1707</v>
      </c>
      <c r="I779" s="1" t="s">
        <v>1673</v>
      </c>
      <c r="L779" s="4">
        <v>44796</v>
      </c>
      <c r="M779" s="1" t="s">
        <v>19</v>
      </c>
      <c r="N779" s="1" t="s">
        <v>1582</v>
      </c>
      <c r="O779" s="1" t="s">
        <v>10</v>
      </c>
    </row>
    <row r="780" spans="1:15" x14ac:dyDescent="0.3">
      <c r="A780" s="1" t="str">
        <f>HYPERLINK("https://hsdes.intel.com/resource/14013181794","14013181794")</f>
        <v>14013181794</v>
      </c>
      <c r="B780" s="1" t="s">
        <v>1583</v>
      </c>
      <c r="C780" s="1" t="s">
        <v>46</v>
      </c>
      <c r="D780" s="1" t="s">
        <v>1683</v>
      </c>
      <c r="E780" s="1" t="s">
        <v>1698</v>
      </c>
      <c r="F780" s="1" t="s">
        <v>1729</v>
      </c>
      <c r="H780" s="1" t="s">
        <v>1707</v>
      </c>
      <c r="I780" s="1" t="s">
        <v>1673</v>
      </c>
      <c r="L780" s="4">
        <v>44796</v>
      </c>
      <c r="M780" s="1" t="s">
        <v>19</v>
      </c>
      <c r="N780" s="1" t="s">
        <v>1584</v>
      </c>
      <c r="O780" s="1" t="s">
        <v>10</v>
      </c>
    </row>
    <row r="781" spans="1:15" x14ac:dyDescent="0.3">
      <c r="A781" s="1" t="str">
        <f>HYPERLINK("https://hsdes.intel.com/resource/14013181802","14013181802")</f>
        <v>14013181802</v>
      </c>
      <c r="B781" s="1" t="s">
        <v>1585</v>
      </c>
      <c r="C781" s="1" t="s">
        <v>46</v>
      </c>
      <c r="D781" s="1" t="s">
        <v>1683</v>
      </c>
      <c r="E781" s="1" t="s">
        <v>1698</v>
      </c>
      <c r="F781" s="1" t="s">
        <v>1729</v>
      </c>
      <c r="H781" s="1" t="s">
        <v>1707</v>
      </c>
      <c r="I781" s="1" t="s">
        <v>1673</v>
      </c>
      <c r="L781" s="4">
        <v>44796</v>
      </c>
      <c r="M781" s="1" t="s">
        <v>19</v>
      </c>
      <c r="N781" s="1" t="s">
        <v>1586</v>
      </c>
      <c r="O781" s="1" t="s">
        <v>10</v>
      </c>
    </row>
    <row r="782" spans="1:15" x14ac:dyDescent="0.3">
      <c r="A782" s="1" t="str">
        <f>HYPERLINK("https://hsdes.intel.com/resource/14013181808","14013181808")</f>
        <v>14013181808</v>
      </c>
      <c r="B782" s="1" t="s">
        <v>1587</v>
      </c>
      <c r="C782" s="1" t="s">
        <v>46</v>
      </c>
      <c r="D782" s="1" t="s">
        <v>1683</v>
      </c>
      <c r="E782" s="1" t="s">
        <v>1698</v>
      </c>
      <c r="F782" s="1" t="s">
        <v>1729</v>
      </c>
      <c r="H782" s="1" t="s">
        <v>1707</v>
      </c>
      <c r="I782" s="1" t="s">
        <v>1673</v>
      </c>
      <c r="L782" s="4">
        <v>44796</v>
      </c>
      <c r="M782" s="1" t="s">
        <v>19</v>
      </c>
      <c r="N782" s="1" t="s">
        <v>1588</v>
      </c>
      <c r="O782" s="1" t="s">
        <v>10</v>
      </c>
    </row>
    <row r="783" spans="1:15" x14ac:dyDescent="0.3">
      <c r="A783" s="1" t="str">
        <f>HYPERLINK("https://hsdes.intel.com/resource/14013181817","14013181817")</f>
        <v>14013181817</v>
      </c>
      <c r="B783" s="1" t="s">
        <v>1589</v>
      </c>
      <c r="C783" s="1" t="s">
        <v>46</v>
      </c>
      <c r="D783" s="1" t="s">
        <v>1683</v>
      </c>
      <c r="E783" s="1" t="s">
        <v>1698</v>
      </c>
      <c r="F783" s="1" t="s">
        <v>1729</v>
      </c>
      <c r="H783" s="1" t="s">
        <v>1707</v>
      </c>
      <c r="I783" s="1" t="s">
        <v>1673</v>
      </c>
      <c r="L783" s="4">
        <v>44796</v>
      </c>
      <c r="M783" s="1" t="s">
        <v>19</v>
      </c>
      <c r="N783" s="1" t="s">
        <v>1590</v>
      </c>
      <c r="O783" s="1" t="s">
        <v>10</v>
      </c>
    </row>
    <row r="784" spans="1:15" x14ac:dyDescent="0.3">
      <c r="A784" s="1" t="str">
        <f>HYPERLINK("https://hsdes.intel.com/resource/14013181975","14013181975")</f>
        <v>14013181975</v>
      </c>
      <c r="B784" s="1" t="s">
        <v>1591</v>
      </c>
      <c r="C784" s="1" t="s">
        <v>46</v>
      </c>
      <c r="D784" s="1" t="s">
        <v>1683</v>
      </c>
      <c r="E784" s="1" t="s">
        <v>1698</v>
      </c>
      <c r="F784" s="1" t="s">
        <v>1729</v>
      </c>
      <c r="H784" s="1" t="s">
        <v>1707</v>
      </c>
      <c r="I784" s="1" t="s">
        <v>1673</v>
      </c>
      <c r="L784" s="4">
        <v>44796</v>
      </c>
      <c r="M784" s="1" t="s">
        <v>19</v>
      </c>
      <c r="N784" s="1" t="s">
        <v>1592</v>
      </c>
      <c r="O784" s="1" t="s">
        <v>7</v>
      </c>
    </row>
    <row r="785" spans="1:15" x14ac:dyDescent="0.3">
      <c r="A785" s="1" t="str">
        <f>HYPERLINK("https://hsdes.intel.com/resource/14013181987","14013181987")</f>
        <v>14013181987</v>
      </c>
      <c r="B785" s="1" t="s">
        <v>1593</v>
      </c>
      <c r="C785" s="1" t="s">
        <v>46</v>
      </c>
      <c r="D785" s="1" t="s">
        <v>1683</v>
      </c>
      <c r="E785" s="1" t="s">
        <v>1698</v>
      </c>
      <c r="F785" s="1" t="s">
        <v>1729</v>
      </c>
      <c r="H785" s="1" t="s">
        <v>1707</v>
      </c>
      <c r="I785" s="1" t="s">
        <v>1673</v>
      </c>
      <c r="L785" s="4">
        <v>44796</v>
      </c>
      <c r="M785" s="1" t="s">
        <v>19</v>
      </c>
      <c r="N785" s="1" t="s">
        <v>1594</v>
      </c>
      <c r="O785" s="1" t="s">
        <v>7</v>
      </c>
    </row>
    <row r="786" spans="1:15" x14ac:dyDescent="0.3">
      <c r="A786" s="1" t="str">
        <f>HYPERLINK("https://hsdes.intel.com/resource/14013181997","14013181997")</f>
        <v>14013181997</v>
      </c>
      <c r="B786" s="1" t="s">
        <v>1595</v>
      </c>
      <c r="C786" s="1" t="s">
        <v>46</v>
      </c>
      <c r="D786" s="1" t="s">
        <v>1683</v>
      </c>
      <c r="E786" s="1" t="s">
        <v>1698</v>
      </c>
      <c r="F786" s="1" t="s">
        <v>1729</v>
      </c>
      <c r="H786" s="1" t="s">
        <v>1707</v>
      </c>
      <c r="I786" s="1" t="s">
        <v>1673</v>
      </c>
      <c r="L786" s="4">
        <v>44796</v>
      </c>
      <c r="M786" s="1" t="s">
        <v>19</v>
      </c>
      <c r="N786" s="1" t="s">
        <v>1596</v>
      </c>
      <c r="O786" s="1" t="s">
        <v>7</v>
      </c>
    </row>
    <row r="787" spans="1:15" x14ac:dyDescent="0.3">
      <c r="A787" s="1" t="str">
        <f>HYPERLINK("https://hsdes.intel.com/resource/14013182005","14013182005")</f>
        <v>14013182005</v>
      </c>
      <c r="B787" s="1" t="s">
        <v>1597</v>
      </c>
      <c r="C787" s="1" t="s">
        <v>46</v>
      </c>
      <c r="D787" s="1" t="s">
        <v>1683</v>
      </c>
      <c r="E787" s="1" t="s">
        <v>1698</v>
      </c>
      <c r="F787" s="1" t="s">
        <v>1729</v>
      </c>
      <c r="H787" s="1" t="s">
        <v>1707</v>
      </c>
      <c r="I787" s="1" t="s">
        <v>1673</v>
      </c>
      <c r="L787" s="4">
        <v>44796</v>
      </c>
      <c r="M787" s="1" t="s">
        <v>19</v>
      </c>
      <c r="N787" s="1" t="s">
        <v>1598</v>
      </c>
      <c r="O787" s="1" t="s">
        <v>7</v>
      </c>
    </row>
    <row r="788" spans="1:15" x14ac:dyDescent="0.3">
      <c r="A788" s="1" t="str">
        <f>HYPERLINK("https://hsdes.intel.com/resource/14013182015","14013182015")</f>
        <v>14013182015</v>
      </c>
      <c r="B788" s="1" t="s">
        <v>1599</v>
      </c>
      <c r="C788" s="1" t="s">
        <v>46</v>
      </c>
      <c r="D788" s="1" t="s">
        <v>1683</v>
      </c>
      <c r="E788" s="1" t="s">
        <v>1698</v>
      </c>
      <c r="F788" s="1" t="s">
        <v>1729</v>
      </c>
      <c r="H788" s="1" t="s">
        <v>1707</v>
      </c>
      <c r="I788" s="1" t="s">
        <v>1673</v>
      </c>
      <c r="L788" s="4">
        <v>44796</v>
      </c>
      <c r="M788" s="1" t="s">
        <v>19</v>
      </c>
      <c r="N788" s="1" t="s">
        <v>1600</v>
      </c>
      <c r="O788" s="1" t="s">
        <v>7</v>
      </c>
    </row>
    <row r="789" spans="1:15" x14ac:dyDescent="0.3">
      <c r="A789" s="1" t="str">
        <f>HYPERLINK("https://hsdes.intel.com/resource/14013182082","14013182082")</f>
        <v>14013182082</v>
      </c>
      <c r="B789" s="1" t="s">
        <v>1601</v>
      </c>
      <c r="C789" s="1" t="s">
        <v>46</v>
      </c>
      <c r="D789" s="1" t="s">
        <v>1683</v>
      </c>
      <c r="E789" s="1" t="s">
        <v>1698</v>
      </c>
      <c r="F789" s="1" t="s">
        <v>1729</v>
      </c>
      <c r="H789" s="1" t="s">
        <v>1707</v>
      </c>
      <c r="I789" s="1" t="s">
        <v>1718</v>
      </c>
      <c r="L789" s="4">
        <v>44798</v>
      </c>
      <c r="M789" s="1" t="s">
        <v>19</v>
      </c>
      <c r="N789" s="1" t="s">
        <v>1602</v>
      </c>
      <c r="O789" s="1" t="s">
        <v>32</v>
      </c>
    </row>
    <row r="790" spans="1:15" x14ac:dyDescent="0.3">
      <c r="A790" s="1" t="str">
        <f>HYPERLINK("https://hsdes.intel.com/resource/14013182093","14013182093")</f>
        <v>14013182093</v>
      </c>
      <c r="B790" s="1" t="s">
        <v>1603</v>
      </c>
      <c r="C790" s="1" t="s">
        <v>46</v>
      </c>
      <c r="D790" s="1" t="s">
        <v>1683</v>
      </c>
      <c r="E790" s="1" t="s">
        <v>1698</v>
      </c>
      <c r="F790" s="1" t="s">
        <v>1729</v>
      </c>
      <c r="H790" s="1" t="s">
        <v>1707</v>
      </c>
      <c r="I790" s="1" t="s">
        <v>1718</v>
      </c>
      <c r="L790" s="4">
        <v>44798</v>
      </c>
      <c r="M790" s="1" t="s">
        <v>19</v>
      </c>
      <c r="N790" s="1" t="s">
        <v>1604</v>
      </c>
      <c r="O790" s="1" t="s">
        <v>32</v>
      </c>
    </row>
    <row r="791" spans="1:15" x14ac:dyDescent="0.3">
      <c r="A791" s="1" t="str">
        <f>HYPERLINK("https://hsdes.intel.com/resource/14013182116","14013182116")</f>
        <v>14013182116</v>
      </c>
      <c r="B791" s="1" t="s">
        <v>1605</v>
      </c>
      <c r="C791" s="1" t="s">
        <v>46</v>
      </c>
      <c r="D791" s="1" t="s">
        <v>1683</v>
      </c>
      <c r="E791" s="1" t="s">
        <v>1698</v>
      </c>
      <c r="F791" s="1" t="s">
        <v>1729</v>
      </c>
      <c r="H791" s="1" t="s">
        <v>1707</v>
      </c>
      <c r="I791" s="1" t="s">
        <v>1718</v>
      </c>
      <c r="L791" s="4">
        <v>44798</v>
      </c>
      <c r="M791" s="1" t="s">
        <v>19</v>
      </c>
      <c r="N791" s="1" t="s">
        <v>1606</v>
      </c>
      <c r="O791" s="1" t="s">
        <v>32</v>
      </c>
    </row>
    <row r="792" spans="1:15" x14ac:dyDescent="0.3">
      <c r="A792" s="1" t="str">
        <f>HYPERLINK("https://hsdes.intel.com/resource/14013182125","14013182125")</f>
        <v>14013182125</v>
      </c>
      <c r="B792" s="1" t="s">
        <v>1607</v>
      </c>
      <c r="C792" s="1" t="s">
        <v>46</v>
      </c>
      <c r="D792" s="1" t="s">
        <v>1683</v>
      </c>
      <c r="E792" s="1" t="s">
        <v>1698</v>
      </c>
      <c r="F792" s="1" t="s">
        <v>1729</v>
      </c>
      <c r="H792" s="1" t="s">
        <v>1707</v>
      </c>
      <c r="I792" s="1" t="s">
        <v>1718</v>
      </c>
      <c r="L792" s="4">
        <v>44798</v>
      </c>
      <c r="M792" s="1" t="s">
        <v>19</v>
      </c>
      <c r="N792" s="1" t="s">
        <v>1608</v>
      </c>
      <c r="O792" s="1" t="s">
        <v>32</v>
      </c>
    </row>
    <row r="793" spans="1:15" x14ac:dyDescent="0.3">
      <c r="A793" s="1" t="str">
        <f>HYPERLINK("https://hsdes.intel.com/resource/14013182132","14013182132")</f>
        <v>14013182132</v>
      </c>
      <c r="B793" s="1" t="s">
        <v>1609</v>
      </c>
      <c r="C793" s="1" t="s">
        <v>46</v>
      </c>
      <c r="D793" s="1" t="s">
        <v>1683</v>
      </c>
      <c r="E793" s="1" t="s">
        <v>1698</v>
      </c>
      <c r="F793" s="1" t="s">
        <v>1729</v>
      </c>
      <c r="H793" s="1" t="s">
        <v>1707</v>
      </c>
      <c r="I793" s="1" t="s">
        <v>1718</v>
      </c>
      <c r="L793" s="4">
        <v>44798</v>
      </c>
      <c r="M793" s="1" t="s">
        <v>19</v>
      </c>
      <c r="N793" s="1" t="s">
        <v>1610</v>
      </c>
      <c r="O793" s="1" t="s">
        <v>32</v>
      </c>
    </row>
    <row r="794" spans="1:15" x14ac:dyDescent="0.3">
      <c r="A794" s="1" t="str">
        <f>HYPERLINK("https://hsdes.intel.com/resource/14013183267","14013183267")</f>
        <v>14013183267</v>
      </c>
      <c r="B794" s="1" t="s">
        <v>1611</v>
      </c>
      <c r="C794" s="1" t="s">
        <v>98</v>
      </c>
      <c r="D794" s="1" t="s">
        <v>1683</v>
      </c>
      <c r="E794" s="1" t="s">
        <v>1698</v>
      </c>
      <c r="F794" s="1" t="s">
        <v>1729</v>
      </c>
      <c r="H794" s="1" t="s">
        <v>1707</v>
      </c>
      <c r="I794" s="1" t="s">
        <v>1673</v>
      </c>
      <c r="L794" s="4">
        <v>44796</v>
      </c>
      <c r="M794" s="1" t="s">
        <v>76</v>
      </c>
      <c r="N794" s="1" t="s">
        <v>1612</v>
      </c>
      <c r="O794" s="1" t="s">
        <v>10</v>
      </c>
    </row>
    <row r="795" spans="1:15" x14ac:dyDescent="0.3">
      <c r="A795" s="1" t="str">
        <f>HYPERLINK("https://hsdes.intel.com/resource/14013183274","14013183274")</f>
        <v>14013183274</v>
      </c>
      <c r="B795" s="1" t="s">
        <v>1613</v>
      </c>
      <c r="C795" s="1" t="s">
        <v>98</v>
      </c>
      <c r="D795" s="1" t="s">
        <v>1683</v>
      </c>
      <c r="E795" s="1" t="s">
        <v>1698</v>
      </c>
      <c r="F795" s="1" t="s">
        <v>1729</v>
      </c>
      <c r="H795" s="1" t="s">
        <v>1707</v>
      </c>
      <c r="I795" s="1" t="s">
        <v>1673</v>
      </c>
      <c r="L795" s="4">
        <v>44796</v>
      </c>
      <c r="M795" s="1" t="s">
        <v>76</v>
      </c>
      <c r="N795" s="1" t="s">
        <v>1614</v>
      </c>
      <c r="O795" s="1" t="s">
        <v>10</v>
      </c>
    </row>
    <row r="796" spans="1:15" x14ac:dyDescent="0.3">
      <c r="A796" s="1" t="str">
        <f>HYPERLINK("https://hsdes.intel.com/resource/14013184048","14013184048")</f>
        <v>14013184048</v>
      </c>
      <c r="B796" s="1" t="s">
        <v>1615</v>
      </c>
      <c r="C796" s="1" t="s">
        <v>4</v>
      </c>
      <c r="D796" s="1" t="s">
        <v>1683</v>
      </c>
      <c r="E796" s="1" t="s">
        <v>1698</v>
      </c>
      <c r="F796" s="1" t="s">
        <v>1729</v>
      </c>
      <c r="H796" s="1" t="s">
        <v>1707</v>
      </c>
      <c r="I796" s="1" t="s">
        <v>1671</v>
      </c>
      <c r="L796" s="4">
        <v>44797</v>
      </c>
      <c r="M796" s="1" t="s">
        <v>5</v>
      </c>
      <c r="N796" s="1" t="s">
        <v>1616</v>
      </c>
      <c r="O796" s="1" t="s">
        <v>7</v>
      </c>
    </row>
    <row r="797" spans="1:15" x14ac:dyDescent="0.3">
      <c r="A797" s="1" t="str">
        <f>HYPERLINK("https://hsdes.intel.com/resource/14013184052","14013184052")</f>
        <v>14013184052</v>
      </c>
      <c r="B797" s="1" t="s">
        <v>1617</v>
      </c>
      <c r="C797" s="1" t="s">
        <v>4</v>
      </c>
      <c r="D797" s="1" t="s">
        <v>1683</v>
      </c>
      <c r="E797" s="1" t="s">
        <v>1698</v>
      </c>
      <c r="F797" s="1" t="s">
        <v>1729</v>
      </c>
      <c r="H797" s="1" t="s">
        <v>1707</v>
      </c>
      <c r="I797" s="1" t="s">
        <v>1671</v>
      </c>
      <c r="L797" s="4">
        <v>44797</v>
      </c>
      <c r="M797" s="1" t="s">
        <v>5</v>
      </c>
      <c r="N797" s="1" t="s">
        <v>1618</v>
      </c>
      <c r="O797" s="1" t="s">
        <v>7</v>
      </c>
    </row>
    <row r="798" spans="1:15" x14ac:dyDescent="0.3">
      <c r="A798" s="1" t="str">
        <f>HYPERLINK("https://hsdes.intel.com/resource/14013184070","14013184070")</f>
        <v>14013184070</v>
      </c>
      <c r="B798" s="1" t="s">
        <v>1619</v>
      </c>
      <c r="C798" s="1" t="s">
        <v>4</v>
      </c>
      <c r="D798" s="1" t="s">
        <v>1683</v>
      </c>
      <c r="E798" s="1" t="s">
        <v>1698</v>
      </c>
      <c r="F798" s="1" t="s">
        <v>1729</v>
      </c>
      <c r="H798" s="1" t="s">
        <v>1707</v>
      </c>
      <c r="I798" s="1" t="s">
        <v>1671</v>
      </c>
      <c r="L798" s="4">
        <v>44797</v>
      </c>
      <c r="M798" s="1" t="s">
        <v>5</v>
      </c>
      <c r="N798" s="1" t="s">
        <v>1620</v>
      </c>
      <c r="O798" s="1" t="s">
        <v>7</v>
      </c>
    </row>
    <row r="799" spans="1:15" x14ac:dyDescent="0.3">
      <c r="A799" s="1" t="str">
        <f>HYPERLINK("https://hsdes.intel.com/resource/14013184074","14013184074")</f>
        <v>14013184074</v>
      </c>
      <c r="B799" s="1" t="s">
        <v>1621</v>
      </c>
      <c r="C799" s="1" t="s">
        <v>4</v>
      </c>
      <c r="D799" s="1" t="s">
        <v>1683</v>
      </c>
      <c r="E799" s="1" t="s">
        <v>1698</v>
      </c>
      <c r="F799" s="1" t="s">
        <v>1729</v>
      </c>
      <c r="H799" s="1" t="s">
        <v>1707</v>
      </c>
      <c r="I799" s="1" t="s">
        <v>1672</v>
      </c>
      <c r="L799" s="4">
        <v>44798</v>
      </c>
      <c r="M799" s="1" t="s">
        <v>5</v>
      </c>
      <c r="N799" s="1" t="s">
        <v>1622</v>
      </c>
      <c r="O799" s="1" t="s">
        <v>7</v>
      </c>
    </row>
    <row r="800" spans="1:15" x14ac:dyDescent="0.3">
      <c r="A800" s="1" t="str">
        <f>HYPERLINK("https://hsdes.intel.com/resource/14013184079","14013184079")</f>
        <v>14013184079</v>
      </c>
      <c r="B800" s="1" t="s">
        <v>1623</v>
      </c>
      <c r="C800" s="1" t="s">
        <v>4</v>
      </c>
      <c r="D800" s="1" t="s">
        <v>1683</v>
      </c>
      <c r="E800" s="1" t="s">
        <v>1698</v>
      </c>
      <c r="F800" s="1" t="s">
        <v>1729</v>
      </c>
      <c r="H800" s="1" t="s">
        <v>1707</v>
      </c>
      <c r="I800" s="1" t="s">
        <v>1672</v>
      </c>
      <c r="L800" s="4">
        <v>44798</v>
      </c>
      <c r="M800" s="1" t="s">
        <v>5</v>
      </c>
      <c r="N800" s="1" t="s">
        <v>1624</v>
      </c>
      <c r="O800" s="1" t="s">
        <v>7</v>
      </c>
    </row>
    <row r="801" spans="1:15" x14ac:dyDescent="0.3">
      <c r="A801" s="1" t="str">
        <f>HYPERLINK("https://hsdes.intel.com/resource/14013184081","14013184081")</f>
        <v>14013184081</v>
      </c>
      <c r="B801" s="1" t="s">
        <v>1625</v>
      </c>
      <c r="C801" s="1" t="s">
        <v>4</v>
      </c>
      <c r="D801" s="1" t="s">
        <v>1683</v>
      </c>
      <c r="E801" s="1" t="s">
        <v>1698</v>
      </c>
      <c r="F801" s="1" t="s">
        <v>1729</v>
      </c>
      <c r="H801" s="1" t="s">
        <v>1707</v>
      </c>
      <c r="I801" s="1" t="s">
        <v>1672</v>
      </c>
      <c r="L801" s="4">
        <v>44798</v>
      </c>
      <c r="M801" s="1" t="s">
        <v>5</v>
      </c>
      <c r="N801" s="1" t="s">
        <v>1626</v>
      </c>
      <c r="O801" s="1" t="s">
        <v>7</v>
      </c>
    </row>
    <row r="802" spans="1:15" x14ac:dyDescent="0.3">
      <c r="A802" s="1" t="str">
        <f>HYPERLINK("https://hsdes.intel.com/resource/14013184376","14013184376")</f>
        <v>14013184376</v>
      </c>
      <c r="B802" s="1" t="s">
        <v>1627</v>
      </c>
      <c r="C802" s="1" t="s">
        <v>98</v>
      </c>
      <c r="D802" s="1" t="s">
        <v>1683</v>
      </c>
      <c r="E802" s="1" t="s">
        <v>1698</v>
      </c>
      <c r="F802" s="1" t="s">
        <v>1729</v>
      </c>
      <c r="H802" s="1" t="s">
        <v>1707</v>
      </c>
      <c r="I802" s="1" t="s">
        <v>1673</v>
      </c>
      <c r="L802" s="4">
        <v>44796</v>
      </c>
      <c r="M802" s="1" t="s">
        <v>76</v>
      </c>
      <c r="N802" s="1" t="s">
        <v>1628</v>
      </c>
      <c r="O802" s="1" t="s">
        <v>10</v>
      </c>
    </row>
    <row r="803" spans="1:15" x14ac:dyDescent="0.3">
      <c r="A803" s="1" t="str">
        <f>HYPERLINK("https://hsdes.intel.com/resource/14013185088","14013185088")</f>
        <v>14013185088</v>
      </c>
      <c r="B803" s="1" t="s">
        <v>1629</v>
      </c>
      <c r="C803" s="1" t="s">
        <v>59</v>
      </c>
      <c r="D803" s="1" t="s">
        <v>1683</v>
      </c>
      <c r="E803" s="1" t="s">
        <v>1698</v>
      </c>
      <c r="F803" s="1" t="s">
        <v>1729</v>
      </c>
      <c r="H803" s="1" t="s">
        <v>1707</v>
      </c>
      <c r="I803" s="1" t="s">
        <v>1673</v>
      </c>
      <c r="L803" s="4">
        <v>44799</v>
      </c>
      <c r="M803" s="1" t="s">
        <v>15</v>
      </c>
      <c r="N803" s="1" t="s">
        <v>1630</v>
      </c>
      <c r="O803" s="1" t="s">
        <v>7</v>
      </c>
    </row>
    <row r="804" spans="1:15" x14ac:dyDescent="0.3">
      <c r="A804" s="1" t="str">
        <f>HYPERLINK("https://hsdes.intel.com/resource/14013185098","14013185098")</f>
        <v>14013185098</v>
      </c>
      <c r="B804" s="1" t="s">
        <v>1631</v>
      </c>
      <c r="C804" s="1" t="s">
        <v>59</v>
      </c>
      <c r="D804" s="1" t="s">
        <v>1683</v>
      </c>
      <c r="E804" s="1" t="s">
        <v>1698</v>
      </c>
      <c r="F804" s="1" t="s">
        <v>1729</v>
      </c>
      <c r="H804" s="1" t="s">
        <v>1707</v>
      </c>
      <c r="I804" s="1" t="s">
        <v>1673</v>
      </c>
      <c r="L804" s="4">
        <v>44799</v>
      </c>
      <c r="M804" s="1" t="s">
        <v>15</v>
      </c>
      <c r="N804" s="1" t="s">
        <v>1632</v>
      </c>
      <c r="O804" s="1" t="s">
        <v>7</v>
      </c>
    </row>
    <row r="805" spans="1:15" x14ac:dyDescent="0.3">
      <c r="A805" s="1" t="str">
        <f>HYPERLINK("https://hsdes.intel.com/resource/14013185100","14013185100")</f>
        <v>14013185100</v>
      </c>
      <c r="B805" s="1" t="s">
        <v>1633</v>
      </c>
      <c r="C805" s="1" t="s">
        <v>59</v>
      </c>
      <c r="D805" s="1" t="s">
        <v>1683</v>
      </c>
      <c r="E805" s="1" t="s">
        <v>1698</v>
      </c>
      <c r="F805" s="1" t="s">
        <v>1729</v>
      </c>
      <c r="H805" s="1" t="s">
        <v>1707</v>
      </c>
      <c r="I805" s="1" t="s">
        <v>1671</v>
      </c>
      <c r="L805" s="4">
        <v>44803</v>
      </c>
      <c r="M805" s="1" t="s">
        <v>15</v>
      </c>
      <c r="N805" s="1" t="s">
        <v>1634</v>
      </c>
      <c r="O805" s="1" t="s">
        <v>7</v>
      </c>
    </row>
    <row r="806" spans="1:15" x14ac:dyDescent="0.3">
      <c r="A806" s="1" t="str">
        <f>HYPERLINK("https://hsdes.intel.com/resource/14013185127","14013185127")</f>
        <v>14013185127</v>
      </c>
      <c r="B806" s="1" t="s">
        <v>1635</v>
      </c>
      <c r="C806" s="1" t="s">
        <v>98</v>
      </c>
      <c r="D806" s="1" t="s">
        <v>1683</v>
      </c>
      <c r="E806" s="1" t="s">
        <v>1698</v>
      </c>
      <c r="F806" s="1" t="s">
        <v>1729</v>
      </c>
      <c r="H806" s="1" t="s">
        <v>1707</v>
      </c>
      <c r="I806" s="1" t="s">
        <v>1673</v>
      </c>
      <c r="L806" s="4">
        <v>44796</v>
      </c>
      <c r="M806" s="1" t="s">
        <v>76</v>
      </c>
      <c r="N806" s="1" t="s">
        <v>1636</v>
      </c>
      <c r="O806" s="1" t="s">
        <v>7</v>
      </c>
    </row>
    <row r="807" spans="1:15" x14ac:dyDescent="0.3">
      <c r="A807" s="1" t="str">
        <f>HYPERLINK("https://hsdes.intel.com/resource/14013185197","14013185197")</f>
        <v>14013185197</v>
      </c>
      <c r="B807" s="1" t="s">
        <v>1637</v>
      </c>
      <c r="C807" s="1" t="s">
        <v>59</v>
      </c>
      <c r="D807" s="1" t="s">
        <v>1683</v>
      </c>
      <c r="E807" s="1" t="s">
        <v>1698</v>
      </c>
      <c r="F807" s="1" t="s">
        <v>1729</v>
      </c>
      <c r="H807" s="1" t="s">
        <v>1707</v>
      </c>
      <c r="I807" s="1" t="s">
        <v>1671</v>
      </c>
      <c r="L807" s="4">
        <v>44797</v>
      </c>
      <c r="M807" s="1" t="s">
        <v>15</v>
      </c>
      <c r="N807" s="1" t="s">
        <v>1638</v>
      </c>
      <c r="O807" s="1" t="s">
        <v>7</v>
      </c>
    </row>
    <row r="808" spans="1:15" x14ac:dyDescent="0.3">
      <c r="A808" s="1" t="str">
        <f>HYPERLINK("https://hsdes.intel.com/resource/14013185495","14013185495")</f>
        <v>14013185495</v>
      </c>
      <c r="B808" s="1" t="s">
        <v>1639</v>
      </c>
      <c r="C808" s="1" t="s">
        <v>59</v>
      </c>
      <c r="D808" s="1" t="s">
        <v>1683</v>
      </c>
      <c r="E808" s="1" t="s">
        <v>1698</v>
      </c>
      <c r="F808" s="1" t="s">
        <v>1729</v>
      </c>
      <c r="H808" s="1" t="s">
        <v>1707</v>
      </c>
      <c r="I808" s="1" t="s">
        <v>1673</v>
      </c>
      <c r="L808" s="4">
        <v>44802</v>
      </c>
      <c r="M808" s="1" t="s">
        <v>76</v>
      </c>
      <c r="N808" s="1" t="s">
        <v>1640</v>
      </c>
      <c r="O808" s="1" t="s">
        <v>10</v>
      </c>
    </row>
    <row r="809" spans="1:15" x14ac:dyDescent="0.3">
      <c r="A809" s="1" t="str">
        <f>HYPERLINK("https://hsdes.intel.com/resource/14013185512","14013185512")</f>
        <v>14013185512</v>
      </c>
      <c r="B809" s="1" t="s">
        <v>1641</v>
      </c>
      <c r="C809" s="1" t="s">
        <v>59</v>
      </c>
      <c r="D809" s="1" t="s">
        <v>1683</v>
      </c>
      <c r="E809" s="1" t="s">
        <v>1698</v>
      </c>
      <c r="F809" s="1" t="s">
        <v>1729</v>
      </c>
      <c r="H809" s="7" t="s">
        <v>1707</v>
      </c>
      <c r="I809" s="1" t="s">
        <v>1718</v>
      </c>
      <c r="L809" s="4">
        <v>44802</v>
      </c>
      <c r="M809" s="1" t="s">
        <v>15</v>
      </c>
      <c r="N809" s="1" t="s">
        <v>1642</v>
      </c>
      <c r="O809" s="1" t="s">
        <v>10</v>
      </c>
    </row>
    <row r="810" spans="1:15" x14ac:dyDescent="0.3">
      <c r="A810" s="1" t="str">
        <f>HYPERLINK("https://hsdes.intel.com/resource/14013185599","14013185599")</f>
        <v>14013185599</v>
      </c>
      <c r="B810" s="1" t="s">
        <v>1643</v>
      </c>
      <c r="C810" s="1" t="s">
        <v>22</v>
      </c>
      <c r="D810" s="1" t="s">
        <v>1684</v>
      </c>
      <c r="E810" s="1" t="s">
        <v>1698</v>
      </c>
      <c r="F810" s="1" t="s">
        <v>1729</v>
      </c>
      <c r="H810" s="1" t="s">
        <v>1707</v>
      </c>
      <c r="I810" s="1" t="s">
        <v>1671</v>
      </c>
      <c r="L810" s="4">
        <v>44799</v>
      </c>
      <c r="M810" s="1" t="s">
        <v>23</v>
      </c>
      <c r="N810" s="1" t="s">
        <v>1644</v>
      </c>
      <c r="O810" s="1" t="s">
        <v>32</v>
      </c>
    </row>
    <row r="811" spans="1:15" x14ac:dyDescent="0.3">
      <c r="A811" s="1" t="str">
        <f>HYPERLINK("https://hsdes.intel.com/resource/16012369963","16012369963")</f>
        <v>16012369963</v>
      </c>
      <c r="B811" s="1" t="s">
        <v>1645</v>
      </c>
      <c r="C811" s="1" t="s">
        <v>28</v>
      </c>
      <c r="D811" s="1" t="s">
        <v>1683</v>
      </c>
      <c r="E811" s="1" t="s">
        <v>1698</v>
      </c>
      <c r="F811" s="1" t="s">
        <v>1729</v>
      </c>
      <c r="H811" s="1" t="s">
        <v>1707</v>
      </c>
      <c r="I811" s="1" t="s">
        <v>1671</v>
      </c>
      <c r="L811" s="4">
        <v>44799</v>
      </c>
      <c r="M811" s="1" t="s">
        <v>5</v>
      </c>
      <c r="O811" s="1" t="s">
        <v>32</v>
      </c>
    </row>
    <row r="812" spans="1:15" x14ac:dyDescent="0.3">
      <c r="A812" s="1" t="str">
        <f>HYPERLINK("https://hsdes.intel.com/resource/16012796102","16012796102")</f>
        <v>16012796102</v>
      </c>
      <c r="B812" s="1" t="s">
        <v>1646</v>
      </c>
      <c r="C812" s="1" t="s">
        <v>14</v>
      </c>
      <c r="D812" s="1" t="s">
        <v>1684</v>
      </c>
      <c r="E812" s="1" t="s">
        <v>1698</v>
      </c>
      <c r="F812" s="1" t="s">
        <v>1729</v>
      </c>
      <c r="H812" s="1" t="s">
        <v>1707</v>
      </c>
      <c r="I812" s="1" t="s">
        <v>1723</v>
      </c>
      <c r="K812" s="4"/>
      <c r="L812" s="4">
        <v>44802</v>
      </c>
      <c r="M812" s="1" t="s">
        <v>15</v>
      </c>
      <c r="N812" s="1" t="s">
        <v>1647</v>
      </c>
      <c r="O812" s="1" t="s">
        <v>7</v>
      </c>
    </row>
    <row r="813" spans="1:15" x14ac:dyDescent="0.3">
      <c r="A813" s="1" t="str">
        <f>HYPERLINK("https://hsdes.intel.com/resource/16012845469","16012845469")</f>
        <v>16012845469</v>
      </c>
      <c r="B813" s="1" t="s">
        <v>1648</v>
      </c>
      <c r="C813" s="1" t="s">
        <v>22</v>
      </c>
      <c r="D813" s="1" t="s">
        <v>1684</v>
      </c>
      <c r="E813" s="1" t="s">
        <v>1698</v>
      </c>
      <c r="F813" s="1" t="s">
        <v>1729</v>
      </c>
      <c r="H813" s="1" t="s">
        <v>1674</v>
      </c>
      <c r="I813" s="1" t="s">
        <v>1674</v>
      </c>
      <c r="M813" s="1" t="s">
        <v>1649</v>
      </c>
      <c r="N813" s="1" t="s">
        <v>138</v>
      </c>
      <c r="O813" s="1" t="s">
        <v>7</v>
      </c>
    </row>
    <row r="814" spans="1:15" x14ac:dyDescent="0.3">
      <c r="A814" s="1" t="str">
        <f>HYPERLINK("https://hsdes.intel.com/resource/16013241572","16013241572")</f>
        <v>16013241572</v>
      </c>
      <c r="B814" s="1" t="s">
        <v>1650</v>
      </c>
      <c r="C814" s="1" t="s">
        <v>46</v>
      </c>
      <c r="D814" s="1" t="s">
        <v>1683</v>
      </c>
      <c r="E814" s="1" t="s">
        <v>1698</v>
      </c>
      <c r="F814" s="1" t="s">
        <v>1729</v>
      </c>
      <c r="H814" s="1" t="s">
        <v>1707</v>
      </c>
      <c r="I814" s="1" t="s">
        <v>1671</v>
      </c>
      <c r="L814" s="4">
        <v>44799</v>
      </c>
      <c r="M814" s="1" t="s">
        <v>19</v>
      </c>
      <c r="O814" s="1" t="s">
        <v>7</v>
      </c>
    </row>
    <row r="815" spans="1:15" x14ac:dyDescent="0.3">
      <c r="A815" s="1" t="str">
        <f>HYPERLINK("https://hsdes.intel.com/resource/16014434357","16014434357")</f>
        <v>16014434357</v>
      </c>
      <c r="B815" s="1" t="s">
        <v>1651</v>
      </c>
      <c r="C815" s="1" t="s">
        <v>4</v>
      </c>
      <c r="D815" s="1" t="s">
        <v>1683</v>
      </c>
      <c r="E815" s="1" t="s">
        <v>1698</v>
      </c>
      <c r="F815" s="1" t="s">
        <v>1729</v>
      </c>
      <c r="H815" s="1" t="s">
        <v>1707</v>
      </c>
      <c r="I815" s="1" t="s">
        <v>1671</v>
      </c>
      <c r="K815" s="1" t="s">
        <v>1675</v>
      </c>
      <c r="L815" s="4">
        <v>44798</v>
      </c>
      <c r="M815" s="1" t="s">
        <v>5</v>
      </c>
      <c r="N815" s="1" t="s">
        <v>180</v>
      </c>
      <c r="O815" s="1" t="s">
        <v>7</v>
      </c>
    </row>
    <row r="816" spans="1:15" x14ac:dyDescent="0.3">
      <c r="A816" s="1" t="str">
        <f>HYPERLINK("https://hsdes.intel.com/resource/16014434758","16014434758")</f>
        <v>16014434758</v>
      </c>
      <c r="B816" s="1" t="s">
        <v>1652</v>
      </c>
      <c r="C816" s="1" t="s">
        <v>4</v>
      </c>
      <c r="D816" s="1" t="s">
        <v>1683</v>
      </c>
      <c r="E816" s="1" t="s">
        <v>1698</v>
      </c>
      <c r="F816" s="1" t="s">
        <v>1729</v>
      </c>
      <c r="H816" s="1" t="s">
        <v>1707</v>
      </c>
      <c r="I816" s="1" t="s">
        <v>1671</v>
      </c>
      <c r="K816" s="1" t="s">
        <v>1675</v>
      </c>
      <c r="L816" s="4">
        <v>44798</v>
      </c>
      <c r="M816" s="1" t="s">
        <v>5</v>
      </c>
      <c r="N816" s="1" t="s">
        <v>180</v>
      </c>
      <c r="O816" s="1" t="s">
        <v>7</v>
      </c>
    </row>
    <row r="817" spans="1:15" x14ac:dyDescent="0.3">
      <c r="A817" s="1" t="str">
        <f>HYPERLINK("https://hsdes.intel.com/resource/22011834277","22011834277")</f>
        <v>22011834277</v>
      </c>
      <c r="B817" s="1" t="s">
        <v>1653</v>
      </c>
      <c r="C817" s="1" t="s">
        <v>4</v>
      </c>
      <c r="D817" s="1" t="s">
        <v>1683</v>
      </c>
      <c r="E817" s="1" t="s">
        <v>1698</v>
      </c>
      <c r="F817" s="1" t="s">
        <v>1729</v>
      </c>
      <c r="H817" s="1" t="s">
        <v>1674</v>
      </c>
      <c r="I817" s="1" t="s">
        <v>1674</v>
      </c>
      <c r="M817" s="1" t="s">
        <v>5</v>
      </c>
      <c r="N817" s="1" t="s">
        <v>1654</v>
      </c>
      <c r="O817" s="1" t="s">
        <v>32</v>
      </c>
    </row>
    <row r="818" spans="1:15" x14ac:dyDescent="0.3">
      <c r="A818" s="1" t="str">
        <f>HYPERLINK("https://hsdes.intel.com/resource/22011834363","22011834363")</f>
        <v>22011834363</v>
      </c>
      <c r="B818" s="1" t="s">
        <v>1655</v>
      </c>
      <c r="C818" s="1" t="s">
        <v>4</v>
      </c>
      <c r="D818" s="1" t="s">
        <v>1684</v>
      </c>
      <c r="E818" s="1" t="s">
        <v>1698</v>
      </c>
      <c r="F818" s="1" t="s">
        <v>1729</v>
      </c>
      <c r="H818" s="1" t="s">
        <v>1707</v>
      </c>
      <c r="I818" s="1" t="s">
        <v>1718</v>
      </c>
      <c r="L818" s="4">
        <v>44798</v>
      </c>
      <c r="M818" s="1" t="s">
        <v>5</v>
      </c>
      <c r="N818" s="1" t="s">
        <v>1656</v>
      </c>
      <c r="O818" s="1" t="s">
        <v>7</v>
      </c>
    </row>
    <row r="819" spans="1:15" x14ac:dyDescent="0.3">
      <c r="A819" s="12" t="str">
        <f>HYPERLINK("https://hsdes.intel.com/resource/22011834442","22011834442")</f>
        <v>22011834442</v>
      </c>
      <c r="B819" s="1" t="s">
        <v>1657</v>
      </c>
      <c r="C819" s="1" t="s">
        <v>36</v>
      </c>
      <c r="D819" s="1" t="s">
        <v>1683</v>
      </c>
      <c r="E819" s="1" t="s">
        <v>1698</v>
      </c>
      <c r="F819" s="1" t="s">
        <v>1729</v>
      </c>
      <c r="H819" s="1" t="s">
        <v>1707</v>
      </c>
      <c r="I819" s="1" t="s">
        <v>1718</v>
      </c>
      <c r="L819" s="4">
        <v>44798</v>
      </c>
      <c r="M819" s="1" t="s">
        <v>37</v>
      </c>
      <c r="N819" s="1" t="s">
        <v>1658</v>
      </c>
      <c r="O819" s="1" t="s">
        <v>10</v>
      </c>
    </row>
    <row r="820" spans="1:15" x14ac:dyDescent="0.3">
      <c r="A820" s="1" t="str">
        <f>HYPERLINK("https://hsdes.intel.com/resource/22011834531","22011834531")</f>
        <v>22011834531</v>
      </c>
      <c r="B820" s="1" t="s">
        <v>1659</v>
      </c>
      <c r="C820" s="1" t="s">
        <v>4</v>
      </c>
      <c r="D820" s="1" t="s">
        <v>1683</v>
      </c>
      <c r="E820" s="1" t="s">
        <v>1698</v>
      </c>
      <c r="F820" s="1" t="s">
        <v>1729</v>
      </c>
      <c r="H820" s="1" t="s">
        <v>1674</v>
      </c>
      <c r="I820" s="1" t="s">
        <v>1674</v>
      </c>
      <c r="M820" s="1" t="s">
        <v>5</v>
      </c>
      <c r="N820" s="1" t="s">
        <v>1660</v>
      </c>
      <c r="O820" s="1" t="s">
        <v>32</v>
      </c>
    </row>
    <row r="822" spans="1:15" x14ac:dyDescent="0.3">
      <c r="K822" s="10"/>
    </row>
    <row r="823" spans="1:15" x14ac:dyDescent="0.3">
      <c r="K823" s="10"/>
    </row>
    <row r="828" spans="1:15" x14ac:dyDescent="0.3">
      <c r="O828" s="21"/>
    </row>
  </sheetData>
  <customSheetViews>
    <customSheetView guid="{7E010725-D1EF-4AE5-978C-1A1F99DA4697}" scale="87" filter="1" showAutoFilter="1" hiddenColumns="1" topLeftCell="B1">
      <selection activeCell="J559" sqref="J559"/>
      <pageMargins left="0.7" right="0.7" top="0.75" bottom="0.75" header="0.3" footer="0.3"/>
      <pageSetup orientation="portrait" r:id="rId1"/>
      <autoFilter ref="A1:Q821" xr:uid="{2471FD65-9ECC-481D-B9AF-FC956C12675D}">
        <filterColumn colId="8">
          <filters blank="1"/>
        </filterColumn>
        <filterColumn colId="9">
          <filters>
            <filter val="Faheem"/>
          </filters>
        </filterColumn>
      </autoFilter>
    </customSheetView>
    <customSheetView guid="{73F29E26-E4E1-4D5B-9046-24BA6FA7CC5B}" filter="1" showAutoFilter="1" topLeftCell="D366">
      <selection activeCell="J833" sqref="J833"/>
      <pageMargins left="0.7" right="0.7" top="0.75" bottom="0.75" header="0.3" footer="0.3"/>
      <pageSetup orientation="portrait" r:id="rId2"/>
      <autoFilter ref="A1:Q821" xr:uid="{5690B3C0-0AD5-4ACE-BAD2-B6CEF4082240}">
        <filterColumn colId="8">
          <filters blank="1"/>
        </filterColumn>
        <filterColumn colId="9">
          <filters>
            <filter val="Abhijith"/>
          </filters>
        </filterColumn>
      </autoFilter>
    </customSheetView>
    <customSheetView guid="{03D3A8E9-9316-472A-9F22-11BBF12EA899}" scale="84" filter="1" showAutoFilter="1" hiddenColumns="1" topLeftCell="D1">
      <selection activeCell="M95" sqref="M95"/>
      <pageMargins left="0.7" right="0.7" top="0.75" bottom="0.75" header="0.3" footer="0.3"/>
      <autoFilter ref="A1:P821" xr:uid="{CEE12927-5985-4DA0-883E-F98A7996DE4F}">
        <filterColumn colId="8">
          <filters blank="1"/>
        </filterColumn>
        <filterColumn colId="9">
          <filters>
            <filter val="Malik"/>
          </filters>
        </filterColumn>
      </autoFilter>
    </customSheetView>
    <customSheetView guid="{442D3225-3416-4589-A1E3-E8426BFBC527}" filter="1" showAutoFilter="1" hiddenColumns="1" topLeftCell="C1">
      <selection activeCell="I543" sqref="I543"/>
      <pageMargins left="0.7" right="0.7" top="0.75" bottom="0.75" header="0.3" footer="0.3"/>
      <pageSetup orientation="portrait" r:id="rId3"/>
      <autoFilter ref="A1:P821" xr:uid="{1C13DCED-2904-4E71-89A7-415B5C46F689}">
        <filterColumn colId="8">
          <customFilters>
            <customFilter operator="notEqual" val=" "/>
          </customFilters>
        </filterColumn>
        <filterColumn colId="9">
          <filters>
            <filter val="Gopika"/>
          </filters>
        </filterColumn>
        <filterColumn colId="12">
          <filters>
            <dateGroupItem year="2022" month="7" day="13" dateTimeGrouping="day"/>
          </filters>
        </filterColumn>
      </autoFilter>
    </customSheetView>
    <customSheetView guid="{90BC38B4-91DA-450F-ADF0-BED283A08FFC}" filter="1" showAutoFilter="1" topLeftCell="B1">
      <selection activeCell="E553" sqref="E553"/>
      <pageMargins left="0.7" right="0.7" top="0.75" bottom="0.75" header="0.3" footer="0.3"/>
      <pageSetup orientation="portrait" r:id="rId4"/>
      <autoFilter ref="A1:P821" xr:uid="{8CCE132F-9CCB-4064-910D-93E35D21D8DC}">
        <filterColumn colId="8">
          <filters blank="1"/>
        </filterColumn>
        <filterColumn colId="9">
          <filters>
            <filter val="Prasad"/>
          </filters>
        </filterColumn>
        <filterColumn colId="11">
          <filters blank="1"/>
        </filterColumn>
        <filterColumn colId="15">
          <filters>
            <filter val="High"/>
          </filters>
        </filterColumn>
      </autoFilter>
    </customSheetView>
    <customSheetView guid="{8065ABEB-1319-4ADA-B736-BD29A1CADEAF}" filter="1" showAutoFilter="1">
      <selection activeCell="A436" sqref="A436"/>
      <pageMargins left="0.7" right="0.7" top="0.75" bottom="0.75" header="0.3" footer="0.3"/>
      <autoFilter ref="A1:P821" xr:uid="{3A047208-541F-4B48-9BC7-62958E93456A}">
        <filterColumn colId="8">
          <filters blank="1"/>
        </filterColumn>
        <filterColumn colId="9">
          <filters>
            <filter val="Suraksha"/>
          </filters>
        </filterColumn>
        <filterColumn colId="12">
          <filters>
            <dateGroupItem year="2022" month="7" day="12" dateTimeGrouping="day"/>
          </filters>
        </filterColumn>
        <filterColumn colId="15">
          <filters>
            <filter val="High"/>
          </filters>
        </filterColumn>
      </autoFilter>
    </customSheetView>
    <customSheetView guid="{43F43388-BEB5-4FDF-ABA6-82A94EBD4EA0}" filter="1" showAutoFilter="1">
      <selection activeCell="C392" sqref="C392"/>
      <pageMargins left="0.7" right="0.7" top="0.75" bottom="0.75" header="0.3" footer="0.3"/>
      <autoFilter ref="A1:P821" xr:uid="{E177DF53-0F05-499F-A1A2-495E186121AE}">
        <filterColumn colId="9">
          <filters>
            <filter val="Abishek"/>
          </filters>
        </filterColumn>
      </autoFilter>
    </customSheetView>
    <customSheetView guid="{55B5A6F4-3A99-40D9-BEFB-EC16551CBF6D}" filter="1" showAutoFilter="1" topLeftCell="D1">
      <selection activeCell="I329" sqref="I329"/>
      <pageMargins left="0.7" right="0.7" top="0.75" bottom="0.75" header="0.3" footer="0.3"/>
      <autoFilter ref="A1:P821" xr:uid="{B83550C0-ED45-4353-B48D-EA79029E57BB}">
        <filterColumn colId="8">
          <filters blank="1"/>
        </filterColumn>
        <filterColumn colId="9">
          <filters>
            <filter val="Reshma"/>
          </filters>
        </filterColumn>
      </autoFilter>
    </customSheetView>
    <customSheetView guid="{C789FEBA-DD5B-4278-9289-F15CBC9C5991}" scale="88" filter="1" showAutoFilter="1" hiddenColumns="1">
      <selection activeCell="C830" sqref="C830"/>
      <pageMargins left="0.7" right="0.7" top="0.75" bottom="0.75" header="0.3" footer="0.3"/>
      <autoFilter ref="A1:P821" xr:uid="{7D6AE4B6-1E37-4A0B-BD55-074F7003B9D9}">
        <filterColumn colId="8">
          <filters blank="1"/>
        </filterColumn>
        <filterColumn colId="9">
          <filters>
            <filter val="Shwetha"/>
          </filters>
        </filterColumn>
      </autoFilter>
    </customSheetView>
    <customSheetView guid="{33CB5995-2D52-4A70-9C33-862BD9D05C8B}" filter="1" showAutoFilter="1" topLeftCell="D1">
      <selection activeCell="M462" sqref="M462"/>
      <pageMargins left="0.7" right="0.7" top="0.75" bottom="0.75" header="0.3" footer="0.3"/>
      <pageSetup orientation="portrait" r:id="rId5"/>
      <autoFilter ref="A1:P821" xr:uid="{2596FC90-00EA-46BF-AAF8-37A5BF88C6BF}">
        <filterColumn colId="8">
          <filters blank="1"/>
        </filterColumn>
        <filterColumn colId="9">
          <filters>
            <filter val="Jeffy"/>
          </filters>
        </filterColumn>
      </autoFilter>
    </customSheetView>
    <customSheetView guid="{304F0B8F-5896-4380-8DAC-6BA6163A6561}" scale="85" filter="1" showAutoFilter="1" hiddenColumns="1">
      <selection activeCell="U828" sqref="U828"/>
      <pageMargins left="0.7" right="0.7" top="0.75" bottom="0.75" header="0.3" footer="0.3"/>
      <autoFilter ref="A1:Q821" xr:uid="{7ACF5306-8D29-44C3-92BF-11B9081931B6}">
        <filterColumn colId="8">
          <filters blank="1"/>
        </filterColumn>
        <filterColumn colId="9">
          <filters>
            <filter val="Ramya"/>
          </filters>
        </filterColumn>
      </autoFilter>
    </customSheetView>
    <customSheetView guid="{113213E7-FD00-4FA9-8F54-B5E8CCE2AA95}" showAutoFilter="1" topLeftCell="D1">
      <selection activeCell="J1" sqref="J1"/>
      <pageMargins left="0.7" right="0.7" top="0.75" bottom="0.75" header="0.3" footer="0.3"/>
      <pageSetup orientation="portrait" r:id="rId6"/>
      <autoFilter ref="A1:Q821" xr:uid="{BDF92C69-A4EF-46C9-B428-1C48A5E8B040}"/>
    </customSheetView>
    <customSheetView guid="{78471876-27A1-4B1C-8842-A711D0A3F776}" filter="1" showAutoFilter="1" topLeftCell="D1">
      <selection activeCell="J736" sqref="J736"/>
      <pageMargins left="0.7" right="0.7" top="0.75" bottom="0.75" header="0.3" footer="0.3"/>
      <pageSetup orientation="portrait" r:id="rId7"/>
      <autoFilter ref="A1:Q821" xr:uid="{2D73BBF6-1FC1-447A-A75C-694DA8FE971E}">
        <filterColumn colId="8">
          <filters blank="1"/>
        </filterColumn>
        <filterColumn colId="9">
          <filters>
            <filter val="Divya"/>
          </filters>
        </filterColumn>
      </autoFilter>
    </customSheetView>
    <customSheetView guid="{A20726B4-CA20-45BC-B612-BD7568527731}" scale="85" filter="1" showAutoFilter="1" topLeftCell="D1">
      <selection activeCell="J534" sqref="J534"/>
      <pageMargins left="0.7" right="0.7" top="0.75" bottom="0.75" header="0.3" footer="0.3"/>
      <pageSetup orientation="portrait" r:id="rId8"/>
      <autoFilter ref="A1:Q821" xr:uid="{C606BCB3-E92D-49C5-A4A5-8B57D67CB94C}">
        <filterColumn colId="9">
          <filters>
            <filter val="Jijina"/>
          </filters>
        </filterColumn>
      </autoFilter>
    </customSheetView>
    <customSheetView guid="{2F4696D3-E927-4924-A499-25F92FA9CDBC}" scale="88" filter="1" showAutoFilter="1" hiddenColumns="1" topLeftCell="D1">
      <selection activeCell="J1" sqref="J1"/>
      <pageMargins left="0.7" right="0.7" top="0.75" bottom="0.75" header="0.3" footer="0.3"/>
      <pageSetup orientation="portrait" r:id="rId9"/>
      <autoFilter ref="A1:Q821" xr:uid="{5F00BB69-7618-4BA5-9181-DF6BB090BDD8}">
        <filterColumn colId="8">
          <customFilters>
            <customFilter operator="notEqual" val=" "/>
          </customFilters>
        </filterColumn>
        <filterColumn colId="9">
          <filters>
            <filter val="Prudhvi"/>
          </filters>
        </filterColumn>
      </autoFilter>
    </customSheetView>
    <customSheetView guid="{6B38B172-E6CB-40D9-BA61-6543913EA4B4}" scale="84" filter="1" showAutoFilter="1" hiddenColumns="1">
      <selection activeCell="C60" sqref="C60"/>
      <pageMargins left="0.7" right="0.7" top="0.75" bottom="0.75" header="0.3" footer="0.3"/>
      <pageSetup orientation="portrait" r:id="rId10"/>
      <autoFilter ref="A1:Q821" xr:uid="{F02A256A-4E81-4DB7-A231-A73E716F3844}">
        <filterColumn colId="8">
          <filters blank="1"/>
        </filterColumn>
        <filterColumn colId="9">
          <filters>
            <filter val="Lakshmi"/>
          </filters>
        </filterColumn>
      </autoFilter>
    </customSheetView>
    <customSheetView guid="{DA0265C3-0F0E-4AAA-82CC-4D26DA6B76BB}" scale="87" showAutoFilter="1" hiddenColumns="1">
      <selection activeCell="C1" sqref="C1"/>
      <pageMargins left="0.7" right="0.7" top="0.75" bottom="0.75" header="0.3" footer="0.3"/>
      <pageSetup orientation="portrait" r:id="rId11"/>
      <autoFilter ref="A1:Q821" xr:uid="{347128B8-4FDF-454E-BDEB-C50AC2276CD1}"/>
    </customSheetView>
    <customSheetView guid="{84EBE571-ACB4-4746-8551-8CF160CADA74}" scale="76" hiddenColumns="1" topLeftCell="B1">
      <selection activeCell="D831" sqref="D831"/>
      <pageMargins left="0.7" right="0.7" top="0.75" bottom="0.75" header="0.3" footer="0.3"/>
      <pageSetup orientation="portrait" r:id="rId12"/>
    </customSheetView>
  </customSheetViews>
  <conditionalFormatting sqref="A1:A172 A174:A1048576">
    <cfRule type="duplicateValues" dxfId="1" priority="4"/>
  </conditionalFormatting>
  <conditionalFormatting sqref="A1:A1048576">
    <cfRule type="duplicateValues" dxfId="0" priority="2"/>
  </conditionalFormatting>
  <hyperlinks>
    <hyperlink ref="J465" r:id="rId13" location="/16014667078" display="https://hsdes.intel.com/appstore/article/ - /16014667078" xr:uid="{4352755C-6093-4603-8695-BCEB51E5DEBF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AAF1-29D5-4E69-A7CD-36F6276DB2A7}">
  <dimension ref="A1:B10"/>
  <sheetViews>
    <sheetView workbookViewId="0">
      <selection activeCell="E10" sqref="E10"/>
    </sheetView>
  </sheetViews>
  <sheetFormatPr defaultRowHeight="14.4" x14ac:dyDescent="0.3"/>
  <cols>
    <col min="1" max="1" width="28.88671875" bestFit="1" customWidth="1"/>
    <col min="2" max="2" width="29.6640625" bestFit="1" customWidth="1"/>
  </cols>
  <sheetData>
    <row r="1" spans="1:2" x14ac:dyDescent="0.3">
      <c r="A1" s="14" t="s">
        <v>1685</v>
      </c>
      <c r="B1" s="14"/>
    </row>
    <row r="2" spans="1:2" x14ac:dyDescent="0.3">
      <c r="A2" s="15" t="s">
        <v>1686</v>
      </c>
      <c r="B2" s="16" t="s">
        <v>1687</v>
      </c>
    </row>
    <row r="3" spans="1:2" x14ac:dyDescent="0.3">
      <c r="A3" s="15" t="s">
        <v>1688</v>
      </c>
      <c r="B3" s="16" t="s">
        <v>1697</v>
      </c>
    </row>
    <row r="4" spans="1:2" x14ac:dyDescent="0.3">
      <c r="A4" s="15" t="s">
        <v>1689</v>
      </c>
      <c r="B4" s="17" t="s">
        <v>1719</v>
      </c>
    </row>
    <row r="5" spans="1:2" x14ac:dyDescent="0.3">
      <c r="A5" s="15" t="s">
        <v>1690</v>
      </c>
      <c r="B5" s="17"/>
    </row>
    <row r="6" spans="1:2" x14ac:dyDescent="0.3">
      <c r="A6" s="15" t="s">
        <v>1691</v>
      </c>
      <c r="B6" s="17" t="s">
        <v>1730</v>
      </c>
    </row>
    <row r="7" spans="1:2" x14ac:dyDescent="0.3">
      <c r="A7" s="15" t="s">
        <v>1692</v>
      </c>
      <c r="B7" s="16"/>
    </row>
    <row r="8" spans="1:2" x14ac:dyDescent="0.3">
      <c r="A8" s="15" t="s">
        <v>1693</v>
      </c>
      <c r="B8" s="16"/>
    </row>
    <row r="9" spans="1:2" x14ac:dyDescent="0.3">
      <c r="A9" s="15" t="s">
        <v>1694</v>
      </c>
      <c r="B9" s="16"/>
    </row>
    <row r="10" spans="1:2" x14ac:dyDescent="0.3">
      <c r="A10" s="15" t="s">
        <v>1695</v>
      </c>
      <c r="B10" s="16" t="s">
        <v>1696</v>
      </c>
    </row>
  </sheetData>
  <customSheetViews>
    <customSheetView guid="{7E010725-D1EF-4AE5-978C-1A1F99DA4697}">
      <selection activeCell="A11" sqref="A11:XFD11"/>
      <pageMargins left="0.7" right="0.7" top="0.75" bottom="0.75" header="0.3" footer="0.3"/>
    </customSheetView>
    <customSheetView guid="{73F29E26-E4E1-4D5B-9046-24BA6FA7CC5B}">
      <selection activeCell="D21" sqref="D21"/>
      <pageMargins left="0.7" right="0.7" top="0.75" bottom="0.75" header="0.3" footer="0.3"/>
    </customSheetView>
    <customSheetView guid="{03D3A8E9-9316-472A-9F22-11BBF12EA899}">
      <selection activeCell="D21" sqref="D21"/>
      <pageMargins left="0.7" right="0.7" top="0.75" bottom="0.75" header="0.3" footer="0.3"/>
    </customSheetView>
    <customSheetView guid="{442D3225-3416-4589-A1E3-E8426BFBC527}">
      <selection activeCell="D21" sqref="D21"/>
      <pageMargins left="0.7" right="0.7" top="0.75" bottom="0.75" header="0.3" footer="0.3"/>
    </customSheetView>
    <customSheetView guid="{90BC38B4-91DA-450F-ADF0-BED283A08FFC}">
      <selection activeCell="D21" sqref="D21"/>
      <pageMargins left="0.7" right="0.7" top="0.75" bottom="0.75" header="0.3" footer="0.3"/>
    </customSheetView>
    <customSheetView guid="{8065ABEB-1319-4ADA-B736-BD29A1CADEAF}">
      <pageMargins left="0.7" right="0.7" top="0.75" bottom="0.75" header="0.3" footer="0.3"/>
    </customSheetView>
    <customSheetView guid="{43F43388-BEB5-4FDF-ABA6-82A94EBD4EA0}">
      <pageMargins left="0.7" right="0.7" top="0.75" bottom="0.75" header="0.3" footer="0.3"/>
    </customSheetView>
    <customSheetView guid="{55B5A6F4-3A99-40D9-BEFB-EC16551CBF6D}">
      <selection activeCell="D21" sqref="D21"/>
      <pageMargins left="0.7" right="0.7" top="0.75" bottom="0.75" header="0.3" footer="0.3"/>
    </customSheetView>
    <customSheetView guid="{C789FEBA-DD5B-4278-9289-F15CBC9C5991}">
      <selection activeCell="F11" sqref="F11"/>
      <pageMargins left="0.7" right="0.7" top="0.75" bottom="0.75" header="0.3" footer="0.3"/>
    </customSheetView>
    <customSheetView guid="{33CB5995-2D52-4A70-9C33-862BD9D05C8B}">
      <selection activeCell="D21" sqref="D21"/>
      <pageMargins left="0.7" right="0.7" top="0.75" bottom="0.75" header="0.3" footer="0.3"/>
    </customSheetView>
    <customSheetView guid="{304F0B8F-5896-4380-8DAC-6BA6163A6561}">
      <selection activeCell="D21" sqref="D21"/>
      <pageMargins left="0.7" right="0.7" top="0.75" bottom="0.75" header="0.3" footer="0.3"/>
    </customSheetView>
    <customSheetView guid="{113213E7-FD00-4FA9-8F54-B5E8CCE2AA95}">
      <selection activeCell="D21" sqref="D21"/>
      <pageMargins left="0.7" right="0.7" top="0.75" bottom="0.75" header="0.3" footer="0.3"/>
    </customSheetView>
    <customSheetView guid="{78471876-27A1-4B1C-8842-A711D0A3F776}">
      <selection activeCell="D21" sqref="D21"/>
      <pageMargins left="0.7" right="0.7" top="0.75" bottom="0.75" header="0.3" footer="0.3"/>
    </customSheetView>
    <customSheetView guid="{A20726B4-CA20-45BC-B612-BD7568527731}">
      <selection activeCell="A11" sqref="A11:XFD11"/>
      <pageMargins left="0.7" right="0.7" top="0.75" bottom="0.75" header="0.3" footer="0.3"/>
    </customSheetView>
    <customSheetView guid="{2F4696D3-E927-4924-A499-25F92FA9CDBC}">
      <selection activeCell="A11" sqref="A11:XFD11"/>
      <pageMargins left="0.7" right="0.7" top="0.75" bottom="0.75" header="0.3" footer="0.3"/>
    </customSheetView>
    <customSheetView guid="{6B38B172-E6CB-40D9-BA61-6543913EA4B4}">
      <selection activeCell="A11" sqref="A11:XFD11"/>
      <pageMargins left="0.7" right="0.7" top="0.75" bottom="0.75" header="0.3" footer="0.3"/>
    </customSheetView>
    <customSheetView guid="{DA0265C3-0F0E-4AAA-82CC-4D26DA6B76BB}">
      <selection activeCell="A11" sqref="A11:XFD11"/>
      <pageMargins left="0.7" right="0.7" top="0.75" bottom="0.75" header="0.3" footer="0.3"/>
    </customSheetView>
    <customSheetView guid="{84EBE571-ACB4-4746-8551-8CF160CADA74}">
      <selection activeCell="E11" sqref="E11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Vishwanath, PoluruX</dc:creator>
  <cp:lastModifiedBy>Agarwal, Naman</cp:lastModifiedBy>
  <dcterms:created xsi:type="dcterms:W3CDTF">2022-07-08T10:33:56Z</dcterms:created>
  <dcterms:modified xsi:type="dcterms:W3CDTF">2022-12-13T13:58:18Z</dcterms:modified>
</cp:coreProperties>
</file>