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FV\"/>
    </mc:Choice>
  </mc:AlternateContent>
  <xr:revisionPtr revIDLastSave="0" documentId="13_ncr:81_{9AF3A264-37CC-465C-8B55-FFB4835DA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Test_Data!$A$1:$S$1260</definedName>
    <definedName name="Z_00CAF3EA_01BB_49EC_8A6D_F42CD16F6AD3_.wvu.FilterData" localSheetId="0" hidden="1">Test_Data!$A$1:$S$1260</definedName>
    <definedName name="Z_04A151A4_6A29_4CE0_9448_88E5842EBBBC_.wvu.FilterData" localSheetId="0" hidden="1">Test_Data!$A$1:$Q$1260</definedName>
    <definedName name="Z_06676557_EFA1_4EBC_9D91_81EABF4CEF84_.wvu.FilterData" localSheetId="0" hidden="1">Test_Data!$A$1:$Q$1260</definedName>
    <definedName name="Z_0766E793_CC22_40CD_BABA_CE642E0F2746_.wvu.FilterData" localSheetId="0" hidden="1">Test_Data!$A$1:$Q$1260</definedName>
    <definedName name="Z_07EB4D2A_5CA9_47FC_9CD4_C4393E48332C_.wvu.FilterData" localSheetId="0" hidden="1">Test_Data!$A$1:$T$1260</definedName>
    <definedName name="Z_09034DB0_E623_436B_B960_0C165E096919_.wvu.FilterData" localSheetId="0" hidden="1">Test_Data!$A$1:$Q$1260</definedName>
    <definedName name="Z_0B7D6D28_EF57_4EBC_AFE9_36CEF4D3DD37_.wvu.FilterData" localSheetId="0" hidden="1">Test_Data!$A$1:$Q$1260</definedName>
    <definedName name="Z_0B82B2D1_8B88_419B_AD57_E26827A2EDDD_.wvu.FilterData" localSheetId="0" hidden="1">Test_Data!$A$1:$Q$1260</definedName>
    <definedName name="Z_0C1A095E_C7BA_48BC_A86F_135D543469B4_.wvu.FilterData" localSheetId="0" hidden="1">Test_Data!$A$1:$Q$1260</definedName>
    <definedName name="Z_0CBB450F_719F_4FAF_B5B9_1BCEA779BB17_.wvu.FilterData" localSheetId="0" hidden="1">Test_Data!$A$1:$Q$1260</definedName>
    <definedName name="Z_0CD22EB4_C62F_4E58_9F20_330A13F59893_.wvu.FilterData" localSheetId="0" hidden="1">Test_Data!$A$1:$S$1260</definedName>
    <definedName name="Z_0EEE9ECA_4E95_4B06_AB18_EFB78342EF75_.wvu.FilterData" localSheetId="0" hidden="1">Test_Data!$A$1:$Q$1260</definedName>
    <definedName name="Z_10A43176_B8A1_4E8A_9D35_52F5BF7CA652_.wvu.FilterData" localSheetId="0" hidden="1">Test_Data!$A$1:$T$1260</definedName>
    <definedName name="Z_12E06A24_31C0_45B4_BE44_ACA2967A410C_.wvu.FilterData" localSheetId="0" hidden="1">Test_Data!$A$1:$S$1260</definedName>
    <definedName name="Z_15EBD567_69F8_44D4_B292_7DDA4246A048_.wvu.FilterData" localSheetId="0" hidden="1">Test_Data!$A$1:$Q$1260</definedName>
    <definedName name="Z_17ED4E50_97F7_4D7D_91CA_96E4AA81415B_.wvu.FilterData" localSheetId="0" hidden="1">Test_Data!$A$1:$S$1260</definedName>
    <definedName name="Z_18504241_6732_499A_896A_2A8F13BA1069_.wvu.FilterData" localSheetId="0" hidden="1">Test_Data!$A$1:$Q$1260</definedName>
    <definedName name="Z_18C6CE4B_A0DF_4D98_A8D2_4DC5297DC0FC_.wvu.FilterData" localSheetId="0" hidden="1">Test_Data!$A$1:$T$1260</definedName>
    <definedName name="Z_1D8F1976_69AF_4DBB_B775_EBE74B9C565E_.wvu.FilterData" localSheetId="0" hidden="1">Test_Data!$A$1:$Q$1260</definedName>
    <definedName name="Z_1E461884_96AF_47A5_B94E_4763D9E86FBD_.wvu.FilterData" localSheetId="0" hidden="1">Test_Data!$A$1:$S$1260</definedName>
    <definedName name="Z_21C46CDE_7967_4776_BD74_6381257CD504_.wvu.FilterData" localSheetId="0" hidden="1">Test_Data!$A$1:$T$1260</definedName>
    <definedName name="Z_23D16BBD_45A2_46EB_B35D_0A9D52071ABD_.wvu.FilterData" localSheetId="0" hidden="1">Test_Data!$A$1:$Q$1260</definedName>
    <definedName name="Z_2433D77E_B73B_49C1_A257_4A7C9C0E2C68_.wvu.FilterData" localSheetId="0" hidden="1">Test_Data!$A$1:$S$1260</definedName>
    <definedName name="Z_2509B713_0E47_40E6_A4A5_93B1E04B94BD_.wvu.FilterData" localSheetId="0" hidden="1">Test_Data!$A$1:$Q$1260</definedName>
    <definedName name="Z_2542ED02_3960_416E_8475_B49F235407E9_.wvu.FilterData" localSheetId="0" hidden="1">Test_Data!$A$1:$Q$1260</definedName>
    <definedName name="Z_2568C62D_BC40_4FE3_BB65_EB277E481329_.wvu.FilterData" localSheetId="0" hidden="1">Test_Data!$A$1:$S$1260</definedName>
    <definedName name="Z_27964F9C_0EA9_48A9_BD59_EE47F7C26D9F_.wvu.FilterData" localSheetId="0" hidden="1">Test_Data!$A$1:$Q$1260</definedName>
    <definedName name="Z_294CA050_3884_475D_BDA0_8A42DF964F16_.wvu.FilterData" localSheetId="0" hidden="1">Test_Data!$A$1:$S$1260</definedName>
    <definedName name="Z_29CB2A52_2CA8_4A12_9B6C_81056F0623B0_.wvu.FilterData" localSheetId="0" hidden="1">Test_Data!$A$1:$T$1260</definedName>
    <definedName name="Z_2CEAA648_DDA4_40B3_987F_F1DAFEAEC0B8_.wvu.FilterData" localSheetId="0" hidden="1">Test_Data!$A$1:$Q$1260</definedName>
    <definedName name="Z_2CF42EE3_9A91_4853_91C6_33BD9C9B99D3_.wvu.FilterData" localSheetId="0" hidden="1">Test_Data!$A$1:$Q$1260</definedName>
    <definedName name="Z_313180AF_7967_4E49_8D68_21C4B7893A81_.wvu.FilterData" localSheetId="0" hidden="1">Test_Data!$A$1:$Q$1260</definedName>
    <definedName name="Z_33D410F2_ABA4_482F_B1A7_B2B33B19A4B6_.wvu.FilterData" localSheetId="0" hidden="1">Test_Data!$A$1:$Q$1260</definedName>
    <definedName name="Z_370254F5_A04A_4297_B96C_FE835F600E1E_.wvu.FilterData" localSheetId="0" hidden="1">Test_Data!$A$1:$Q$1260</definedName>
    <definedName name="Z_389C153D_99FD_4C62_83B8_76FCC441E773_.wvu.FilterData" localSheetId="0" hidden="1">Test_Data!$A$1:$Q$1260</definedName>
    <definedName name="Z_3BA5FCAB_AF13_40F4_9708_9C4AF38B66E5_.wvu.FilterData" localSheetId="0" hidden="1">Test_Data!$A$1:$Q$1260</definedName>
    <definedName name="Z_3CA84A6B_25C2_42DE_BC2F_56754FC38268_.wvu.FilterData" localSheetId="0" hidden="1">Test_Data!$A$1:$Q$1260</definedName>
    <definedName name="Z_3DF088A0_8080_4156_AD88_BE022489CC14_.wvu.FilterData" localSheetId="0" hidden="1">Test_Data!$A$1:$S$1260</definedName>
    <definedName name="Z_3E94C8D5_DF67_4E26_85F3_3467870F2E09_.wvu.FilterData" localSheetId="0" hidden="1">Test_Data!$A$1:$Q$1260</definedName>
    <definedName name="Z_408D6639_0D86_48A1_9FEE_1678E0E7D365_.wvu.FilterData" localSheetId="0" hidden="1">Test_Data!$A$1:$S$1260</definedName>
    <definedName name="Z_41259247_791C_4F1F_AFCF_56DAFF714CF4_.wvu.FilterData" localSheetId="0" hidden="1">Test_Data!$A$1:$S$1260</definedName>
    <definedName name="Z_41A4016E_026B_4EC8_AEAA_160F2436F09D_.wvu.FilterData" localSheetId="0" hidden="1">Test_Data!$A$1:$S$1260</definedName>
    <definedName name="Z_44AC4204_D84F_4444_AD74_CBA41CB89563_.wvu.FilterData" localSheetId="0" hidden="1">Test_Data!$A$1:$Q$1260</definedName>
    <definedName name="Z_49C141CE_7353_4BAA_9C0A_8579A507845D_.wvu.FilterData" localSheetId="0" hidden="1">Test_Data!$A$1:$Q$1260</definedName>
    <definedName name="Z_4A9E2B6D_2B16_474D_AA45_BFD64F46CBF0_.wvu.FilterData" localSheetId="0" hidden="1">Test_Data!$A$1:$Q$1260</definedName>
    <definedName name="Z_4C764215_1640_4CE9_85F4_3E5F52FFBC27_.wvu.FilterData" localSheetId="0" hidden="1">Test_Data!$A$1:$Q$1260</definedName>
    <definedName name="Z_4E587344_7658_4371_84A8_18466051B94B_.wvu.FilterData" localSheetId="0" hidden="1">Test_Data!$A$1:$Q$1260</definedName>
    <definedName name="Z_4EA8F739_B2BB_41AC_8461_B4F33683350D_.wvu.FilterData" localSheetId="0" hidden="1">Test_Data!$A$1:$S$1260</definedName>
    <definedName name="Z_4F6F9774_7AA9_4F97_9C20_007BC1D27BA9_.wvu.FilterData" localSheetId="0" hidden="1">Test_Data!$A$1:$Q$1260</definedName>
    <definedName name="Z_526C5C9F_234C_494A_A071_7AEA5FDE14A6_.wvu.FilterData" localSheetId="0" hidden="1">Test_Data!$A$1:$Q$1260</definedName>
    <definedName name="Z_56675754_0C61_42A3_B6BF_D947B91392BC_.wvu.FilterData" localSheetId="0" hidden="1">Test_Data!$A$1:$Q$1260</definedName>
    <definedName name="Z_57068992_3FAA_4295_AB97_B4A1436F027B_.wvu.FilterData" localSheetId="0" hidden="1">Test_Data!$A$1:$T$1260</definedName>
    <definedName name="Z_57166D36_438C_43E8_A256_3BE96F1A48BB_.wvu.FilterData" localSheetId="0" hidden="1">Test_Data!$A$1:$Q$1260</definedName>
    <definedName name="Z_5776720E_379C_487E_B066_C50787D8F24A_.wvu.FilterData" localSheetId="0" hidden="1">Test_Data!$A$1:$T$1260</definedName>
    <definedName name="Z_5C3F09C9_E219_4D8D_985A_FD9C2722D28A_.wvu.FilterData" localSheetId="0" hidden="1">Test_Data!$A$1:$S$1260</definedName>
    <definedName name="Z_5EEE97B6_3066_45FF_875E_E3F0A2980078_.wvu.FilterData" localSheetId="0" hidden="1">Test_Data!$A$1:$Q$1260</definedName>
    <definedName name="Z_60C3B00F_2A82_45DE_A20E_354C67AFB92A_.wvu.FilterData" localSheetId="0" hidden="1">Test_Data!$A$1:$S$1260</definedName>
    <definedName name="Z_644024BC_E48B_4D61_9F73_EA01958C15AC_.wvu.FilterData" localSheetId="0" hidden="1">Test_Data!$A$1:$S$1260</definedName>
    <definedName name="Z_653A2639_BA9C_444D_809A_019B0B602EE9_.wvu.FilterData" localSheetId="0" hidden="1">Test_Data!$A$1:$Q$1260</definedName>
    <definedName name="Z_68681823_9F74_4400_8936_CA05BAC62FD8_.wvu.FilterData" localSheetId="0" hidden="1">Test_Data!$A$1:$Q$1260</definedName>
    <definedName name="Z_69E2B691_849F_4E0C_B202_2668D7BFAD0F_.wvu.FilterData" localSheetId="0" hidden="1">Test_Data!$A$1:$Q$1260</definedName>
    <definedName name="Z_6A81B4A0_23EE_41E9_8E6F_A690E1A420B8_.wvu.FilterData" localSheetId="0" hidden="1">Test_Data!$A$1:$T$1260</definedName>
    <definedName name="Z_6C3490A4_524D_4379_A036_9649EEE4C99E_.wvu.FilterData" localSheetId="0" hidden="1">Test_Data!$A$1:$S$1260</definedName>
    <definedName name="Z_6C3B89CE_9A3B_4B3F_AE62_8EA008D6C337_.wvu.FilterData" localSheetId="0" hidden="1">Test_Data!$A$1:$S$1260</definedName>
    <definedName name="Z_6CC0D0F7_B265_4D8E_AD6C_FE390414AA2A_.wvu.FilterData" localSheetId="0" hidden="1">Test_Data!$A$1:$Q$1260</definedName>
    <definedName name="Z_6E1480CA_E078_4D1B_BF4C_F9377935F15F_.wvu.FilterData" localSheetId="0" hidden="1">Test_Data!$A$1:$S$1260</definedName>
    <definedName name="Z_74FF4387_89EA_4C9F_88E6_BA195EF432A9_.wvu.FilterData" localSheetId="0" hidden="1">Test_Data!$A$1:$S$1260</definedName>
    <definedName name="Z_77124B23_1845_4ED0_B34C_4A096F04FB99_.wvu.FilterData" localSheetId="0" hidden="1">Test_Data!$A$1:$Q$1260</definedName>
    <definedName name="Z_78784ADE_0C11_4FD0_85D1_8F69F15800F8_.wvu.FilterData" localSheetId="0" hidden="1">Test_Data!$A$1:$Q$1260</definedName>
    <definedName name="Z_78E17DFD_4A3B_45E1_8B12_71842AE34372_.wvu.FilterData" localSheetId="0" hidden="1">Test_Data!$A$1:$Q$1260</definedName>
    <definedName name="Z_78E7F3E9_F734_4C49_B819_2A5E413EA932_.wvu.FilterData" localSheetId="0" hidden="1">Test_Data!$A$1:$S$1260</definedName>
    <definedName name="Z_7BC967FB_1B2F_4257_9F60_05FB40D9278D_.wvu.FilterData" localSheetId="0" hidden="1">Test_Data!$A$1:$Q$1260</definedName>
    <definedName name="Z_7F67017F_2CCC_4C75_8974_0CC7331F0A8B_.wvu.FilterData" localSheetId="0" hidden="1">Test_Data!$A$1:$Q$1260</definedName>
    <definedName name="Z_8164E9E2_29BC_4513_A6F5_8BC95497B053_.wvu.FilterData" localSheetId="0" hidden="1">Test_Data!$A$1:$S$1260</definedName>
    <definedName name="Z_81B6655C_83E8_40F0_A140_E2C52C25C628_.wvu.FilterData" localSheetId="0" hidden="1">Test_Data!$A$1:$S$1260</definedName>
    <definedName name="Z_82BA6C8B_F653_4FF2_949A_C76B68A52704_.wvu.FilterData" localSheetId="0" hidden="1">Test_Data!$A$1:$S$1260</definedName>
    <definedName name="Z_84599566_8942_413B_BD52_4DFD72A5178D_.wvu.FilterData" localSheetId="0" hidden="1">Test_Data!$A$1:$Q$1260</definedName>
    <definedName name="Z_84D2F41F_3723_4B18_9211_22617AD4B23B_.wvu.FilterData" localSheetId="0" hidden="1">Test_Data!$A$1:$Q$1260</definedName>
    <definedName name="Z_855A215F_552D_48AE_8230_DAECBAE7A7EE_.wvu.FilterData" localSheetId="0" hidden="1">Test_Data!$A$1:$Q$1260</definedName>
    <definedName name="Z_8846C171_51AB_41B9_8387_A7FD385B8271_.wvu.FilterData" localSheetId="0" hidden="1">Test_Data!$A$1:$Q$1260</definedName>
    <definedName name="Z_89C6BA3F_53CF_4425_BE75_2AD2457DEE6F_.wvu.FilterData" localSheetId="0" hidden="1">Test_Data!$A$1:$Q$1260</definedName>
    <definedName name="Z_8B4B1237_4799_4583_8C0E_DA4B1A34989E_.wvu.FilterData" localSheetId="0" hidden="1">Test_Data!$A$1:$S$1260</definedName>
    <definedName name="Z_8BF928BF_AF26_482C_A906_992C8A7827FE_.wvu.FilterData" localSheetId="0" hidden="1">Test_Data!$A$1:$Q$1260</definedName>
    <definedName name="Z_8D7C4303_6A7A_4B44_B5C9_8EEEC424CEE8_.wvu.FilterData" localSheetId="0" hidden="1">Test_Data!$A$1:$Q$1260</definedName>
    <definedName name="Z_8E091004_0D06_4CDA_A8C6_CE5362982E24_.wvu.FilterData" localSheetId="0" hidden="1">Test_Data!$A$1:$S$1260</definedName>
    <definedName name="Z_8F75B0D8_38D4_448A_900B_D53B0572471C_.wvu.FilterData" localSheetId="0" hidden="1">Test_Data!$A$1:$Q$1260</definedName>
    <definedName name="Z_91056340_7412_4436_93DA_613F1350C14C_.wvu.FilterData" localSheetId="0" hidden="1">Test_Data!$A$1:$Q$1260</definedName>
    <definedName name="Z_96EAA124_FF4C_4CDF_B4C9_E8453E4F664B_.wvu.FilterData" localSheetId="0" hidden="1">Test_Data!$A$1:$Q$1260</definedName>
    <definedName name="Z_974790EB_2EF2_41D6_95E1_334F2CA158D7_.wvu.FilterData" localSheetId="0" hidden="1">Test_Data!$A$1:$Q$1260</definedName>
    <definedName name="Z_97A74255_C25D_43CA_A62A_09260B30A9A6_.wvu.FilterData" localSheetId="0" hidden="1">Test_Data!$A$1:$Q$1260</definedName>
    <definedName name="Z_97CC2C66_3FFD_412C_AF61_CA0BC81CFF92_.wvu.FilterData" localSheetId="0" hidden="1">Test_Data!$A$1:$Q$1260</definedName>
    <definedName name="Z_99A48B1A_8820_45D3_A5B3_FB4257297A09_.wvu.FilterData" localSheetId="0" hidden="1">Test_Data!$A$1:$T$1260</definedName>
    <definedName name="Z_9AFE0640_EDB6_4C54_89FF_8CE7E007CA46_.wvu.FilterData" localSheetId="0" hidden="1">Test_Data!$A$1:$S$1260</definedName>
    <definedName name="Z_9E742896_B575_42B7_9B94_231CA938AB7F_.wvu.Cols" localSheetId="0" hidden="1">Test_Data!$F:$F</definedName>
    <definedName name="Z_9E742896_B575_42B7_9B94_231CA938AB7F_.wvu.FilterData" localSheetId="0" hidden="1">Test_Data!$A$1:$T$1260</definedName>
    <definedName name="Z_9E8C35AE_213D_48BD_9367_358E20300452_.wvu.FilterData" localSheetId="0" hidden="1">Test_Data!$A$1:$Q$1260</definedName>
    <definedName name="Z_9F6F3E30_0D9B_4363_A567_58FD50775EFC_.wvu.FilterData" localSheetId="0" hidden="1">Test_Data!$A$1:$Q$1260</definedName>
    <definedName name="Z_A2BCB841_4DAF_4DC4_AF81_104B9C8063F3_.wvu.FilterData" localSheetId="0" hidden="1">Test_Data!$A$1:$Q$1260</definedName>
    <definedName name="Z_A4E0F24D_2111_4179_BC4A_59D86406F087_.wvu.FilterData" localSheetId="0" hidden="1">Test_Data!$A$1:$Q$1260</definedName>
    <definedName name="Z_A7A5A818_66AF_4861_9BB4_B5703FC65CEC_.wvu.FilterData" localSheetId="0" hidden="1">Test_Data!$A$1:$Q$1260</definedName>
    <definedName name="Z_A839ACED_0FB6_4999_B051_63209FD00CCD_.wvu.FilterData" localSheetId="0" hidden="1">Test_Data!$A$1:$Q$1260</definedName>
    <definedName name="Z_A92F17E3_32E9_4490_803D_56FBAA81BF08_.wvu.FilterData" localSheetId="0" hidden="1">Test_Data!$A$1:$Q$1260</definedName>
    <definedName name="Z_A9A5E0B7_2384_459A_82F1_BC7D8D339667_.wvu.FilterData" localSheetId="0" hidden="1">Test_Data!$A$1:$Q$1260</definedName>
    <definedName name="Z_AA459171_5F1E_4396_8FF4_28884D35BF4F_.wvu.FilterData" localSheetId="0" hidden="1">Test_Data!$A$1:$Q$1260</definedName>
    <definedName name="Z_AACB9D86_00BF_4472_85B0_B7A6D19FB81F_.wvu.FilterData" localSheetId="0" hidden="1">Test_Data!$A$1:$T$1260</definedName>
    <definedName name="Z_ABC1069F_B0D3_4605_9AD0_3345B2CF4E2B_.wvu.FilterData" localSheetId="0" hidden="1">Test_Data!$A$1:$Q$1260</definedName>
    <definedName name="Z_AC8F64DB_A7B2_468D_B263_ED7DF68FF85D_.wvu.FilterData" localSheetId="0" hidden="1">Test_Data!$A$1:$Q$1260</definedName>
    <definedName name="Z_ACE44C64_2F05_40EE_BB15_FF3E7D2C38A1_.wvu.FilterData" localSheetId="0" hidden="1">Test_Data!$A$1:$S$1260</definedName>
    <definedName name="Z_AE211CC6_D19A_452D_BD90_8EF294B0BF37_.wvu.FilterData" localSheetId="0" hidden="1">Test_Data!$A$1:$Q$1260</definedName>
    <definedName name="Z_AFA525D1_DB2B_4B96_A0D9_757456310FE3_.wvu.FilterData" localSheetId="0" hidden="1">Test_Data!$A$1:$Q$1260</definedName>
    <definedName name="Z_B3D21D1C_53EA_42B6_860F_5F70BD45BCD5_.wvu.FilterData" localSheetId="0" hidden="1">Test_Data!$A$1:$Q$1260</definedName>
    <definedName name="Z_B5FC58CF_1BF2_42AB_98F9_38ED42F1AFB7_.wvu.FilterData" localSheetId="0" hidden="1">Test_Data!$H$11:$J$33</definedName>
    <definedName name="Z_B68C90F9_A9ED_44F8_A449_430E2541C621_.wvu.FilterData" localSheetId="0" hidden="1">Test_Data!$A$1:$S$1260</definedName>
    <definedName name="Z_B78795EC_0B7C_4D9B_B338_5F09B5E477E3_.wvu.FilterData" localSheetId="0" hidden="1">Test_Data!$A$1:$S$1260</definedName>
    <definedName name="Z_B8991CC6_F24B_49A4_87A6_A4EA9C3E1FD6_.wvu.FilterData" localSheetId="0" hidden="1">Test_Data!$A$1:$S$1260</definedName>
    <definedName name="Z_BC0067F3_5378_49D5_930A_96368E754D8B_.wvu.FilterData" localSheetId="0" hidden="1">Test_Data!$A$1:$Q$1260</definedName>
    <definedName name="Z_BC071AAE_0159_4978_BF4A_2D6C5FF88806_.wvu.FilterData" localSheetId="0" hidden="1">Test_Data!$A$1:$Q$1260</definedName>
    <definedName name="Z_BC4ACC08_CB6E_44E2_93AD_B455F61D56E5_.wvu.FilterData" localSheetId="0" hidden="1">Test_Data!$A$1:$Q$1260</definedName>
    <definedName name="Z_BD46FFE2_00BE_4E15_B071_A01BCB352C70_.wvu.FilterData" localSheetId="0" hidden="1">Test_Data!$A$1:$Q$1260</definedName>
    <definedName name="Z_BE239788_2B65_4B95_9DA0_10247172FE20_.wvu.FilterData" localSheetId="0" hidden="1">Test_Data!$A$1:$S$1260</definedName>
    <definedName name="Z_BE8C88E7_35BD_4C1E_891B_CA952536F9E9_.wvu.FilterData" localSheetId="0" hidden="1">Test_Data!$A$1:$T$1260</definedName>
    <definedName name="Z_C01D1D26_05F4_424A_B58C_8D4F66D288D0_.wvu.FilterData" localSheetId="0" hidden="1">Test_Data!$A$1:$Q$1260</definedName>
    <definedName name="Z_C21A96B8_5DE8_449F_AD9A_A2772C84166F_.wvu.FilterData" localSheetId="0" hidden="1">Test_Data!$A$1:$Q$1260</definedName>
    <definedName name="Z_C26159B1_F1BC_4E7B_A19D_C352D4F8F9F0_.wvu.FilterData" localSheetId="0" hidden="1">Test_Data!$A$1:$Q$1260</definedName>
    <definedName name="Z_C2E568BB_77A3_4EE3_BC97_B4DEAA765E4F_.wvu.FilterData" localSheetId="0" hidden="1">Test_Data!$A$1:$S$1260</definedName>
    <definedName name="Z_C67EF4C8_0FFA_4C4F_A601_2B87598B88A6_.wvu.FilterData" localSheetId="0" hidden="1">Test_Data!$A$1:$Q$1260</definedName>
    <definedName name="Z_C7C4F0CB_8738_454B_968A_36C1866AF8D8_.wvu.FilterData" localSheetId="0" hidden="1">Test_Data!$A$1:$S$1260</definedName>
    <definedName name="Z_C8D097A2_6EB5_4732_81EF_93F241814D0A_.wvu.FilterData" localSheetId="0" hidden="1">Test_Data!$A$1:$R$1260</definedName>
    <definedName name="Z_CAC14206_D302_4678_B172_BB2BA95BA8ED_.wvu.FilterData" localSheetId="0" hidden="1">Test_Data!$A$1:$Q$1260</definedName>
    <definedName name="Z_CBCC8AD5_EE87_4856_833A_432AF0F905CA_.wvu.FilterData" localSheetId="0" hidden="1">Test_Data!$A$1:$Q$1260</definedName>
    <definedName name="Z_CDF0BA4B_1F41_4A56_B37D_0FCD47537829_.wvu.FilterData" localSheetId="0" hidden="1">Test_Data!$A$1:$T$1260</definedName>
    <definedName name="Z_D012682B_3F68_4A44_8DFC_6BA8CBB77379_.wvu.FilterData" localSheetId="0" hidden="1">Test_Data!$A$1:$T$1260</definedName>
    <definedName name="Z_D33AB8D1_6AA1_4103_B0C1_BE1D7D7D47F9_.wvu.FilterData" localSheetId="0" hidden="1">Test_Data!$A$1:$T$1260</definedName>
    <definedName name="Z_D67B4139_9CFF_4D6C_ACA6_63A4DDC0F49B_.wvu.FilterData" localSheetId="0" hidden="1">Test_Data!$A$1:$Q$1260</definedName>
    <definedName name="Z_D7729ED9_C358_4631_A8F1_8F5886251D80_.wvu.FilterData" localSheetId="0" hidden="1">Test_Data!$A$1:$S$1260</definedName>
    <definedName name="Z_DB4B7C4F_9917_4533_8C8B_19D45A097045_.wvu.FilterData" localSheetId="0" hidden="1">Test_Data!$A$1:$Q$1260</definedName>
    <definedName name="Z_DB946AB4_B814_4F06_A679_95ACE74E90A2_.wvu.FilterData" localSheetId="0" hidden="1">Test_Data!$A$1:$Q$1260</definedName>
    <definedName name="Z_DBF6B5F4_9867_48E8_ADF4_385A212BD9DD_.wvu.FilterData" localSheetId="0" hidden="1">Test_Data!$A$1:$T$1260</definedName>
    <definedName name="Z_DC975DD5_7AE6_42DE_9AF3_2DEB2D0638C5_.wvu.FilterData" localSheetId="0" hidden="1">Test_Data!$A$1:$Q$1260</definedName>
    <definedName name="Z_DDFF707C_CFD3_48E9_94AE_053169FC4C30_.wvu.FilterData" localSheetId="0" hidden="1">Test_Data!$A$1:$Q$1260</definedName>
    <definedName name="Z_DF4E47CC_CE60_4055_9FCB_AF8161F710B5_.wvu.FilterData" localSheetId="0" hidden="1">Test_Data!$A$1:$Q$1260</definedName>
    <definedName name="Z_DF79AE53_7032_439B_A105_187C30152C1C_.wvu.FilterData" localSheetId="0" hidden="1">Test_Data!$A$1:$Q$1260</definedName>
    <definedName name="Z_E1E530FE_B6F0_4B3E_9319_E69A081F27A7_.wvu.FilterData" localSheetId="0" hidden="1">Test_Data!$A$1:$T$1260</definedName>
    <definedName name="Z_E1F21AA3_1BBE_47B7_BF33_7B911A5579BE_.wvu.FilterData" localSheetId="0" hidden="1">Test_Data!$A$1:$Q$1260</definedName>
    <definedName name="Z_E3123030_7E3A_439A_BFEC_A96607CC4C18_.wvu.FilterData" localSheetId="0" hidden="1">Test_Data!$A$1:$Q$1260</definedName>
    <definedName name="Z_E3766544_5F33_4D3E_BD12_99EB8AF26221_.wvu.FilterData" localSheetId="0" hidden="1">Test_Data!$A$1:$S$1260</definedName>
    <definedName name="Z_E8373F3B_A0B1_4E20_8833_2DFC67DC89EE_.wvu.FilterData" localSheetId="0" hidden="1">Test_Data!$A$1:$Q$1260</definedName>
    <definedName name="Z_E8F7E342_5BF8_49DC_90AB_7BD1918BA570_.wvu.FilterData" localSheetId="0" hidden="1">Test_Data!$A$1:$Q$1260</definedName>
    <definedName name="Z_EAFB1B15_4BCD_4029_953E_F182817E9A92_.wvu.FilterData" localSheetId="0" hidden="1">Test_Data!$A$1:$Q$1260</definedName>
    <definedName name="Z_EB01BAD5_71D6_404F_BE6C_9A0B71AF81DE_.wvu.FilterData" localSheetId="0" hidden="1">Test_Data!$A$1:$S$1260</definedName>
    <definedName name="Z_EE5DCD2B_CC8B_4BAE_8BEF_5E2B6B4AFE3B_.wvu.FilterData" localSheetId="0" hidden="1">Test_Data!$A$1:$Q$1260</definedName>
    <definedName name="Z_F12BACB2_2101_430E_A32A_15ED71FA7747_.wvu.FilterData" localSheetId="0" hidden="1">Test_Data!$A$1:$Q$1260</definedName>
    <definedName name="Z_F46415D1_2354_476B_8EDB_67F724D8E8E9_.wvu.FilterData" localSheetId="0" hidden="1">Test_Data!$A$1:$T$1260</definedName>
    <definedName name="Z_F584DB57_8197_4846_ACEB_90337E503675_.wvu.FilterData" localSheetId="0" hidden="1">Test_Data!$A$1:$Q$1260</definedName>
    <definedName name="Z_F59EB554_9FDD_4F0A_983B_522EC28AC719_.wvu.FilterData" localSheetId="0" hidden="1">Test_Data!$A$1:$Q$1260</definedName>
    <definedName name="Z_F5A5528E_F51B_4AD0_855A_F2E3EAFA075D_.wvu.FilterData" localSheetId="0" hidden="1">Test_Data!$A$1:$S$1260</definedName>
    <definedName name="Z_F604F8FB_202F_46A5_8397_0C09A71ABE84_.wvu.FilterData" localSheetId="0" hidden="1">Test_Data!$A$1:$Q$1260</definedName>
    <definedName name="Z_F67A2FFD_3816_4CA6_BFE1_7341BB440953_.wvu.FilterData" localSheetId="0" hidden="1">Test_Data!$A$1:$Q$1260</definedName>
    <definedName name="Z_F87B9BB3_A0C5_4205_BA8A_C20EA66BEB13_.wvu.FilterData" localSheetId="0" hidden="1">Test_Data!$A$1:$Q$1260</definedName>
    <definedName name="Z_F90BE652_793A_4BB5_AB62_99919A77ABEE_.wvu.FilterData" localSheetId="0" hidden="1">Test_Data!$A$1:$Q$1260</definedName>
    <definedName name="Z_F9C16B9D_046B_475A_877A_9D040CA461DB_.wvu.FilterData" localSheetId="0" hidden="1">Test_Data!$A$1:$Q$1260</definedName>
    <definedName name="Z_FE30ACD0_F0A5_478B_BF19_D16412D9B231_.wvu.FilterData" localSheetId="0" hidden="1">Test_Data!$A$1:$Q$1260</definedName>
    <definedName name="Z_FE73C6FF_7AB8_46C0_AA12_353B138EA647_.wvu.FilterData" localSheetId="0" hidden="1">Test_Data!$A$1:$Q$1260</definedName>
  </definedNames>
  <calcPr calcId="191029"/>
  <customWorkbookViews>
    <customWorkbookView name="Agarwal, Naman - Personal View" guid="{12E06A24-31C0-45B4-BE44-ACA2967A410C}" mergeInterval="0" personalView="1" maximized="1" xWindow="-9" yWindow="-9" windowWidth="1938" windowHeight="1048" activeSheetId="2"/>
    <customWorkbookView name="U, SavithaX B - Personal View" guid="{10A43176-B8A1-4E8A-9D35-52F5BF7CA652}" mergeInterval="0" personalView="1" maximized="1" xWindow="-9" yWindow="-9" windowWidth="1938" windowHeight="1048" activeSheetId="1"/>
    <customWorkbookView name="Biju, BeethuX - Personal View" guid="{1E461884-96AF-47A5-B94E-4763D9E86FBD}" mergeInterval="0" personalView="1" maximized="1" xWindow="-9" yWindow="-9" windowWidth="1938" windowHeight="1048" activeSheetId="2"/>
    <customWorkbookView name="Br, RamyaX - Personal View" guid="{18C6CE4B-A0DF-4D98-A8D2-4DC5297DC0FC}" mergeInterval="0" personalView="1" maximized="1" xWindow="-9" yWindow="-9" windowWidth="1938" windowHeight="1048" activeSheetId="2"/>
    <customWorkbookView name="Yamini, ChittepuX - Personal View" guid="{3DF088A0-8080-4156-AD88-BE022489CC14}" mergeInterval="0" personalView="1" maximized="1" xWindow="-11" yWindow="-11" windowWidth="1942" windowHeight="1042" activeSheetId="2"/>
    <customWorkbookView name="As, VijayX - Personal View" guid="{0CD22EB4-C62F-4E58-9F20-330A13F59893}" mergeInterval="0" personalView="1" maximized="1" xWindow="-9" yWindow="-9" windowWidth="1938" windowHeight="1048" activeSheetId="2"/>
    <customWorkbookView name="Pandyala, JijinaX Nellyatt - Personal View" guid="{B8991CC6-F24B-49A4-87A6-A4EA9C3E1FD6}" mergeInterval="0" personalView="1" maximized="1" xWindow="-9" yWindow="-9" windowWidth="1938" windowHeight="1048" activeSheetId="2"/>
    <customWorkbookView name="Marikanti, PriyankaX B - Personal View" guid="{9E742896-B575-42B7-9B94-231CA938AB7F}" mergeInterval="0" personalView="1" maximized="1" xWindow="-9" yWindow="-9" windowWidth="1938" windowHeight="1048" activeSheetId="2"/>
    <customWorkbookView name="D, ShwethaX - Personal View" guid="{78E17DFD-4A3B-45E1-8B12-71842AE34372}" mergeInterval="0" personalView="1" maximized="1" xWindow="-9" yWindow="-9" windowWidth="1938" windowHeight="1048" activeSheetId="2"/>
    <customWorkbookView name="Suresh, AryaX - Personal View" guid="{2CF42EE3-9A91-4853-91C6-33BD9C9B99D3}" mergeInterval="0" personalView="1" maximized="1" xWindow="-9" yWindow="-9" windowWidth="1938" windowHeight="1048" activeSheetId="2"/>
    <customWorkbookView name="Sridhara, RavikumarX - Personal View" guid="{56675754-0C61-42A3-B6BF-D947B91392BC}" mergeInterval="0" personalView="1" maximized="1" xWindow="-9" yWindow="-9" windowWidth="1938" windowHeight="1048" activeSheetId="2"/>
    <customWorkbookView name="Hasagavalli somashekhar, ManasaX - Personal View" guid="{F584DB57-8197-4846-ACEB-90337E503675}" mergeInterval="0" personalView="1" maximized="1" xWindow="-9" yWindow="-9" windowWidth="1938" windowHeight="1048" activeSheetId="2"/>
    <customWorkbookView name="Karandlaje Chandrashekhar, SindhuraX - Personal View" guid="{A92F17E3-32E9-4490-803D-56FBAA81BF08}" mergeInterval="0" personalView="1" maximized="1" xWindow="-9" yWindow="-9" windowWidth="1938" windowHeight="1048" activeSheetId="2"/>
    <customWorkbookView name="Ns, AbishekX - Personal View" guid="{06676557-EFA1-4EBC-9D91-81EABF4CEF84}" mergeInterval="0" personalView="1" maximized="1" xWindow="-9" yWindow="-9" windowWidth="1938" windowHeight="1048" activeSheetId="2"/>
    <customWorkbookView name="Vs, AnanthareshmaX - Personal View" guid="{E8F7E342-5BF8-49DC-90AB-7BD1918BA570}" mergeInterval="0" personalView="1" maximized="1" xWindow="-9" yWindow="-9" windowWidth="1938" windowHeight="1048" activeSheetId="2"/>
    <customWorkbookView name="Rajikumar, DivyaX - Personal View" guid="{41A4016E-026B-4EC8-AEAA-160F2436F09D}" mergeInterval="0" personalView="1" maximized="1" xWindow="-9" yWindow="-9" windowWidth="1938" windowHeight="1048" activeSheetId="2"/>
    <customWorkbookView name="Mahalingam, MugundhanX - Personal View" guid="{60C3B00F-2A82-45DE-A20E-354C67AFB92A}" mergeInterval="0" personalView="1" maximized="1" xWindow="-9" yWindow="-9" windowWidth="1938" windowHeight="1048" activeSheetId="2"/>
    <customWorkbookView name="Rajeswari, GopikaX R - Personal View" guid="{E1E530FE-B6F0-4B3E-9319-E69A081F27A7}" mergeInterval="0" personalView="1" maximized="1" xWindow="-9" yWindow="-9" windowWidth="1938" windowHeight="1048" activeSheetId="2"/>
    <customWorkbookView name="Aadhi Narayanan, MuthuX Krishnan - Personal View" guid="{74FF4387-89EA-4C9F-88E6-BA195EF432A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5" i="2" l="1"/>
  <c r="A727" i="2"/>
  <c r="A865" i="2" l="1"/>
  <c r="A232" i="2" l="1"/>
  <c r="A700" i="2" l="1"/>
  <c r="A1232" i="2"/>
  <c r="A616" i="2"/>
  <c r="A344" i="2"/>
  <c r="A590" i="2"/>
  <c r="A573" i="2"/>
  <c r="A447" i="2"/>
  <c r="A267" i="2"/>
  <c r="A184" i="2"/>
  <c r="A114" i="2"/>
  <c r="A983" i="2"/>
  <c r="A1225" i="2"/>
  <c r="A140" i="2" l="1"/>
  <c r="A311" i="2"/>
  <c r="A34" i="2"/>
  <c r="A1180" i="2"/>
  <c r="A794" i="2" l="1"/>
  <c r="A505" i="2"/>
  <c r="A78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8" i="2"/>
  <c r="A789" i="2"/>
  <c r="A790" i="2"/>
  <c r="A791" i="2"/>
  <c r="A792" i="2"/>
  <c r="A793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9" i="2"/>
  <c r="A1160" i="2"/>
  <c r="A1161" i="2"/>
  <c r="A1162" i="2"/>
  <c r="A1163" i="2"/>
  <c r="A1164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6" i="2"/>
  <c r="A1227" i="2"/>
  <c r="A1228" i="2"/>
  <c r="A1229" i="2"/>
  <c r="A1230" i="2"/>
  <c r="A1231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</calcChain>
</file>

<file path=xl/sharedStrings.xml><?xml version="1.0" encoding="utf-8"?>
<sst xmlns="http://schemas.openxmlformats.org/spreadsheetml/2006/main" count="17729" uniqueCount="3658">
  <si>
    <t>owner</t>
  </si>
  <si>
    <t>me_sku</t>
  </si>
  <si>
    <t>component_affected</t>
  </si>
  <si>
    <t>jama_pmf_pf_socip_mapping</t>
  </si>
  <si>
    <t>platform_features</t>
  </si>
  <si>
    <t>jama_id</t>
  </si>
  <si>
    <t>Validate Type-C USB2.0 Host Mode (Type-C to A) functionality - after S3, device connected when SUT is in S3 state</t>
  </si>
  <si>
    <t>io_usb.type_c_subsystem</t>
  </si>
  <si>
    <t>raghav3x</t>
  </si>
  <si>
    <t>Consumer,Corporate_vPro,Slim</t>
  </si>
  <si>
    <t>bios.platform,bios.sa</t>
  </si>
  <si>
    <t>EC-Lite,S0ix-states,S-states,TBT_PD_EC_NA,TCSS,USB2.0,USB-TypeC</t>
  </si>
  <si>
    <t>USB 2.0</t>
  </si>
  <si>
    <t>CSS-IVE-50863</t>
  </si>
  <si>
    <t>Verify pop-up message on connect/disconnect devices and concurrent support of onboard audio and usb mass storage over Type-C port</t>
  </si>
  <si>
    <t>TBT_PD_EC_NA,TCSS,USB/XHCI ports,USB3.0</t>
  </si>
  <si>
    <t>audio codecs</t>
  </si>
  <si>
    <t>CSS-IVE-50868</t>
  </si>
  <si>
    <t>Verify the functionality of USB 2.0, 3.0 devices connected to USB Type-A Port along with USB 3.0 device connected to Type-C port</t>
  </si>
  <si>
    <t>TBT_PD_EC_NA,TCSS,USB/XHCI ports,USB2.0,USB3.0,USB-TypeC</t>
  </si>
  <si>
    <t>USB 2.0,USB 3.0,USB 3.1 Gen 1,USB-TypeC</t>
  </si>
  <si>
    <t>CSS-IVE-50870</t>
  </si>
  <si>
    <t>Verify that the CPU details listed in BIOS are present in the OS.</t>
  </si>
  <si>
    <t>processor_core</t>
  </si>
  <si>
    <t>chassanx</t>
  </si>
  <si>
    <t>bios.cpu_pm</t>
  </si>
  <si>
    <t>CPU-Straps</t>
  </si>
  <si>
    <t>CSS-IVE-50876</t>
  </si>
  <si>
    <t>Verify Hardware Pre-Fetcher reflection via MISC_FEATURE_CONTROL MSR</t>
  </si>
  <si>
    <t>thermal_management</t>
  </si>
  <si>
    <t>reddyv5x</t>
  </si>
  <si>
    <t>Thermal throttling</t>
  </si>
  <si>
    <t>CSS-IVE-50877</t>
  </si>
  <si>
    <t>Verify "Disable Prochot# Output signal" is enabled by default in Bios.</t>
  </si>
  <si>
    <t>Thermal Sensors</t>
  </si>
  <si>
    <t>CSS-IVE-50881</t>
  </si>
  <si>
    <t>Verify fast boot functionality and BIOS setup options</t>
  </si>
  <si>
    <t>power_and_perf</t>
  </si>
  <si>
    <t>sumith2x</t>
  </si>
  <si>
    <t>bios.platform</t>
  </si>
  <si>
    <t>debug interfaces,fastboot</t>
  </si>
  <si>
    <t>Boot timings,fastboot</t>
  </si>
  <si>
    <t>CSS-IVE-50906</t>
  </si>
  <si>
    <t>Verify RTIT feature is Enabled if CPU is detected</t>
  </si>
  <si>
    <t>Enhanced_Platform_Secure_Erase</t>
  </si>
  <si>
    <t>BIOS Information</t>
  </si>
  <si>
    <t>CSS-IVE-50911</t>
  </si>
  <si>
    <t>Verify that SUT boots to OS with BIST option Enabled in BIOS setup</t>
  </si>
  <si>
    <t>BIOS-Boot-Flows</t>
  </si>
  <si>
    <t>CSS-IVE-50912</t>
  </si>
  <si>
    <t>Verify USB 3.0 device functionality over Type-C port after resume from C-MoS when device is plugged in when SUT is in C-MoS</t>
  </si>
  <si>
    <t>InstantGo (CS),MoS (Modern Standby),S0ix-states,TBT_PD_EC_NA,TCSS,USB3.0,USB-TypeC</t>
  </si>
  <si>
    <t>MoS(Modern Standby),USB 3.0</t>
  </si>
  <si>
    <t>CSS-IVE-50918</t>
  </si>
  <si>
    <t>Verify Charging of SUT using USB Type C port via USB Type C adaptor in dead battery condition</t>
  </si>
  <si>
    <t>power_management</t>
  </si>
  <si>
    <t>bios.pch</t>
  </si>
  <si>
    <t>Charging modes,Real Battery Management,USB PD,USB-TypeC</t>
  </si>
  <si>
    <t>CSS-IVE-50923</t>
  </si>
  <si>
    <t>Verify charging of battery using USB Type C Port after restart</t>
  </si>
  <si>
    <t>Real Battery Management,TCSS,USB PD,USB-TypeC</t>
  </si>
  <si>
    <t>CSS-IVE-50924</t>
  </si>
  <si>
    <t>Verify USB 3.0 bootable thumb-drive detect in BIOS and initializes</t>
  </si>
  <si>
    <t>io_usb</t>
  </si>
  <si>
    <t>anaray5x</t>
  </si>
  <si>
    <t>BIOS-Boot-Flows,USB/XHCI ports,USB3.0</t>
  </si>
  <si>
    <t>BIOS-Boot-Flows,USB 3.0,USB/XHCI ports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</si>
  <si>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</si>
  <si>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</si>
  <si>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</si>
  <si>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</si>
  <si>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Boot timings,S-states,fastboot</t>
  </si>
  <si>
    <t>CSS-IVE-50972</t>
  </si>
  <si>
    <t>Verify concurrent support of USB2.0/3.0 mass storage and USB keyboard/mouse device functionality check over USB Type-A port across Sx (S3,S4,S5)_x000D_
 cycles</t>
  </si>
  <si>
    <t>S0ix-states,S-states,USB/XHCI ports,USB2.0,USB3.0</t>
  </si>
  <si>
    <t>S-states,S0ix-states,USB 2.0,USB 3.0,USB/XHCI ports</t>
  </si>
  <si>
    <t>CSS-IVE-50978</t>
  </si>
  <si>
    <t>Verify device manager post sleep cycling with system in AC mode</t>
  </si>
  <si>
    <t>S-states</t>
  </si>
  <si>
    <t>CSS-IVE-50980</t>
  </si>
  <si>
    <t>Verify system resumes from S4 with FastBoot mode enabled</t>
  </si>
  <si>
    <t>fastboot,S-states</t>
  </si>
  <si>
    <t>S-states,fastboot</t>
  </si>
  <si>
    <t>CSS-IVE-50985</t>
  </si>
  <si>
    <t>Verify system enumerates PS2/USB keyboard appropriately with fast boot enabled and PS/2 Console selected as input console</t>
  </si>
  <si>
    <t>fastboot,PS/2,S-states</t>
  </si>
  <si>
    <t>Boot timings,PS/2,fastboot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</si>
  <si>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</si>
  <si>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</si>
  <si>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</si>
  <si>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</si>
  <si>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BIOS-Boot-Flows,USB/XHCI ports,USB2.0,USB3.0</t>
  </si>
  <si>
    <t>CSS-IVE-51141</t>
  </si>
  <si>
    <t>Verify Splash screen and USB device enumeration are skipped when system fast boots to OS.</t>
  </si>
  <si>
    <t>Consumer,Corporate_vPro</t>
  </si>
  <si>
    <t>fastboot</t>
  </si>
  <si>
    <t>USB 2.0,USB 3.0,USB-TypeC,USB3.1,fastboot</t>
  </si>
  <si>
    <t>CSS-IVE-51143</t>
  </si>
  <si>
    <t>Verify BIOS options for HD Audio, Soundwire and I2S Configuration</t>
  </si>
  <si>
    <t>audio</t>
  </si>
  <si>
    <t>vkanandx</t>
  </si>
  <si>
    <t>audio codecs,WOV</t>
  </si>
  <si>
    <t>CSS-IVE-51162</t>
  </si>
  <si>
    <t>Validate cold-plug USB keyboard functionality check in OS over USB Type-A port</t>
  </si>
  <si>
    <t>UEFI,USB/XHCI ports</t>
  </si>
  <si>
    <t>UEFI,USB 3.0,USB/XHCI ports</t>
  </si>
  <si>
    <t>CSS-IVE-51165</t>
  </si>
  <si>
    <t>Verify availability of USB Devices when USB 2.0/3.0 options are disabled at the USB Configuration page (AIO/DT/HALO)</t>
  </si>
  <si>
    <t>USB/XHCI ports,USB2.0,USB3.0</t>
  </si>
  <si>
    <t>USB 2.0,USB 3.0,USB/XHCI ports</t>
  </si>
  <si>
    <t>CSS-IVE-51213</t>
  </si>
  <si>
    <t>Verification of P2SB device Hiding</t>
  </si>
  <si>
    <t>io_pcie</t>
  </si>
  <si>
    <t>P2SB,PCIe_register</t>
  </si>
  <si>
    <t>P2SB</t>
  </si>
  <si>
    <t>CSS-IVE-51214</t>
  </si>
  <si>
    <t>Verify Windows boot options menu can be initiated on restart, overriding Fast Boot settings</t>
  </si>
  <si>
    <t>fastboot,PS/2</t>
  </si>
  <si>
    <t>P-States,fastboot</t>
  </si>
  <si>
    <t>CSS-IVE-51226</t>
  </si>
  <si>
    <t>Verify BIOS options to hide LPSS devices from OS</t>
  </si>
  <si>
    <t>system</t>
  </si>
  <si>
    <t>bios.pch,bios.platform</t>
  </si>
  <si>
    <t>BIOS Information,GPIO,I2C,LPSS,SPI bus,UART</t>
  </si>
  <si>
    <t>BIOS Information,LPSS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</si>
  <si>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</si>
  <si>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</si>
  <si>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</si>
  <si>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</si>
  <si>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io_general</t>
  </si>
  <si>
    <t>GPIO,I2C,I2C/USB touch pad,I3C,ISH,Precise Touchpad,SPI bus,touch panel,TouchPad,UART</t>
  </si>
  <si>
    <t>CSS-IVE-51374</t>
  </si>
  <si>
    <t>Verify SUT can boot to EFI Shell and SUT resets on Ctrl+Alt+Del</t>
  </si>
  <si>
    <t>reset</t>
  </si>
  <si>
    <t>bios.platform,fw.ifwi.bios</t>
  </si>
  <si>
    <t>CSS-IVE-52371</t>
  </si>
  <si>
    <t>Verify BIOS ID follows the standard format</t>
  </si>
  <si>
    <t>Tiano Core (BP/RP)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</si>
  <si>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</si>
  <si>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</si>
  <si>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</si>
  <si>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</si>
  <si>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vhebbarx</t>
  </si>
  <si>
    <t>UEFI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</si>
  <si>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</si>
  <si>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</si>
  <si>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</si>
  <si>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</si>
  <si>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</si>
  <si>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</si>
  <si>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BIOS-Boot-Flows,TCG &amp; MSFT Compliances</t>
  </si>
  <si>
    <t>CSS-IVE-52385</t>
  </si>
  <si>
    <t>Verify that NR build of the BIOS does not support enabling Testmenu</t>
  </si>
  <si>
    <t>SPI bus</t>
  </si>
  <si>
    <t>CSS-IVE-52387</t>
  </si>
  <si>
    <t>Verify   AC  to   DC  transition occurs with Virtual battery switch.</t>
  </si>
  <si>
    <t>Virtual Battery Management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</si>
  <si>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</si>
  <si>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</si>
  <si>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</si>
  <si>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</si>
  <si>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display</t>
  </si>
  <si>
    <t>I2C,S0ix-states,S-states,touch panel</t>
  </si>
  <si>
    <t>ISH,touch panel</t>
  </si>
  <si>
    <t>CSS-IVE-52494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</si>
  <si>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</si>
  <si>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</si>
  <si>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</si>
  <si>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BIOS-Boot-Flows,Internal Tools</t>
  </si>
  <si>
    <t>CSS-IVE-52541</t>
  </si>
  <si>
    <t>Verify wakeup event using Touch sensor is successful for multiple iterations(Touch Pad)</t>
  </si>
  <si>
    <t>AC/DC toggling,S0ix-states,TouchPad</t>
  </si>
  <si>
    <t>ISH,TouchPad</t>
  </si>
  <si>
    <t>CSS-IVE-52738</t>
  </si>
  <si>
    <t>Verify Sensor functionality for all supported sensor devices</t>
  </si>
  <si>
    <t>sensor</t>
  </si>
  <si>
    <t>bios.pch,fw.ifwi.ish</t>
  </si>
  <si>
    <t>ISH,RTC,S-states</t>
  </si>
  <si>
    <t>ISH</t>
  </si>
  <si>
    <t>CSS-IVE-52840</t>
  </si>
  <si>
    <t>Verify the functionality of devices after 10 S3/S0i3 and S4 Cycle in AC and DC</t>
  </si>
  <si>
    <t>S0ix-states,S-states</t>
  </si>
  <si>
    <t>S-states,S0ix-states</t>
  </si>
  <si>
    <t>CSS-IVE-52841</t>
  </si>
  <si>
    <t>Verify that when either charger or battery is connected, the "Power Saver" profile can be changed &amp; implemented in the SUT.</t>
  </si>
  <si>
    <t>bios.cpu_pm,fw.ifwi.bios,fw.ifwi.ec</t>
  </si>
  <si>
    <t>AC/DC toggling,Power Btn/HID,Real Battery Management,S-states</t>
  </si>
  <si>
    <t>CSS-IVE-53739</t>
  </si>
  <si>
    <t>Verify video playback post sleep cycling</t>
  </si>
  <si>
    <t>CSS-IVE-53879</t>
  </si>
  <si>
    <t>Verify xHCI device detection and USB port configuration</t>
  </si>
  <si>
    <t>USB/XHCI ports,USB3.0</t>
  </si>
  <si>
    <t>USB/XHCI ports,USB3.1</t>
  </si>
  <si>
    <t>CSS-IVE-53883</t>
  </si>
  <si>
    <t>Verify stability of SUT by hot swapping AC/DC power supply</t>
  </si>
  <si>
    <t>Real Battery Management</t>
  </si>
  <si>
    <t>CSS-IVE-53889</t>
  </si>
  <si>
    <t>Verify audio playback post Sleep cycling in AC mode</t>
  </si>
  <si>
    <t>CSS-IVE-53890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</si>
  <si>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</si>
  <si>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</si>
  <si>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</si>
  <si>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</si>
  <si>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Verify Dual OS Boot functionality</t>
  </si>
  <si>
    <t>CSS-IVE-53973</t>
  </si>
  <si>
    <t>Validate cold-plug USB keyboard functionality check in BIOS over USB Type-A port</t>
  </si>
  <si>
    <t>BIOS-Boot-Flows,USB/XHCI ports</t>
  </si>
  <si>
    <t>BIOS-Boot-Flows,USB 2.0,USB/XHCI ports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</si>
  <si>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</si>
  <si>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</si>
  <si>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</si>
  <si>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</si>
  <si>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debug</t>
  </si>
  <si>
    <t>ACPI,USB/XHCI ports</t>
  </si>
  <si>
    <t>CSS-IVE-54043</t>
  </si>
  <si>
    <t>Verifying ACPI device enumeration for non PCIe devices</t>
  </si>
  <si>
    <t>ACPI,discrete WiFi/BT,GNSS,I2C,I2C/USB touch pad,I3C,ISH,Precise Touchpad,touch panel,WWAN</t>
  </si>
  <si>
    <t>ACPI</t>
  </si>
  <si>
    <t>CSS-IVE-54046</t>
  </si>
  <si>
    <t>Verifying functionality of GPIO Pins/INT with Volume Up/Volume Down/Home/ Wireless ON/OFF buttons</t>
  </si>
  <si>
    <t>io_general.lsio_gpio</t>
  </si>
  <si>
    <t>GPIO,GPIO interrupts,Power Btn/HID,S-states,System Buttons,Virtual Lid</t>
  </si>
  <si>
    <t>GPIO</t>
  </si>
  <si>
    <t>CSS-IVE-54056</t>
  </si>
  <si>
    <t>Verify PAVPC Register programming</t>
  </si>
  <si>
    <t>graphics</t>
  </si>
  <si>
    <t>bios.sa</t>
  </si>
  <si>
    <t>HDMI</t>
  </si>
  <si>
    <t>PAVP</t>
  </si>
  <si>
    <t>CSS-IVE-54075</t>
  </si>
  <si>
    <t>Verify system boots with maximum memory populated on channel 1</t>
  </si>
  <si>
    <t>memory</t>
  </si>
  <si>
    <t>bios.mem_decode</t>
  </si>
  <si>
    <t>Memory Technologies/Topologies</t>
  </si>
  <si>
    <t>CSS-IVE-54160</t>
  </si>
  <si>
    <t>Verify that system boot with maximum memory populated on Channel 0</t>
  </si>
  <si>
    <t>CSS-IVE-54161</t>
  </si>
  <si>
    <t>Verify Memory details displayed in BIOS Setup Menu is reflecting in the OS</t>
  </si>
  <si>
    <t>bios.mem_decode,fw.ifwi.bios</t>
  </si>
  <si>
    <t>BIOS Conf &amp; XMLCLI support,Memory Technologies/Topologies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</si>
  <si>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</si>
  <si>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</si>
  <si>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</si>
  <si>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</si>
  <si>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</si>
  <si>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</si>
  <si>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</si>
  <si>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</si>
  <si>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</si>
  <si>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</si>
  <si>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</si>
  <si>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</si>
  <si>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Memory Technologies/Topologies,S-states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</si>
  <si>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</si>
  <si>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</si>
  <si>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</si>
  <si>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</si>
  <si>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</si>
  <si>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</si>
  <si>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</si>
  <si>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</si>
  <si>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</si>
  <si>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</si>
  <si>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debug interfaces,fastboot,Memory Technologies/Topologies</t>
  </si>
  <si>
    <t>Memory Technologies/Topologies,debug interfaces,fastboot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</si>
  <si>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</si>
  <si>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</si>
  <si>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</si>
  <si>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</si>
  <si>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</si>
  <si>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</si>
  <si>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</si>
  <si>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</si>
  <si>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</si>
  <si>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</si>
  <si>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</si>
  <si>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</si>
  <si>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</si>
  <si>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</si>
  <si>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</si>
  <si>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</si>
  <si>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BIOS_PSIRT_QSR_Coverage,Memory Technologies/Topologies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</si>
  <si>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</si>
  <si>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</si>
  <si>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</si>
  <si>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</si>
  <si>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Power Limit</t>
  </si>
  <si>
    <t>CSS-IVE-54204</t>
  </si>
  <si>
    <t>Verify Platform PL1 and PL2 status reflection as part of MSR_PLATFORM_POWER_LIMIT MSR</t>
  </si>
  <si>
    <t>PL1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</si>
  <si>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</si>
  <si>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</si>
  <si>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</si>
  <si>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</si>
  <si>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</si>
  <si>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</si>
  <si>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RTIT</t>
  </si>
  <si>
    <t>CSS-IVE-54212</t>
  </si>
  <si>
    <t>Verify options provided for PCI Express Configuration in BIOS</t>
  </si>
  <si>
    <t>ext.Gfx,Foxville,iGfx,PCIe LAN,PCIe_register,PCIe-RST</t>
  </si>
  <si>
    <t>M.2 PCIe Gen3x2 &amp; gen 3x4 NVMe,PCI-Gen4</t>
  </si>
  <si>
    <t>CSS-IVE-54250</t>
  </si>
  <si>
    <t>Verify system stability post Warm and Cold reset cycles from EFI shell</t>
  </si>
  <si>
    <t>fw.ifwi.pmc</t>
  </si>
  <si>
    <t>S-states,UEFI</t>
  </si>
  <si>
    <t>CSS-IVE-54317</t>
  </si>
  <si>
    <t>Validate Type-C USB2.0 Host Mode (Type-C to A) functionality - after S5 and G3 Cycles</t>
  </si>
  <si>
    <t>EC-Lite,S-states,TBT_PD_EC_NA,TCSS,USB2.0,USB-TypeC</t>
  </si>
  <si>
    <t>CSS-IVE-61672</t>
  </si>
  <si>
    <t>Validate Type-C USB2.0 Host Mode (Type-C to A) functionality - before and after CS Cycles</t>
  </si>
  <si>
    <t>EC-Lite,MoS (Modern Standby),TBT_PD_EC_NA,TCSS,USB2.0,USB-TypeC</t>
  </si>
  <si>
    <t>CSS-IVE-61673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</si>
  <si>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</si>
  <si>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</si>
  <si>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S0ix-states,S-states,TBT_PD_EC_NA,TCSS,USB3.0,USB-TypeC</t>
  </si>
  <si>
    <t>ACPI cyclings,USB 3.0</t>
  </si>
  <si>
    <t>CSS-IVE-61674</t>
  </si>
  <si>
    <t>Validate Type-C USB3.0 Host Mode (Type-C to A) functionality - after S5 and G3 Cycles</t>
  </si>
  <si>
    <t>S-states,TBT_PD_EC_NA,TCSS,USB3.0,USB-TypeC</t>
  </si>
  <si>
    <t>USB 3.0</t>
  </si>
  <si>
    <t>CSS-IVE-61675</t>
  </si>
  <si>
    <t>Validate Type-C USB3.0 Host Mode (Type-C to A) functionality - after CS, S4, S5, G3 Cycles</t>
  </si>
  <si>
    <t>MoS (Modern Standby),TBT_PD_EC_NA,TCSS,USB3.0,USB-TypeC</t>
  </si>
  <si>
    <t>USB 3.0,USB-TypeC</t>
  </si>
  <si>
    <t>CSS-IVE-61676</t>
  </si>
  <si>
    <t>Verify DP-display and Keyboard functionality over USB Type-C port before and after S4,S5 and G3 state</t>
  </si>
  <si>
    <t>Display Panels,S-states,TBT_PD_EC_NA,TCSS,USB-TypeC</t>
  </si>
  <si>
    <t>Display Panels,S-states,TCSS,USB-TypeC</t>
  </si>
  <si>
    <t>CSS-IVE-61679</t>
  </si>
  <si>
    <t>Verify concurrent use of USB device functionality over USB Type A and Type-C Port</t>
  </si>
  <si>
    <t>EC-Lite,S-states,TBT_PD_EC_NA,TCSS,USB/XHCI ports,USB2.0,USB3.0,USB3.1,USB-TypeC</t>
  </si>
  <si>
    <t>CSS-IVE-61680</t>
  </si>
  <si>
    <t>Verify SUT can power up with power button after shut down from OS (S0-S5-S0 transition)</t>
  </si>
  <si>
    <t>bios.pch,fw.ifwi.bios,fw.ifwi.ec,fw.ifwi.pchc</t>
  </si>
  <si>
    <t>Power Btn/HID</t>
  </si>
  <si>
    <t>CSS-IVE-61819</t>
  </si>
  <si>
    <t>Verify the register "Hot Plug Interrupt Control (HPICTL)" is programmed as expected to support RTD3 and hotplug SMI handler</t>
  </si>
  <si>
    <t>DMI/fDMI,PCIe_register</t>
  </si>
  <si>
    <t>DMI/fDMI,RTD3</t>
  </si>
  <si>
    <t>CSS-IVE-145813</t>
  </si>
  <si>
    <t>Verify _DSD method for D3 with NVMe connected to M.2 CPU slot  in AHCI mode</t>
  </si>
  <si>
    <t>storage</t>
  </si>
  <si>
    <t>ACPI,M.2 PCIe Gen3x2 and Gen3x4 NVMe,PS_ON,RTD3</t>
  </si>
  <si>
    <t>ACPI,M.2 PCIe Gen3x2 &amp; gen 3x4 NVMe,PS_ON,RTD3</t>
  </si>
  <si>
    <t>CSS-IVE-145820</t>
  </si>
  <si>
    <t>Verify storage detection over PEG 10 and PEG 11 slots (X8 Slot)</t>
  </si>
  <si>
    <t>G3-State,M.2 PCIe Gen3x2 and Gen3x4 NVMe,M.2 PCIe Gen4,PCIe-Gen4,PCIe-RST,S-states</t>
  </si>
  <si>
    <t>M.2 PCIe Gen3x2 &amp; gen 3x4 NVMe,M.2 PCIe Gen4,PCI-Gen4</t>
  </si>
  <si>
    <t>CSS-IVE-147120</t>
  </si>
  <si>
    <t>Verify remapped NVME RTD3 cold support with default config</t>
  </si>
  <si>
    <t>D-States,M.2 PCIe Gen3x2 and Gen3x4 NVMe,M.2 PCIe Gen4</t>
  </si>
  <si>
    <t>D-States,M.2 PCIe Gen3x2 &amp; gen 3x4 NVMe</t>
  </si>
  <si>
    <t>CSS-IVE-147213</t>
  </si>
  <si>
    <t>Verify Package C states with USB Devices connected during 8 hours in S0 state.</t>
  </si>
  <si>
    <t>SLP_S0,S-states,USB2.0,USB3.0,USB3.1</t>
  </si>
  <si>
    <t>S-states,SLP_S0,USB 2.0,USB 3.0,USB3.1</t>
  </si>
  <si>
    <t>CSS-IVE-147211</t>
  </si>
  <si>
    <t>Verify Socket Information in SMBIOS Type4 Table</t>
  </si>
  <si>
    <t>SMBIOS</t>
  </si>
  <si>
    <t>CSS-IVE-147224</t>
  </si>
  <si>
    <t>Verify BIOS setting change for CPU DMI UNRD</t>
  </si>
  <si>
    <t>DMI/fDMI</t>
  </si>
  <si>
    <t>CSS-IVE-147234</t>
  </si>
  <si>
    <t>Verify Telemetry MMCFG space is enabled by default in Bios setup</t>
  </si>
  <si>
    <t>Crashlog,debug interfaces</t>
  </si>
  <si>
    <t>debug interfaces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</si>
  <si>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</si>
  <si>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</si>
  <si>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</si>
  <si>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</si>
  <si>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DPTF interface,Thermal throttling</t>
  </si>
  <si>
    <t>CSS-IVE-118601</t>
  </si>
  <si>
    <t>Verify ACPI CPPC objects from SSDT and DSDT</t>
  </si>
  <si>
    <t>ACPI,HWP-Speedshift,MoS (Modern Standby),Power Btn/HID,S-states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</si>
  <si>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</si>
  <si>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</si>
  <si>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</si>
  <si>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</si>
  <si>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DPTF interface</t>
  </si>
  <si>
    <t>BIOS_PSIRT_QSR_Coverage,DPTF Inteface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</si>
  <si>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</si>
  <si>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</si>
  <si>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</si>
  <si>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</si>
  <si>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HT-Speedstep,HWP-Speedshift,Turbo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</si>
  <si>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</si>
  <si>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</si>
  <si>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</si>
  <si>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</si>
  <si>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</si>
  <si>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</si>
  <si>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</si>
  <si>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</si>
  <si>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power_and_perf.monitor</t>
  </si>
  <si>
    <t>DPTF Inteface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</si>
  <si>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</si>
  <si>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</si>
  <si>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</si>
  <si>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</si>
  <si>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HWP-Speedshift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</si>
  <si>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</si>
  <si>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</si>
  <si>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</si>
  <si>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</si>
  <si>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</si>
  <si>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</si>
  <si>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CPU-Straps,P-States</t>
  </si>
  <si>
    <t>CSS-IVE-50832</t>
  </si>
  <si>
    <t>Validate "Power Limit 2" BIOS options</t>
  </si>
  <si>
    <t>CSS-IVE-64117</t>
  </si>
  <si>
    <t>Verify CPU Turbo feature via IA32_MISC_ENABLE MSR</t>
  </si>
  <si>
    <t>Turbo</t>
  </si>
  <si>
    <t>CSS-IVE-44264</t>
  </si>
  <si>
    <t>Validate Intel Speed Step functionality</t>
  </si>
  <si>
    <t>HT-Speedstep,P-States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</si>
  <si>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</si>
  <si>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</si>
  <si>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</si>
  <si>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</si>
  <si>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</si>
  <si>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</si>
  <si>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</si>
  <si>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</si>
  <si>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C-States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</si>
  <si>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</si>
  <si>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</si>
  <si>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</si>
  <si>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</si>
  <si>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</si>
  <si>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</si>
  <si>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</si>
  <si>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</si>
  <si>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</si>
  <si>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</si>
  <si>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CPU-Straps,debug interfaces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</si>
  <si>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</si>
  <si>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</si>
  <si>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</si>
  <si>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</si>
  <si>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</si>
  <si>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</si>
  <si>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C-States,S-states,USB3.0</t>
  </si>
  <si>
    <t>C-States,S-states,USB 3.0</t>
  </si>
  <si>
    <t>CSS-IVE-65794</t>
  </si>
  <si>
    <t>Verify that BIOS has an option to configure C-State "Auto Demotion" and C-State "Un-demotion".</t>
  </si>
  <si>
    <t>CPU-Straps,C-States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</si>
  <si>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</si>
  <si>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</si>
  <si>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</si>
  <si>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</si>
  <si>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</si>
  <si>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</si>
  <si>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</si>
  <si>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</si>
  <si>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CM-States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</si>
  <si>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</si>
  <si>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</si>
  <si>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</si>
  <si>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</si>
  <si>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Thermal throttling,Trip points</t>
  </si>
  <si>
    <t>CSS-IVE-50696</t>
  </si>
  <si>
    <t>Verify All DPTF participants are loaded in DPTF Monitor</t>
  </si>
  <si>
    <t>ACPI,BIOS_PSIRT_QSR_Coverage,DPTF Inteface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</si>
  <si>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</si>
  <si>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</si>
  <si>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</si>
  <si>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</si>
  <si>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</si>
  <si>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</si>
  <si>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</si>
  <si>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</si>
  <si>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</si>
  <si>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</si>
  <si>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CPU-Straps,HWP-Speedshift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</si>
  <si>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</si>
  <si>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</si>
  <si>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</si>
  <si>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</si>
  <si>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</si>
  <si>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</si>
  <si>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cTDP</t>
  </si>
  <si>
    <t>CSS-IVE-70943</t>
  </si>
  <si>
    <t>Verify the CPPC Version support based on Operating system</t>
  </si>
  <si>
    <t>bios.cpu_pm,bios.platform</t>
  </si>
  <si>
    <t>ACPI,CPU-Straps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</si>
  <si>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</si>
  <si>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</si>
  <si>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</si>
  <si>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</si>
  <si>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</si>
  <si>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</si>
  <si>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cTDP,PL1</t>
  </si>
  <si>
    <t>PL1,cTDP</t>
  </si>
  <si>
    <t>CSS-IVE-71141</t>
  </si>
  <si>
    <t>Verify Package PL1 and PL2 enablement from CPU</t>
  </si>
  <si>
    <t>CSS-IVE-71150</t>
  </si>
  <si>
    <t>Verify CPU supports for PSYS feature</t>
  </si>
  <si>
    <t>CPU-Straps,PsysPL1</t>
  </si>
  <si>
    <t>CSS-IVE-71186</t>
  </si>
  <si>
    <t>Verify core ratio limit overrides reverts back to default values correctly on loading Bios defaults</t>
  </si>
  <si>
    <t>CSS-IVE-80837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</si>
  <si>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</si>
  <si>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</si>
  <si>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</si>
  <si>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</si>
  <si>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</si>
  <si>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</si>
  <si>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</si>
  <si>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</si>
  <si>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</si>
  <si>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</si>
  <si>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</si>
  <si>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</si>
  <si>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</si>
  <si>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</si>
  <si>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</si>
  <si>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</si>
  <si>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</si>
  <si>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</si>
  <si>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</si>
  <si>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</si>
  <si>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</si>
  <si>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</si>
  <si>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</si>
  <si>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power_management.battery</t>
  </si>
  <si>
    <t>ACPI,DPTF Inteface</t>
  </si>
  <si>
    <t>CSS-IVE-98894</t>
  </si>
  <si>
    <t>Dynamic Thermal Platform framework should allow upto 6 OEM variables to be defined in order to support Power Boss policy</t>
  </si>
  <si>
    <t>ACPI,DPTF interface</t>
  </si>
  <si>
    <t>CSS-IVE-98897</t>
  </si>
  <si>
    <t>Thunderbolt devices should not be enumerated as Intel Dynamic Tuning (aka DPTF) participant devices</t>
  </si>
  <si>
    <t>DPTF interface,TBT</t>
  </si>
  <si>
    <t>CSS-IVE-99276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</si>
  <si>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</si>
  <si>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</si>
  <si>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</si>
  <si>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</si>
  <si>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</si>
  <si>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</si>
  <si>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</si>
  <si>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</si>
  <si>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</si>
  <si>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</si>
  <si>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</si>
  <si>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</si>
  <si>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</si>
  <si>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</si>
  <si>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</si>
  <si>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P-States</t>
  </si>
  <si>
    <t>CSS-IVE-101309</t>
  </si>
  <si>
    <t>Verify CPU C10 residency when system connected to Wi-Fi Network</t>
  </si>
  <si>
    <t>connectivity.wifi</t>
  </si>
  <si>
    <t>CNVi,C-States,discrete WiFi/BT</t>
  </si>
  <si>
    <t>C-States,CNVi,discrete WiFi/BT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</si>
  <si>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</si>
  <si>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</si>
  <si>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</si>
  <si>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</si>
  <si>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</si>
  <si>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</si>
  <si>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power_management.consumption</t>
  </si>
  <si>
    <t>CSS-IVE-102265</t>
  </si>
  <si>
    <t>Verify CPU support for Intel Turbo Boost Max Technology 3.0</t>
  </si>
  <si>
    <t>CPU-Straps,Turbo</t>
  </si>
  <si>
    <t>BIOS_PSIRT_QSR_Coverage,C-States</t>
  </si>
  <si>
    <t>CSS-IVE-100080</t>
  </si>
  <si>
    <t>BIOS should have option to enable or disable graphics turbo technology</t>
  </si>
  <si>
    <t>Gfx uController,iGfx</t>
  </si>
  <si>
    <t>CSS-IVE-92936</t>
  </si>
  <si>
    <t>Verify Bios an option to enable/disable "CPU 3-strike counter "in BIOS.</t>
  </si>
  <si>
    <t>CPU-Straps,S0ix-states,S-states</t>
  </si>
  <si>
    <t>CPU-Straps,S-states,S0ix-states</t>
  </si>
  <si>
    <t>CSS-IVE-105537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</si>
  <si>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</si>
  <si>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</si>
  <si>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</si>
  <si>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</si>
  <si>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</si>
  <si>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</si>
  <si>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</si>
  <si>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power_management.fivr</t>
  </si>
  <si>
    <t>DPTF Inteface,FIVR</t>
  </si>
  <si>
    <t>CSS-IVE-100086</t>
  </si>
  <si>
    <t>BIOS_PSIRT_QSR_Coverage,Turbo</t>
  </si>
  <si>
    <t>CSS-IVE-100083</t>
  </si>
  <si>
    <t>Validate methods required by Fan device participant are enumerated as part of ACPI DPTF table</t>
  </si>
  <si>
    <t>ACPI,DPTF interface,Fan Control</t>
  </si>
  <si>
    <t>ACPI,Fan Control,Internal Tools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</si>
  <si>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</si>
  <si>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</si>
  <si>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</si>
  <si>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</si>
  <si>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</si>
  <si>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</si>
  <si>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stress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</si>
  <si>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</si>
  <si>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</si>
  <si>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</si>
  <si>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</si>
  <si>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</si>
  <si>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</si>
  <si>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</si>
  <si>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</si>
  <si>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</si>
  <si>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</si>
  <si>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</si>
  <si>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</si>
  <si>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</si>
  <si>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</si>
  <si>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</si>
  <si>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</si>
  <si>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BIOS Information,FIVR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</si>
  <si>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</si>
  <si>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</si>
  <si>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</si>
  <si>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</si>
  <si>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</si>
  <si>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</si>
  <si>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cTDP,Power Limit,S-states</t>
  </si>
  <si>
    <t>Dual_Tau,Power Limit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</si>
  <si>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</si>
  <si>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</si>
  <si>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</si>
  <si>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</si>
  <si>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</si>
  <si>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</si>
  <si>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</si>
  <si>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</si>
  <si>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</si>
  <si>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</si>
  <si>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</si>
  <si>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</si>
  <si>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C-States,GPIO interrupts,Timers</t>
  </si>
  <si>
    <t>C-States,GPIO,Timers</t>
  </si>
  <si>
    <t>CSS-IVE-119285</t>
  </si>
  <si>
    <t>Verify IPCS method gets exposed as part of ACPI dump</t>
  </si>
  <si>
    <t>ACPI,PMC</t>
  </si>
  <si>
    <t>CSS-IVE-119294</t>
  </si>
  <si>
    <t>Verify Iccmax gets displayed as part of Setup and it is configured correctly based on form factor</t>
  </si>
  <si>
    <t>FIVR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</si>
  <si>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</si>
  <si>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</si>
  <si>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</si>
  <si>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</si>
  <si>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Power Limit,Power-Numbers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</si>
  <si>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</si>
  <si>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</si>
  <si>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</si>
  <si>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</si>
  <si>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</si>
  <si>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</si>
  <si>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</si>
  <si>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</si>
  <si>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</si>
  <si>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</si>
  <si>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</si>
  <si>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</si>
  <si>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</si>
  <si>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</si>
  <si>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cTDP,Dual_tau,Power Limit,S-states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</si>
  <si>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</si>
  <si>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</si>
  <si>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</si>
  <si>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</si>
  <si>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</si>
  <si>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</si>
  <si>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</si>
  <si>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</si>
  <si>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CPU-Straps,G3-State,S-states</t>
  </si>
  <si>
    <t>CSS-IVE-145234</t>
  </si>
  <si>
    <t>Verify Re-arm command before and after disabling Re-arm BIOS knob</t>
  </si>
  <si>
    <t>CSS-IVE-145806</t>
  </si>
  <si>
    <t>Verify BIOS support for new Device PMAX</t>
  </si>
  <si>
    <t>DPTF interface,Power Limit</t>
  </si>
  <si>
    <t>DPTF Inteface,Power Limit</t>
  </si>
  <si>
    <t>CSS-IVE-145808</t>
  </si>
  <si>
    <t>Verify Bios programs MAX_CPUMSG_LTR register correctly</t>
  </si>
  <si>
    <t>PMC,PMC_register,PS_ON</t>
  </si>
  <si>
    <t>PMC,PS_ON</t>
  </si>
  <si>
    <t>CSS-IVE-145816</t>
  </si>
  <si>
    <t>Verify Bios programs CPPM_CG_POL1B.TNTE_FORCE_ON register correctly</t>
  </si>
  <si>
    <t>PMC,PMC_register</t>
  </si>
  <si>
    <t>PMC</t>
  </si>
  <si>
    <t>CSS-IVE-145817</t>
  </si>
  <si>
    <t>Verify Bios programs power management configuration registers correctly</t>
  </si>
  <si>
    <t>CSS-IVE-145818</t>
  </si>
  <si>
    <t>Verify Bios sends IPC1 command to check for errors in the IPC1 interface during CPU strap overrides</t>
  </si>
  <si>
    <t>CPU-Straps,PMC</t>
  </si>
  <si>
    <t>CSS-IVE-145869</t>
  </si>
  <si>
    <t>Verify S0ix address passed to OS as part of LPIT table is programmed correctly</t>
  </si>
  <si>
    <t>ACPI,PMC,S0ix-states</t>
  </si>
  <si>
    <t>CSS-IVE-145870</t>
  </si>
  <si>
    <t>Verify Global reset happens with security level enabled in BIOS</t>
  </si>
  <si>
    <t>iTBT,TBT,TCSS,USB-TypeC</t>
  </si>
  <si>
    <t>TBT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</si>
  <si>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</si>
  <si>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</si>
  <si>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</si>
  <si>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</si>
  <si>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</si>
  <si>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</si>
  <si>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</si>
  <si>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</si>
  <si>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</si>
  <si>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</si>
  <si>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 ER debug mode enabled status get reflected correctly in  ETR3 Register</t>
  </si>
  <si>
    <t>CSS-IVE-133841</t>
  </si>
  <si>
    <t>Verify ACPI implementation to control WIFI 6 11AX support based on _DSM Method</t>
  </si>
  <si>
    <t>ACPI,CNVi,discrete WiFi/BT,WiFi</t>
  </si>
  <si>
    <t>CNVi,discrete WiFi/BT</t>
  </si>
  <si>
    <t>CSS-IVE-133051</t>
  </si>
  <si>
    <t>Verify GOP initialization in debug log using Legacy UART / LPSS UART</t>
  </si>
  <si>
    <t>COM,debug interfaces,Serial,UART</t>
  </si>
  <si>
    <t>CSS-IVE-108406</t>
  </si>
  <si>
    <t>Verify system stability post Sx/S0ix-cycling via Cycling Tools</t>
  </si>
  <si>
    <t>RTC,S-states</t>
  </si>
  <si>
    <t>BIOS_PSIRT_QSR_Coverage,RTC,S-states</t>
  </si>
  <si>
    <t>CSS-IVE-50603</t>
  </si>
  <si>
    <t>Validate network functionality post Sx cycles</t>
  </si>
  <si>
    <t>CSS-IVE-65924</t>
  </si>
  <si>
    <t>Verify system stability post Sx cycles with Keyboard as wake source</t>
  </si>
  <si>
    <t>Power Btn/HID,Real Battery Management,S-states</t>
  </si>
  <si>
    <t>CSS-IVE-65923</t>
  </si>
  <si>
    <t>S-states,Virtual Lid</t>
  </si>
  <si>
    <t>BIOS_PSIRT_QSR_Coverage,S-states,Virtual Lid</t>
  </si>
  <si>
    <t>CSS-IVE-65921</t>
  </si>
  <si>
    <t>Verify System stability on staying in idle state for 12 hours with Display ON</t>
  </si>
  <si>
    <t>Display Panels,S-states</t>
  </si>
  <si>
    <t>CSS-IVE-50608</t>
  </si>
  <si>
    <t>Verify that GPIO devices are enumerated properly on the SUT</t>
  </si>
  <si>
    <t>GPIO,LAN,M.2 PCIe Gen3x2 and Gen3x4 NVMe,M.2 SATA,UART</t>
  </si>
  <si>
    <t>CSS-IVE-50609</t>
  </si>
  <si>
    <t>Stress S5-G3-S5 and verify that there is no break in functionality</t>
  </si>
  <si>
    <t>CSS-IVE-65920</t>
  </si>
  <si>
    <t>Validate Type-C USB2.0 Host Mode (Type-C to A) functionality - after CMS, device connected when SUT is in CMS state</t>
  </si>
  <si>
    <t>MoS(Modern Standby),USB 2.0,USB-TypeC</t>
  </si>
  <si>
    <t>CSS-IVE-66055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</si>
  <si>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</si>
  <si>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</si>
  <si>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EC-Lite,S-states,TBT_IOMMU,TBT_PD_EC_NA,TCSS,USB2.0,USB-TypeC</t>
  </si>
  <si>
    <t>CSS-IVE-66059</t>
  </si>
  <si>
    <t>Validate Type-C USB3.0 Host Mode (Type-C to A) functionality - before and after Sx cycles</t>
  </si>
  <si>
    <t>EC-Lite,S0ix-states,S-states,TBT_IOMMU,TBT_PD_EC_NA,TCSS,USB3.0,USB-TypeC</t>
  </si>
  <si>
    <t>CSS-IVE-66060</t>
  </si>
  <si>
    <t>[Type-c]Verify RTD3 support for USB3.0 device (Pendrive)</t>
  </si>
  <si>
    <t>D-States,RTD3,USB3.0</t>
  </si>
  <si>
    <t>D-States,RTD3,USB 3.0</t>
  </si>
  <si>
    <t>CSS-IVE-66100</t>
  </si>
  <si>
    <t>Verify RTD3 support for USB2.0 Device</t>
  </si>
  <si>
    <t>D-States,RTD3,USB2.0</t>
  </si>
  <si>
    <t>D-States,RTD3,USB 2.0</t>
  </si>
  <si>
    <t>CSS-IVE-66099</t>
  </si>
  <si>
    <t>Verify Type C - Analog audio accessory mode functionality</t>
  </si>
  <si>
    <t>S-states,TBT_PD_EC_NA,USB-TypeC</t>
  </si>
  <si>
    <t>USB-TypeC,audio codecs</t>
  </si>
  <si>
    <t>CSS-IVE-66096</t>
  </si>
  <si>
    <t>Verify Windows OS presents the Boot repair options on 2 consecutive boot failures with fast boot enabled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</si>
  <si>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</si>
  <si>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</si>
  <si>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</si>
  <si>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</si>
  <si>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debug interfaces,Serial,UART</t>
  </si>
  <si>
    <t>Serial,UART,debug interfaces</t>
  </si>
  <si>
    <t>CSS-IVE-69495</t>
  </si>
  <si>
    <t>Validate file transfer functionality between 2 USB mass storage devices connected over USB Type-A port in EFI shell and OS</t>
  </si>
  <si>
    <t>UEFI,USB/XHCI ports,USB2.0,USB3.0</t>
  </si>
  <si>
    <t>UEFI,USB 2.0,USB 3.0,USB/XHCI ports</t>
  </si>
  <si>
    <t>CSS-IVE-69497</t>
  </si>
  <si>
    <t>Validate Virtual keyboard can be functional in BIOS and OS</t>
  </si>
  <si>
    <t>S0ix-states,UEFI,Virtual-KBD</t>
  </si>
  <si>
    <t>Virtial-KBD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</si>
  <si>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</si>
  <si>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</si>
  <si>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</si>
  <si>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</si>
  <si>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connectivity.ethernet</t>
  </si>
  <si>
    <t>LAN,S-states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</si>
  <si>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</si>
  <si>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</si>
  <si>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</si>
  <si>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</si>
  <si>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Display Panels,HDMI,S-states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</si>
  <si>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</si>
  <si>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</si>
  <si>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</si>
  <si>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</si>
  <si>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bios.platform,fw.ifwi.ish</t>
  </si>
  <si>
    <t>FPS/iFPS,MoS (Modern Standby)</t>
  </si>
  <si>
    <t>CM-States,FPS/iFPS</t>
  </si>
  <si>
    <t>CSS-IVE-70819</t>
  </si>
  <si>
    <t>Verify hot-plug functionality of TBT device between S3 and resume phases</t>
  </si>
  <si>
    <t>Display Panels,iTBT,S-states,TBT,TCSS</t>
  </si>
  <si>
    <t>TBT,iTBT</t>
  </si>
  <si>
    <t>CSS-IVE-70929</t>
  </si>
  <si>
    <t>Verify the i-touch single touch and multi touch functionality is working correctly before and after CMS.</t>
  </si>
  <si>
    <t>iTouch,MoS (Modern Standby),SPI bus</t>
  </si>
  <si>
    <t>MoS(Modern Standby),iTouch,touch panel</t>
  </si>
  <si>
    <t>CSS-IVE-70937</t>
  </si>
  <si>
    <t>Verify that ACPI tables have proper revision ID"s as per the ACPI spec.</t>
  </si>
  <si>
    <t>CSS-IVE-70961</t>
  </si>
  <si>
    <t>Verify system wakes from CMS/S0i3 state via Finger Print Sensor.</t>
  </si>
  <si>
    <t>FPS/iFPS,MoS (Modern Standby),S0ix-states</t>
  </si>
  <si>
    <t>CSS-IVE-70966</t>
  </si>
  <si>
    <t>Verify devices (M.2 SATA SSD, WiFi, BT, Camera, Touch Panel) are entering to RTD3 cold state</t>
  </si>
  <si>
    <t>bios.platform,fw.ifwi.others,fw.ifwi.pchc</t>
  </si>
  <si>
    <t>discrete WiFi/BT,D-States,RTD3,SATA/PCIe combo ports,touch panel</t>
  </si>
  <si>
    <t>CNVi,Camera - 2D imaging(integrated and discrete ISP),D-States,RTD3,SATA/PCIe combo ports,discrete WiFi/BT,touch panel</t>
  </si>
  <si>
    <t>CSS-IVE-70971</t>
  </si>
  <si>
    <t>Verify SUT wakes from Connected Standby using Touchpad</t>
  </si>
  <si>
    <t>MoS (Modern Standby),TouchPad</t>
  </si>
  <si>
    <t>CM-States,FPS/iFPS,I2C/USB touch pad,TouchPad</t>
  </si>
  <si>
    <t>CSS-IVE-16697</t>
  </si>
  <si>
    <t>BIOS-CS: Verify Battery Charging/ Discharging happening in connected Standby</t>
  </si>
  <si>
    <t>Charging modes,MoS (Modern Standby),Real Battery Management</t>
  </si>
  <si>
    <t>Charging modes,Legacy Charging(S0/S3/S5),Real Battery Management,S0ix-states</t>
  </si>
  <si>
    <t>CSS-IVE-71012</t>
  </si>
  <si>
    <t>Verify TBT functionality after disabling and enabling the TBT Controller in device manager</t>
  </si>
  <si>
    <t>iTBT,TBT,TBT_PD_EC_NA,TCSS</t>
  </si>
  <si>
    <t>CSS-IVE-71088</t>
  </si>
  <si>
    <t>Verify TBT Boot to OS functionality using Type-C USB device over TBT port</t>
  </si>
  <si>
    <t>USB 3.1 Gen 1,USB 3.1 Gen 2,USB-TypeC</t>
  </si>
  <si>
    <t>CSS-IVE-71121</t>
  </si>
  <si>
    <t>Verify system enters S5 state irrespective of fast startup option in OS with system in AC mode</t>
  </si>
  <si>
    <t>bios.platform,fw.ifwi.others,fw.ifwi.pmc</t>
  </si>
  <si>
    <t>CSS-IVE-72694</t>
  </si>
  <si>
    <t>Verify XHCI OS Handoff after S3/S0iX Cycling</t>
  </si>
  <si>
    <t>S-states,TCSS,USB/XHCI ports,USB3.0,USB-TypeC</t>
  </si>
  <si>
    <t>USB 3.0,USB-TypeC,USB/XHCI ports</t>
  </si>
  <si>
    <t>CSS-IVE-80009</t>
  </si>
  <si>
    <t>Verify PCIe device enumeration before/after Sx-cycles</t>
  </si>
  <si>
    <t>PCIe LAN,S-states</t>
  </si>
  <si>
    <t>BIOS_PSIRT_QSR_Coverage,M.2 PCIe Gen3x2 &amp; gen 3x4 NVMe,PMC,SATA/PCIe combo ports</t>
  </si>
  <si>
    <t>CSS-IVE-80338</t>
  </si>
  <si>
    <t>Verification of CPU-HID (Core SKU) values in ACPI dump for Micro-PEP devices</t>
  </si>
  <si>
    <t>MoS (Modern Standby),Power Btn/HID,S-states</t>
  </si>
  <si>
    <t>CSS-IVE-78915</t>
  </si>
  <si>
    <t>Verify concurrent functionality of USB-C PD and USB-C Data Transfer ports for dual port RVP</t>
  </si>
  <si>
    <t>CSS-IVE-84963</t>
  </si>
  <si>
    <t>Verify basic Power Button Functionality in   DC  mode</t>
  </si>
  <si>
    <t>Power Btn/HID,Real Battery Management</t>
  </si>
  <si>
    <t>CSS-IVE-85621</t>
  </si>
  <si>
    <t>Validate system wakes up from Sx states via USB devices</t>
  </si>
  <si>
    <t>Real Battery Management,S-states</t>
  </si>
  <si>
    <t>CSS-IVE-80238</t>
  </si>
  <si>
    <t>Validate SUT wake from S3 &amp; S4 Using USB-LAN device AC mode</t>
  </si>
  <si>
    <t>connectivity</t>
  </si>
  <si>
    <t>LAN,S-states,USB3.0</t>
  </si>
  <si>
    <t>LAN,S-states,USB 3.0</t>
  </si>
  <si>
    <t>CSS-IVE-80239</t>
  </si>
  <si>
    <t>Bios shall support maximum allocation of 130 MB memory for EFI Boot Services Data</t>
  </si>
  <si>
    <t>Memory Technologies/Topologies,UEFI</t>
  </si>
  <si>
    <t>CSS-IVE-84959</t>
  </si>
  <si>
    <t>Verify RTD3/ACPI D3cold Support can be enabled/disabled from Setup and SUT remains intact across Sx cycles</t>
  </si>
  <si>
    <t>RTD3</t>
  </si>
  <si>
    <t>ACPI,BIOS_PSIRT_QSR_Coverage,RTD3</t>
  </si>
  <si>
    <t>CSS-IVE-80982</t>
  </si>
  <si>
    <t>Verify RTD3 residency for SATA HDD during S0(Idle) and DMS states</t>
  </si>
  <si>
    <t>AC/DC toggling,D-States,HDD,MoS (Modern Standby),Real Battery Management,RTD3</t>
  </si>
  <si>
    <t>AC/DC toggling,D-States,HDD,MoS(Modern Standby),RTD3,Real Battery Management</t>
  </si>
  <si>
    <t>CSS-IVE-79966</t>
  </si>
  <si>
    <t>Verify that the TCO watchdog is Disabled by Default</t>
  </si>
  <si>
    <t>ACPI,MoS (Modern Standby),Power Btn/HID</t>
  </si>
  <si>
    <t>CSS-IVE-80847</t>
  </si>
  <si>
    <t>Verify different power states (Active/IDLE, partial and slumber) for SATA Phy layer</t>
  </si>
  <si>
    <t>DevSlp,LPM,SATA/PCIe combo ports</t>
  </si>
  <si>
    <t>CSS-IVE-88927</t>
  </si>
  <si>
    <t>Verify that ACPI supports Low Power Idle Table (LPIT) to support Modern Standby</t>
  </si>
  <si>
    <t>ACPI,MoS (Modern Standby)</t>
  </si>
  <si>
    <t>ACPI,BIOS_PSIRT_QSR_Coverage,MoS(Modern Standby)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</si>
  <si>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</si>
  <si>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</si>
  <si>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</si>
  <si>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</si>
  <si>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</si>
  <si>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</si>
  <si>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</si>
  <si>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</si>
  <si>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power_management.modern_standby</t>
  </si>
  <si>
    <t>CSS-IVE-78764</t>
  </si>
  <si>
    <t>Verify system stability post Connected Modern Standby cycling</t>
  </si>
  <si>
    <t>MoS (Modern Standby),Power Btn/HID</t>
  </si>
  <si>
    <t>MoS(Modern Standby),Power Btn/HID</t>
  </si>
  <si>
    <t>CSS-IVE-92265</t>
  </si>
  <si>
    <t>Verify System trace Via BSSB interface over Type-C port</t>
  </si>
  <si>
    <t>bios.pch,bios.platform,fw.ifwi.others,fw.ifwi.pchc</t>
  </si>
  <si>
    <t>debug interfaces,NPK,TBT_PD_EC_NA,TCSS,USB-TypeC</t>
  </si>
  <si>
    <t>CSS-IVE-76118</t>
  </si>
  <si>
    <t>Verify System stays in S5 when power button is pressed while in Bios page (Negative Test )</t>
  </si>
  <si>
    <t>Power Btn/HID,S-states</t>
  </si>
  <si>
    <t>CSS-IVE-92277</t>
  </si>
  <si>
    <t>Validate Type-C USB2.0 Host Mode (Type-C to A) functionality after Deep S5, Cable connected at Deep S5 State</t>
  </si>
  <si>
    <t>DeepSX,TBT_PD_EC_NA,TCSS,USB-TypeC</t>
  </si>
  <si>
    <t>DeepSx,USB-TypeC</t>
  </si>
  <si>
    <t>CSS-IVE-92311</t>
  </si>
  <si>
    <t>[TBT]Verify DMAR Table is populated on Enabling VT-D</t>
  </si>
  <si>
    <t>ACPI,iTBT,TBT,Vt-D</t>
  </si>
  <si>
    <t>CSS-IVE-119130</t>
  </si>
  <si>
    <t>Verify TBT RTD3 entry and exit in a Daisy chain</t>
  </si>
  <si>
    <t>Display Panels,iTBT,MoS (Modern Standby),TBT,TBT_PD_EC_NA,TCSS</t>
  </si>
  <si>
    <t>RTD3,TBT</t>
  </si>
  <si>
    <t>CSS-IVE-118924</t>
  </si>
  <si>
    <t>Validate HDMI Display functionality over Type-C port in Pre/Post Sx and reboot cycles</t>
  </si>
  <si>
    <t>HDMI,S-states,TCSS,USB-TypeC</t>
  </si>
  <si>
    <t>CSS-IVE-92747</t>
  </si>
  <si>
    <t>Verify Bluetooth power management profile for DT SKU through ACPI table</t>
  </si>
  <si>
    <t>ACPI,discrete WiFi/BT</t>
  </si>
  <si>
    <t>CSS-IVE-79891</t>
  </si>
  <si>
    <t>[TBT] Verify Reservation of PCIe Bus numbers for Thunderbolt</t>
  </si>
  <si>
    <t>iTBT,TBT,TCSS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</si>
  <si>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</si>
  <si>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</si>
  <si>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</si>
  <si>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</si>
  <si>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MoS (Modern Standby)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</si>
  <si>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</si>
  <si>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</si>
  <si>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</si>
  <si>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</si>
  <si>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</si>
  <si>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</si>
  <si>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</si>
  <si>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</si>
  <si>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</si>
  <si>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</si>
  <si>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ext.Gfx,iTBT,S-states,TBT,TBT_PD_EC_NA,TCSS</t>
  </si>
  <si>
    <t>Hybrid Gfx,TBT Ext GFX</t>
  </si>
  <si>
    <t>CSS-IVE-94002</t>
  </si>
  <si>
    <t>Verify USB3.1 Gen2 device functionality with pre and post Sx (S3,S4,S5) cycles over Type-C port</t>
  </si>
  <si>
    <t>S-states,TBT_PD_EC_NA,TCSS,USB3.1,USB-TypeC</t>
  </si>
  <si>
    <t>S-states,TCSS,USB 3.2 2x1,USB-TypeC</t>
  </si>
  <si>
    <t>CSS-IVE-94312</t>
  </si>
  <si>
    <t>Verify USB3.1 gen2 device functionality before/after C-MoS state over Type-C port</t>
  </si>
  <si>
    <t>MoS (Modern Standby),TBT_PD_EC_NA,TCSS,USB3.1,USB-TypeC</t>
  </si>
  <si>
    <t>MoS(Modern Standby),USB 3.1 Gen 2,USB 3.2 2x1</t>
  </si>
  <si>
    <t>CSS-IVE-94315</t>
  </si>
  <si>
    <t>Verify USB Camera functionality over Type-C port with pre and post Sx (S3,S4,S5) cycles</t>
  </si>
  <si>
    <t>S-states,TBT_PD_EC_NA,TCSS,USB-TypeC</t>
  </si>
  <si>
    <t>S-states,USB-Camera,USB-TypeC</t>
  </si>
  <si>
    <t>CSS-IVE-94316</t>
  </si>
  <si>
    <t>Verify Install OS and Booting from Type-C USB 3.1 gen2 device</t>
  </si>
  <si>
    <t>TCSS,USB3.1,USB-TypeC</t>
  </si>
  <si>
    <t>TCSS,USB-TypeC,USB3.1</t>
  </si>
  <si>
    <t>CSS-IVE-94317</t>
  </si>
  <si>
    <t>Verify OS debug support using Windbg debugging over Type-C port</t>
  </si>
  <si>
    <t>debug interfaces,USB-TypeC</t>
  </si>
  <si>
    <t>USB-TypeC,debug interfaces</t>
  </si>
  <si>
    <t>CSS-IVE-94318</t>
  </si>
  <si>
    <t>Verify Type-C Docking with 2XLANE DP and Super Speed functionality before/after Sx Cycles(S3,S4,S5)</t>
  </si>
  <si>
    <t>Display Panels,Docking support,S-states,TBT_PD_EC_NA,TCSS,USB3.1,USB-TypeC</t>
  </si>
  <si>
    <t>Display Panels,Docking support,S-states,TCSS,USB-TypeC,USB3.1</t>
  </si>
  <si>
    <t>CSS-IVE-94320</t>
  </si>
  <si>
    <t>Verify Type-C Docking hot plug functionality with 2XLANE DP and USB 3.1 devices</t>
  </si>
  <si>
    <t>Display Panels,Docking support,EC-Lite,TBT_PD_EC_NA,TCSS,USB3.1,USB-TypeC</t>
  </si>
  <si>
    <t>Display Panels,Docking support,TCSS,USB-TypeC,USB3.1</t>
  </si>
  <si>
    <t>CSS-IVE-94321</t>
  </si>
  <si>
    <t>Verify Type-C Docking with 4XLANE DP and High Speed functionality before/after Sx (S3,S4,S5) Cycles</t>
  </si>
  <si>
    <t>Display Panels,Docking support,EC-Lite,S-states,TBT_PD_EC_NA,TCSS,USB2.0,USB-TypeC</t>
  </si>
  <si>
    <t>Display Panels,Docking support,USB-TypeC</t>
  </si>
  <si>
    <t>CSS-IVE-94322</t>
  </si>
  <si>
    <t>Verify Type-C Docking hot plug functionality with 4XLANE DP and USB2.0 devices</t>
  </si>
  <si>
    <t>Display Panels,Docking support,TBT_PD_EC_NA,TCSS,USB2.0,USB-TypeC</t>
  </si>
  <si>
    <t>DP-Display,Docking support,USB 2.0,USB-TypeC</t>
  </si>
  <si>
    <t>CSS-IVE-94323</t>
  </si>
  <si>
    <t>Verify Type-C Docking with 2XLANE DP and Super Speed functionality before/after Sx(S3,S4,S5) Cycles</t>
  </si>
  <si>
    <t>Display Panels,Docking support,EC-Lite,S-states,TBT_PD_EC_NA,TCSS,USB3.0,USB-TypeC</t>
  </si>
  <si>
    <t>CSS-IVE-94324</t>
  </si>
  <si>
    <t>Verify Type-C Docking hot plug functionality with 2XLANE DP and USB 3.0 devices</t>
  </si>
  <si>
    <t>Display Panels,Docking support,EC-Lite,TBT_PD_EC_NA,TCSS,USB3.0,USB-TypeC</t>
  </si>
  <si>
    <t>DP-Display,Docking support,USB 3.0</t>
  </si>
  <si>
    <t>CSS-IVE-94325</t>
  </si>
  <si>
    <t>Verify Type-C multi port - USB only functionality before/after Sx Cycle</t>
  </si>
  <si>
    <t>S-states,TBT_PD_EC_NA,TCSS,USB3.0,USB3.1,USB-TypeC</t>
  </si>
  <si>
    <t>USB 3.1 Gen 1,USB-Camera,USB/XHCI ports,USB3.1</t>
  </si>
  <si>
    <t>CSS-IVE-94330</t>
  </si>
  <si>
    <t>Verify Type-C multi port - USB only functionality before/after CMS state</t>
  </si>
  <si>
    <t>MoS (Modern Standby),TBT_PD_EC_NA,TCSS,USB3.0,USB3.1,USB-TypeC</t>
  </si>
  <si>
    <t>MoS(Modern Standby),USB 3.1 Gen 1,USB-Camera,USB/XHCI ports,USB3.1</t>
  </si>
  <si>
    <t>CSS-IVE-94331</t>
  </si>
  <si>
    <t>Verify Type-C multi port functionality - Display and USB</t>
  </si>
  <si>
    <t>bios.platform,bios.sa,fw.ifwi.MGPhy,fw.ifwi.iom,fw.ifwi.nphy,fw.ifwi.pmc,fw.ifwi.sam,fw.ifwi.sphy,fw.ifwi.tbt</t>
  </si>
  <si>
    <t>Display Panels,TBT_IOMMU,TBT_PD_EC_NA,TCSS,USB3.0,USB-TypeC</t>
  </si>
  <si>
    <t>DP-Display,Display Panels,USB3.1</t>
  </si>
  <si>
    <t>CSS-IVE-94337</t>
  </si>
  <si>
    <t>Verify Type-C multi port functionality - Display and USB before/after Sx Cycles</t>
  </si>
  <si>
    <t>Display Panels,S-states,TBT_IOMMU,TBT_PD_EC_NA,TCSS,USB3.0,USB-TypeC</t>
  </si>
  <si>
    <t>CSS-IVE-94338</t>
  </si>
  <si>
    <t>Verify Type-C multi port functionality - Display and USB before/after CMS state</t>
  </si>
  <si>
    <t>Display Panels,MoS (Modern Standby),TBT_PD_EC_NA,TCSS,USB3.0,USB-TypeC</t>
  </si>
  <si>
    <t>DP-Display,Display Panels,MoS(Modern Standby),USB3.1</t>
  </si>
  <si>
    <t>CSS-IVE-94339</t>
  </si>
  <si>
    <t>Verify LAN Switching between LAN and WLAN</t>
  </si>
  <si>
    <t>GbE,LAN</t>
  </si>
  <si>
    <t>CSS-IVE-94983</t>
  </si>
  <si>
    <t>Verify Sx/S0ix cycle"s with ODD connected to System</t>
  </si>
  <si>
    <t>MoS (Modern Standby),S0ix-states,S-states</t>
  </si>
  <si>
    <t>ODD,S0ix-states</t>
  </si>
  <si>
    <t>CSS-IVE-95195</t>
  </si>
  <si>
    <t>Verify Type-C multi port functionality - Display, USB debug and TBT dock</t>
  </si>
  <si>
    <t>debug interfaces,Display Panels,Docking support,iTBT,TBT,TBT_PD_EC_NA,TCSS,USB-TypeC</t>
  </si>
  <si>
    <t>DP-Display,Docking support,Windbg</t>
  </si>
  <si>
    <t>CSS-IVE-95251</t>
  </si>
  <si>
    <t>Verify Type-C multi port functionality - Display, USB debug and TBT dock after G3 and reboot cycles</t>
  </si>
  <si>
    <t>CSS-IVE-95252</t>
  </si>
  <si>
    <t>Verify Type-C multi port functionality - Provider, HDMI and USB Camera</t>
  </si>
  <si>
    <t>Display Panels,iTBT,TBT,TBT_PD_EC_NA,TCSS,USB3.0,USB-TypeC</t>
  </si>
  <si>
    <t>HDMI,Real Battery Management,USB-Camera</t>
  </si>
  <si>
    <t>CSS-IVE-95262</t>
  </si>
  <si>
    <t>Verify Type-C multi port functionality - Provider, HDMI and USB Camera after Sx and reboot cycle</t>
  </si>
  <si>
    <t>Display Panels,iTBT,S-states,TBT,TCSS,USB3.0,USB-TypeC</t>
  </si>
  <si>
    <t>HDMI,Real Battery Management,S-states,USB-Camera</t>
  </si>
  <si>
    <t>CSS-IVE-95263</t>
  </si>
  <si>
    <t>Verify Type-C multi port functionality - Provider, HDMI and USB Camera after Deep Sx cycle</t>
  </si>
  <si>
    <t>DeepSX,Display Panels,iTBT,TBT,TCSS,USB3.0,USB-TypeC</t>
  </si>
  <si>
    <t>DeepSx,HDMI,Real Battery Management,USB-Camera</t>
  </si>
  <si>
    <t>CSS-IVE-95264</t>
  </si>
  <si>
    <t>Verify Type-C multi port functionality - Provider, HDMI and USB Camera after Connected MOS state</t>
  </si>
  <si>
    <t>Display Panels,iTBT,MoS (Modern Standby),TBT,TCSS,USB3.0,USB-TypeC</t>
  </si>
  <si>
    <t>HDMI,MoS(Modern Standby),Real Battery Management,USB-Camera</t>
  </si>
  <si>
    <t>CSS-IVE-95265</t>
  </si>
  <si>
    <t>Verify Type-C multi port functionality - PR Swap, USB3.1 and TBT-Display</t>
  </si>
  <si>
    <t>Display Panels,TBT,TCSS,UCSI,USB3.1,USB-TypeC</t>
  </si>
  <si>
    <t>USB 3.2 2x1,USB-TypeC,iTBT</t>
  </si>
  <si>
    <t>CSS-IVE-95266</t>
  </si>
  <si>
    <t>Verify Type-C multi port functionality - Type-C dock, Provider, TBT eGFX</t>
  </si>
  <si>
    <t>Docking support,ext.Gfx,iTBT,TBT,TBT_PD_EC_NA,TCSS,USB-TypeC</t>
  </si>
  <si>
    <t>Docking support,Real Battery Management,TBT Ext GFX</t>
  </si>
  <si>
    <t>CSS-IVE-95272</t>
  </si>
  <si>
    <t>Verify Type-C multi port functionality - Type-C dock, Provider, TBT eGFX after Sx and reboot cycles</t>
  </si>
  <si>
    <t>Docking support,ext.Gfx,iTBT,S-states,TBT,TBT_PD_EC_NA,TCSS,USB-TypeC</t>
  </si>
  <si>
    <t>CSS-IVE-95273</t>
  </si>
  <si>
    <t>[TBT] Verify connection Swap during S3 with all Type-C ports - DP, HDMI and USB</t>
  </si>
  <si>
    <t>Display Panels,iTBT,S-states,TBT,TBT_PD_EC_NA,TCSS,USB-TypeC</t>
  </si>
  <si>
    <t>DP-Display,HDMI,USB 3.1 Gen 1</t>
  </si>
  <si>
    <t>CSS-IVE-95283</t>
  </si>
  <si>
    <t>[TBT] Verify connection Swap during S3 with all Type-C ports - USB3.1 Gen2, USB3.0 Hub and USB2.0</t>
  </si>
  <si>
    <t>iTBT,S-states,TBT,TBT_PD_EC_NA,TCSS,USB2.0,USB3.0,USB3.1,USB-TypeC</t>
  </si>
  <si>
    <t>USB 2.0,USB 3.0,USB 3.1 Gen 1,USB 3.2 2x1,USB-TypeC</t>
  </si>
  <si>
    <t>CSS-IVE-95390</t>
  </si>
  <si>
    <t>Verify RTD3 residency for SATA SSD during CS and Idle states</t>
  </si>
  <si>
    <t>D-States,RTD3,SATA Gen3 Direct AHCI,S-states</t>
  </si>
  <si>
    <t>D-States,RTD3,S-states,SATA Gen3 Direct AHCI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</si>
  <si>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</si>
  <si>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</si>
  <si>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</si>
  <si>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</si>
  <si>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iTouch,PCIe_register,SPI bus</t>
  </si>
  <si>
    <t>iTouch,touch panel</t>
  </si>
  <si>
    <t>CSS-IVE-97231</t>
  </si>
  <si>
    <t>Verify ISH device ID"s are displayed in EFI Log</t>
  </si>
  <si>
    <t>ISH,UEFI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</si>
  <si>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</si>
  <si>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</si>
  <si>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</si>
  <si>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</si>
  <si>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</si>
  <si>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</si>
  <si>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G3-State,S-states</t>
  </si>
  <si>
    <t>CSS-IVE-99275</t>
  </si>
  <si>
    <t>Validate USB3.1 Gen2 device functionality with pre and post Sx cycles over USB3.0 Type-A port</t>
  </si>
  <si>
    <t>S-states,TBT_PD_EC_NA,USB/XHCI ports,USB3.1</t>
  </si>
  <si>
    <t>USB 3.0,USB/XHCI ports</t>
  </si>
  <si>
    <t>CSS-IVE-99296</t>
  </si>
  <si>
    <t>Verify USB3.1 gen2 device enumeration as SuperSpeed+ device over USB3.0 Type-A port</t>
  </si>
  <si>
    <t>bios.pch,fw.ifwi.pchc</t>
  </si>
  <si>
    <t>CSS-IVE-99297</t>
  </si>
  <si>
    <t>Validate USB3.1 gen2 device functionality before/after C-MoS state over USB3.1 Type-A port</t>
  </si>
  <si>
    <t>MoS (Modern Standby),TBT_PD_EC_NA,USB/XHCI ports,USB3.1</t>
  </si>
  <si>
    <t>MoS(Modern Standby),USB/XHCI ports,USB3.1</t>
  </si>
  <si>
    <t>CSS-IVE-99298</t>
  </si>
  <si>
    <t>Verify System trace via BSSB interface over Type-A port</t>
  </si>
  <si>
    <t>debug interfaces,NPK,USB/XHCI ports,USB3.0</t>
  </si>
  <si>
    <t>CSS-IVE-99314</t>
  </si>
  <si>
    <t>[TBT] Verify Reservation of memory resources for Thunderbolt Support</t>
  </si>
  <si>
    <t>iTBT</t>
  </si>
  <si>
    <t>CSS-IVE-99395</t>
  </si>
  <si>
    <t>Verify system stability on performing Sx cycles with "Driver Verifier Options" enabled in OS</t>
  </si>
  <si>
    <t>bios.platform,fw.ifwi.pmc</t>
  </si>
  <si>
    <t>CSS-IVE-99403</t>
  </si>
  <si>
    <t>Verify USB Host - SCSI Protocol (UASP) Support</t>
  </si>
  <si>
    <t>bios.platform,bios.sa,fw.ifwi.MGPhy,fw.ifwi.dekelPhy,fw.ifwi.iom,fw.ifwi.pmc,fw.ifwi.tbt</t>
  </si>
  <si>
    <t>TCSS,USB/XHCI ports,USB3.1,USB-TypeC</t>
  </si>
  <si>
    <t>USB 3.1 Gen 1,USB-TypeC</t>
  </si>
  <si>
    <t>CSS-IVE-99494</t>
  </si>
  <si>
    <t>Verify SUT wake from S3,S4 using Type-C dock connected over Discrete Type-C port</t>
  </si>
  <si>
    <t>Docking support,S-states,TBT_PD_EC_NA,TCSS,USB-TypeC</t>
  </si>
  <si>
    <t>Docking support,S-states,TCSS,USB-TypeC</t>
  </si>
  <si>
    <t>CSS-IVE-99963</t>
  </si>
  <si>
    <t>Verify display turns off post reaching RTC time limit</t>
  </si>
  <si>
    <t>bios.platform,fw.ifwi.others</t>
  </si>
  <si>
    <t>Display Panels,RTC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</si>
  <si>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</si>
  <si>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</si>
  <si>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</si>
  <si>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</si>
  <si>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</si>
  <si>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</si>
  <si>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Display Panels,iTBT,TBT,TBT_PD_EC_NA,TCSS</t>
  </si>
  <si>
    <t>CSS-IVE-84581</t>
  </si>
  <si>
    <t>[TBT] Verify SUT wake from S3/S4 using USB Mouse over TBT connector</t>
  </si>
  <si>
    <t>iTBT,S-states,TBT,TBT_IOMMU,TBT_PD_EC_NA,TCSS</t>
  </si>
  <si>
    <t>USB-TypeC</t>
  </si>
  <si>
    <t>CSS-IVE-84622</t>
  </si>
  <si>
    <t>[TBT] Verify functionality of TBT device after power interrupts (Reset / G3)</t>
  </si>
  <si>
    <t>Display Panels,iTBT,S-states,TBT,TBT_PD_EC_NA,TCSS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</si>
  <si>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</si>
  <si>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</si>
  <si>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</si>
  <si>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</si>
  <si>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Docking support,S-states,TBT,TBT_PD_EC_NA,TCSS,USB3.1</t>
  </si>
  <si>
    <t>Docking support,S-states,USB 3.1 Gen 1</t>
  </si>
  <si>
    <t>CSS-IVE-86872</t>
  </si>
  <si>
    <t>Verify TBT Peer to Peer functionality before/after Sx and reboot cycles</t>
  </si>
  <si>
    <t>iTBT,S-states,TBT,TBT_PD_EC_NA,TCSS</t>
  </si>
  <si>
    <t>S-states,TBT P2P</t>
  </si>
  <si>
    <t>CSS-IVE-86874</t>
  </si>
  <si>
    <t>Verify TBT-External Graphics functionality with integrated graphics after Sx and reboot cycles</t>
  </si>
  <si>
    <t>S-states,TBT,TBT Ext GFX,iTBT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</si>
  <si>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</si>
  <si>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</si>
  <si>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</si>
  <si>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</si>
  <si>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</si>
  <si>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</si>
  <si>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TBT,TBT P2P,iTBT</t>
  </si>
  <si>
    <t>CSS-IVE-86876</t>
  </si>
  <si>
    <t>Verify TBT Peer to Peer functionality (Connected via TBT devices) before/after Sx and reboot cycles</t>
  </si>
  <si>
    <t>S-states,TBT,TBT P2P,iTBT</t>
  </si>
  <si>
    <t>CSS-IVE-86877</t>
  </si>
  <si>
    <t>Verify TBT Display functionality with Stress and along with non-TBT devices Cross Concurrency</t>
  </si>
  <si>
    <t>SDXC,TBT,USB-TypeC</t>
  </si>
  <si>
    <t>CSS-IVE-86879</t>
  </si>
  <si>
    <t>Verify TBT Daisy chain functionality along with non-TBT devices Cross Concurrency</t>
  </si>
  <si>
    <t>Display Panels,iTBT,TBT,TBT_IOMMU,TBT_PD_EC_NA,TCSS</t>
  </si>
  <si>
    <t>TBT,USB-TypeC,iTBT</t>
  </si>
  <si>
    <t>CSS-IVE-86980</t>
  </si>
  <si>
    <t>[TBT] Verify TBT-Dock hot-plug functionality (Connected with non-TBT devices)</t>
  </si>
  <si>
    <t>Display Panels,Docking support,iTBT,TBT,TBT_IOMMU,TBT_PD_EC_NA,TCSS</t>
  </si>
  <si>
    <t>Docking support,TBT,TCSS,iTBT</t>
  </si>
  <si>
    <t>CSS-IVE-86986</t>
  </si>
  <si>
    <t>Verify TBT-External Graphics functionality with Integrated Graphics along with non-TBT devices Cross Concurrency</t>
  </si>
  <si>
    <t>ext.Gfx,iTBT,TBT,TBT_PD_EC_NA,TCSS</t>
  </si>
  <si>
    <t>TBT,TBT Ext GFX,iTBT</t>
  </si>
  <si>
    <t>CSS-IVE-86993</t>
  </si>
  <si>
    <t>Verify hot-plug functionality of TBT device between S4 and resume phases</t>
  </si>
  <si>
    <t>Display Panels,iTBT,S-states,TBT,TBT_IOMMU,TCSS</t>
  </si>
  <si>
    <t>CSS-IVE-84578</t>
  </si>
  <si>
    <t>Verify USB 3.0 Device functionality in Host Router before/after Sx Cycles</t>
  </si>
  <si>
    <t>iTBT,S-states,TBT,TBT_PD_EC_NA,TCSS,USB3.0</t>
  </si>
  <si>
    <t>S-states,TBT,USB 3.1 Gen 1,USB-TypeC</t>
  </si>
  <si>
    <t>CSS-IVE-84735</t>
  </si>
  <si>
    <t>[TBT] Verify USB 2.0 Device functionality in End Point, before/after Sx cycles</t>
  </si>
  <si>
    <t>Docking support,iTBT,S-states,TBT,TBT_PD_EC_NA,TCSS,USB2.0</t>
  </si>
  <si>
    <t>CSS-IVE-86870</t>
  </si>
  <si>
    <t>Verify TBT Peer to Peer hot-plug functionality (Connected via TBT devices)</t>
  </si>
  <si>
    <t>TBT P2P</t>
  </si>
  <si>
    <t>CSS-IVE-86878</t>
  </si>
  <si>
    <t>Verify TBT Daisy chain functionality after Sx and reboot cycles</t>
  </si>
  <si>
    <t>Display Panels,iTBT,S-states,TBT,TBT_IOMMU,TBT_PD_EC_NA,TCSS</t>
  </si>
  <si>
    <t>CSS-IVE-86979</t>
  </si>
  <si>
    <t>Verify TBT-Dock functionality after S4,S5 and reboot cycles (Connected with multiple TBT devices)</t>
  </si>
  <si>
    <t>Docking support,iTBT,S-states,TBT,TBT_PD_EC_NA,TCSS</t>
  </si>
  <si>
    <t>TBT,TCSS,iTBT</t>
  </si>
  <si>
    <t>CSS-IVE-86984</t>
  </si>
  <si>
    <t>Verify TBT Daisy chain functionality with 5 Storage</t>
  </si>
  <si>
    <t>CSS-IVE-86884</t>
  </si>
  <si>
    <t>[TBT] Verify TBT-Dock functionality after Sx (S3,S4,S5) and reboot cycle (Connected with non-TBT devices)</t>
  </si>
  <si>
    <t>Docking support,iTBT,S-states,TBT,TCSS</t>
  </si>
  <si>
    <t>CSS-IVE-86987</t>
  </si>
  <si>
    <t>Verify Client SUT Battery charging via TBT port (Producer Mode)</t>
  </si>
  <si>
    <t>iTBT,Real Battery Management,TBT,TCSS</t>
  </si>
  <si>
    <t>Real Battery Management,TBT,USB PD,iTBT</t>
  </si>
  <si>
    <t>CSS-IVE-87030</t>
  </si>
  <si>
    <t>[TBT] Verify TBT Tree functionality connected with 2 TBT port after Sx and reboot cycle</t>
  </si>
  <si>
    <t>Docking support,S-states,TBT,iTBT</t>
  </si>
  <si>
    <t>CSS-IVE-87032</t>
  </si>
  <si>
    <t>[TBT] Verify TBT Display functionality in Tunnel Mode and at boot menu with GOP</t>
  </si>
  <si>
    <t>Display Panels,iTBT,Pre-OS display,TBT,TBT_PD_EC_NA,TCSS</t>
  </si>
  <si>
    <t>CSS-IVE-86869</t>
  </si>
  <si>
    <t>[TBT] Verify USB 3.0 Device functionality in End point, before/after Sx Cycles</t>
  </si>
  <si>
    <t>Docking support,iTBT,S-states,TBT,TBT_PD_EC_NA,TCSS,USB3.0</t>
  </si>
  <si>
    <t>Docking support,TBT,USB 3.1 Gen 1,iTBT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</si>
  <si>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</si>
  <si>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</si>
  <si>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</si>
  <si>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</si>
  <si>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iTBT,TBT,TBT_IOMMU,TBT_PD_EC_NA,TCSS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</si>
  <si>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</si>
  <si>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</si>
  <si>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</si>
  <si>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</si>
  <si>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Display Panels,Docking support,iTBT,TBT,TBT_PD_EC_NA,TCSS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</si>
  <si>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</si>
  <si>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</si>
  <si>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</si>
  <si>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</si>
  <si>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</si>
  <si>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</si>
  <si>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</si>
  <si>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</si>
  <si>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</si>
  <si>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- DRP, TBT P2P, TBT SSD with before/after Sx and reboot cycles</t>
  </si>
  <si>
    <t>iTBT,S-states,TBT,TBT_PD_EC_NA,TCSS,USB-TypeC</t>
  </si>
  <si>
    <t>Real Battery Management,S-states,XDCI,iTBT</t>
  </si>
  <si>
    <t>CSS-IVE-100056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</si>
  <si>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</si>
  <si>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</si>
  <si>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</si>
  <si>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S-states,TBT,iTBT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</si>
  <si>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</si>
  <si>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</si>
  <si>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</si>
  <si>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</si>
  <si>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</si>
  <si>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</si>
  <si>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Display Panels,S-states,TBT_PD_EC_NA,TCSS,USB/XHCI ports,USB2.0,USB3.0,USB-TypeC</t>
  </si>
  <si>
    <t>DP-Display,USB 3.1 Gen 1,USB-TypeC</t>
  </si>
  <si>
    <t>CSS-IVE-100961</t>
  </si>
  <si>
    <t>Verify Concurrent functionality of Legacy USB and HDMI Display over Type-C and device connected when SUT is in Sx (S3,S4,S5)_x000D_
 state</t>
  </si>
  <si>
    <t>HDMI,USB 3.1 Gen 1,USB-TypeC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</si>
  <si>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</si>
  <si>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</si>
  <si>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</si>
  <si>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</si>
  <si>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Display Panels,S0ix-states,S-states,TBT_PD_EC_NA,TCSS,USB-TypeC</t>
  </si>
  <si>
    <t>Display Panels,S-states,USB-TypeC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</si>
  <si>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</si>
  <si>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</si>
  <si>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</si>
  <si>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</si>
  <si>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</si>
  <si>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</si>
  <si>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CPU-Straps,S-states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</si>
  <si>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</si>
  <si>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</si>
  <si>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</si>
  <si>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</si>
  <si>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DP-Display,MoS(Modern Standby),USB 3.1 Gen 1,USB-TypeC</t>
  </si>
  <si>
    <t>CSS-IVE-101069</t>
  </si>
  <si>
    <t>Verify Type-C Concurrent support of HDMI Display and USB2, device connected when SUT is in Connected Modern Standby states</t>
  </si>
  <si>
    <t>Display Panels,MoS (Modern Standby),TBT_PD_EC_NA,TCSS,USB2.0,USB-TypeC</t>
  </si>
  <si>
    <t>HDMI,MoS(Modern Standby),USB 2.0,USB-TypeC</t>
  </si>
  <si>
    <t>CSS-IVE-101106</t>
  </si>
  <si>
    <t>Verify Type-C Concurrent support of x4 DP and High Speed before/after Sx and Reboot Cycles(S3,S4,S5)</t>
  </si>
  <si>
    <t>Display Panels,EC-Lite,S-states,TBT_PD_EC_NA,TCSS,USB2.0,USB-TypeC</t>
  </si>
  <si>
    <t>DP-Display,S-states,USB 2.0</t>
  </si>
  <si>
    <t>CSS-IVE-101051</t>
  </si>
  <si>
    <t>Verify Type-C Concurrent support of x2 DP and Super Speed Functionality on Clod-plug</t>
  </si>
  <si>
    <t>Display Panels,EC-Lite,TBT_PD_EC_NA,TCSS,USB3.0,USB-TypeC</t>
  </si>
  <si>
    <t>DP-Display,USB 3.0,USB-TypeC</t>
  </si>
  <si>
    <t>CSS-IVE-101062</t>
  </si>
  <si>
    <t>Verify Type-C Concurrent support of HDMI Display and USB3, device connected when SUT is in Deep Sx state</t>
  </si>
  <si>
    <t>DeepSX,Display Panels,TBT_PD_EC_NA,TCSS,USB3.0,USB-TypeC</t>
  </si>
  <si>
    <t>DeepSx,HDMI,USB 3.1 Gen 1,USB-TypeC</t>
  </si>
  <si>
    <t>CSS-IVE-101113</t>
  </si>
  <si>
    <t>Verify Type-C Concurrent support of x4 DP and High Speed Device Functionality before and after Connected Modern Standby states</t>
  </si>
  <si>
    <t>DP-Display,MoS(Modern Standby),USB 2.0,USB-TypeC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</si>
  <si>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</si>
  <si>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</si>
  <si>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</si>
  <si>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</si>
  <si>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</si>
  <si>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</si>
  <si>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HDMI,MoS(Modern Standby),USB 3.1 Gen 1</t>
  </si>
  <si>
    <t>CSS-IVE-101114</t>
  </si>
  <si>
    <t>Verify x4 DP display over Type-C on multiple hot plugs + secondary screen mode</t>
  </si>
  <si>
    <t>Display Panels,EC-Lite,TBT_PD_EC_NA,TCSS,USB-TypeC</t>
  </si>
  <si>
    <t>DP-Display,Display Panels,TCSS,USB-TypeC</t>
  </si>
  <si>
    <t>CSS-IVE-101045</t>
  </si>
  <si>
    <t>Verify Type-C Concurrent support of x2 DP and USB3 before/after Sx (S3,S4,S5) and Reboot Cycles</t>
  </si>
  <si>
    <t>Display Panels,EC-Lite,S-states,TBT_IOMMU,TBT_PD_EC_NA,TCSS,USB3.0,USB-TypeC</t>
  </si>
  <si>
    <t>DP-Display,S-states,USB 3.1 Gen 1</t>
  </si>
  <si>
    <t>CSS-IVE-101063</t>
  </si>
  <si>
    <t>Verify Type-C HDMI Display multiple hot plugs + secondary screen mode</t>
  </si>
  <si>
    <t>Display Panels,TBT_PD_EC_NA,TCSS,USB-TypeC</t>
  </si>
  <si>
    <t>HDMI,USB-TypeC</t>
  </si>
  <si>
    <t>CSS-IVE-101095</t>
  </si>
  <si>
    <t>Verify Type-C Concurrent support of HDMI Display and USB2, device connected when SUT is in Sx (S3,S4,S5) state</t>
  </si>
  <si>
    <t>Display Panels,S-states,TBT_IOMMU,TBT_PD_EC_NA,TCSS,USB2.0,USB-TypeC</t>
  </si>
  <si>
    <t>HDMI,S-states,USB 2.0</t>
  </si>
  <si>
    <t>CSS-IVE-101102</t>
  </si>
  <si>
    <t>Verify Type-C Concurrent support of HDMI Display and USB3 before/after Sx (S3,S4,S5) and Reboot Cycles</t>
  </si>
  <si>
    <t>HDMI,S-states,USB 3.1 Gen 1</t>
  </si>
  <si>
    <t>CSS-IVE-101109</t>
  </si>
  <si>
    <t>Verify Type-C Concurrent support of HDMI Display and USB2 before and after Connected Modern Standby states</t>
  </si>
  <si>
    <t>HDMI,MoS(Modern Standby),USB 2.0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</si>
  <si>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</si>
  <si>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</si>
  <si>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</si>
  <si>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</si>
  <si>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DP-Display,MoS(Modern Standby),USB 2.0</t>
  </si>
  <si>
    <t>CSS-IVE-101058</t>
  </si>
  <si>
    <t>Verify x4 DP display over Type-C in clone/duplicate mode after cold and warm boot</t>
  </si>
  <si>
    <t>Display Panels,EC-Lite,S-states,TBT_PD_EC_NA,TCSS,USB-TypeC</t>
  </si>
  <si>
    <t>DP-Display,S-states,USB-TypeC</t>
  </si>
  <si>
    <t>CSS-IVE-101042</t>
  </si>
  <si>
    <t>Verify Type-C Concurrent support of x4 DP ( clone mode ) and High Speed on Hot-plug</t>
  </si>
  <si>
    <t>Display Panels,EC-Lite,TBT_PD_EC_NA,TCSS,USB2.0,USB-TypeC</t>
  </si>
  <si>
    <t>DP-Display,USB 2.0,USB-TypeC</t>
  </si>
  <si>
    <t>CSS-IVE-101047</t>
  </si>
  <si>
    <t>Verify Type-C Concurrent support of x4 DP and High Speed on Hot-Plug device after Sx (S3,S4,S5) and Reboot Cycles</t>
  </si>
  <si>
    <t>Display Panels,EC-Lite,S-states,TBT_IOMMU,TBT_PD_EC_NA,TCSS,USB2.0,USB-TypeC</t>
  </si>
  <si>
    <t>DP-Display,S-states,USB 2.0,USB-TypeC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</si>
  <si>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</si>
  <si>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</si>
  <si>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</si>
  <si>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</si>
  <si>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DP-Display,S-states,USB 3.1 Gen 1,USB-TypeC</t>
  </si>
  <si>
    <t>CSS-IVE-101065</t>
  </si>
  <si>
    <t>Verify Type-C Concurrent support of HDMI Display and USB2 before/after Sx (S3,S4,S5)
 and Reboot Cycles</t>
  </si>
  <si>
    <t>HDMI,S-states,USB 2.0,USB-TypeC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</si>
  <si>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</si>
  <si>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</si>
  <si>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</si>
  <si>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</si>
  <si>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</si>
  <si>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</si>
  <si>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</si>
  <si>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</si>
  <si>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</si>
  <si>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</si>
  <si>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Display Panels,TBT_PD_EC_NA,TCSS,USB3.0,USB-TypeC</t>
  </si>
  <si>
    <t>CSS-IVE-101108</t>
  </si>
  <si>
    <t>Verify Type-C Concurrent support of HDMI Display and USB2 before/after Deep Sx and Reboot Cycles</t>
  </si>
  <si>
    <t>DeepSX,Display Panels,TBT_PD_EC_NA,TCSS,USB2.0,USB-TypeC</t>
  </si>
  <si>
    <t>DeepSx,HDMI,USB 2.0,USB-TypeC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</si>
  <si>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</si>
  <si>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</si>
  <si>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</si>
  <si>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</si>
  <si>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</si>
  <si>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</si>
  <si>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Display Panels,TBT_PD_EC_NA,TCSS,USB2.0,USB-TypeC</t>
  </si>
  <si>
    <t>Display Panels,TCSS,USB-TypeC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</si>
  <si>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</si>
  <si>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</si>
  <si>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</si>
  <si>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</si>
  <si>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</si>
  <si>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</si>
  <si>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Display Panels,EC-Lite,S-states,TBT_PD_EC_NA,TCSS,USB3.0,USB-TypeC</t>
  </si>
  <si>
    <t>CSS-IVE-101066</t>
  </si>
  <si>
    <t>Verify Type-C Concurrent support of HDMI Display and USB2 on Clod-plug</t>
  </si>
  <si>
    <t>HDMI,USB 2.0,USB-TypeC</t>
  </si>
  <si>
    <t>CSS-IVE-101098</t>
  </si>
  <si>
    <t>Verify Type-C Concurrent support of HDMI Display and USB3, device connected when SUT is in Sx (S3,S4,S5) state</t>
  </si>
  <si>
    <t>HDMI,S-states,USB 3.1 Gen 1,USB-TypeC</t>
  </si>
  <si>
    <t>CSS-IVE-101112</t>
  </si>
  <si>
    <t>Verify RTD3 flow for CNVi BT Device</t>
  </si>
  <si>
    <t>CNVi,RTD3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</si>
  <si>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</si>
  <si>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</si>
  <si>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</si>
  <si>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</si>
  <si>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</si>
  <si>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</si>
  <si>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</si>
  <si>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</si>
  <si>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</si>
  <si>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</si>
  <si>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iTBT,TBT,TBT_PD_EC_NA,TCSS,USB2.0</t>
  </si>
  <si>
    <t>CSS-IVE-101265</t>
  </si>
  <si>
    <t>Verify CNVi Wi-Fi/BT do not enumerate in OS with CNVi option Disabled in BIOS</t>
  </si>
  <si>
    <t>CNVi</t>
  </si>
  <si>
    <t>CSS-IVE-101273</t>
  </si>
  <si>
    <t>Verify AET trace log capture through NPK</t>
  </si>
  <si>
    <t>debug interfaces,NPK,TBT_PD_EC_NA</t>
  </si>
  <si>
    <t>NPK,debug interfaces</t>
  </si>
  <si>
    <t>CSS-IVE-101301</t>
  </si>
  <si>
    <t>Verify Deep Sx LED Status</t>
  </si>
  <si>
    <t>DeepSX,Real Battery Management</t>
  </si>
  <si>
    <t>DeepSx,Real Battery Management</t>
  </si>
  <si>
    <t>CSS-IVE-101353</t>
  </si>
  <si>
    <t>Verify Package C10 Residency post Hibernation</t>
  </si>
  <si>
    <t>C-States,MoS (Modern Standby),Real Battery Management,S0ix-states,S-states</t>
  </si>
  <si>
    <t>C-States,MoS(Modern Standby),Real Battery Management,S-states,S0ix-states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</si>
  <si>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</si>
  <si>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</si>
  <si>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</si>
  <si>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</si>
  <si>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Display Panels,TBT,iTBT</t>
  </si>
  <si>
    <t>CSS-IVE-101420</t>
  </si>
  <si>
    <t>Verify multiple display output functionality over different Type-C/TBT port after Sx and reboot cycles - DP, HDMI display</t>
  </si>
  <si>
    <t>DP-Display,HDMI,TBT,iTBT</t>
  </si>
  <si>
    <t>CSS-IVE-101427</t>
  </si>
  <si>
    <t>[TBT] Verify multiple display output when displays connected with 2nd TBT controller / different TBT Port on Hot plug - TBT, HDMI Display</t>
  </si>
  <si>
    <t>Display Panels,HDMI,iTBT</t>
  </si>
  <si>
    <t>CSS-IVE-101439</t>
  </si>
  <si>
    <t>[TBT] Verify multiple display output when displays connected with 2nd TBT controller / different TBT Port after Sx and reboot cycles - TBT, Type-C Display</t>
  </si>
  <si>
    <t>Display Panels,iTBT</t>
  </si>
  <si>
    <t>CSS-IVE-101451</t>
  </si>
  <si>
    <t>[TBT] Verify multiple display output when displays connected with dual TBT controller on Hot plug - TBT, DP display</t>
  </si>
  <si>
    <t>bios.platform,bios.sa,fw.ifwi.MGPhy,fw.ifwi.dekelPhy,fw.ifwi.iom,fw.ifwi.nphy,fw.ifwi.pmc,fw.ifwi.sphy,fw.ifwi.tbt</t>
  </si>
  <si>
    <t>DP-Display,Display Panels,iTBT</t>
  </si>
  <si>
    <t>CSS-IVE-101458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</si>
  <si>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</si>
  <si>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</si>
  <si>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</si>
  <si>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DP-Display,Display Panels,HDMI,iTBT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</si>
  <si>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</si>
  <si>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</si>
  <si>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</si>
  <si>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</si>
  <si>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</si>
  <si>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</si>
  <si>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iTBT,S-states,TBT,TBT_IOMMU,TBT_PD_EC_NA,TCSS,USB3.1</t>
  </si>
  <si>
    <t>USB 3.2 2x1,iTBT</t>
  </si>
  <si>
    <t>CSS-IVE-101376</t>
  </si>
  <si>
    <t>Verify Type-C multi port functionality - WinDBG,TBT-Display,TBT-SSD, TBT-Dock before/after Sx (S3,S4,S5) and reboot state</t>
  </si>
  <si>
    <t>debug interfaces,Display Panels,Docking support,iTBT,S-states,TBT,TBT_IOMMU,TBT_PD_EC_NA,TCSS,USB2.0,USB3.0,USB-TypeC</t>
  </si>
  <si>
    <t>Docking support,S-states,Windbg,iTBT</t>
  </si>
  <si>
    <t>CSS-IVE-101387</t>
  </si>
  <si>
    <t>Verify Dual Controller Support - USB3.0/USB3.1 Gen1 storage functionality on Hot-Plug</t>
  </si>
  <si>
    <t>iTBT,TBT,TBT_PD_EC_NA,TCSS,USB3.0</t>
  </si>
  <si>
    <t>CSS-IVE-101374</t>
  </si>
  <si>
    <t>Verify Type-C multi port functionality - WinDBG,TBT-Display,TBT-SSD, TBT-Dock on Cold Plug</t>
  </si>
  <si>
    <t>Docking support,Windbg,iTBT</t>
  </si>
  <si>
    <t>CSS-IVE-101385</t>
  </si>
  <si>
    <t>Verify multiple display output functionality over different Type-C/TBT port on Cold plug - TBT, HDMI Display</t>
  </si>
  <si>
    <t>HDMI,TBT,USB-TypeC,iTBT</t>
  </si>
  <si>
    <t>CSS-IVE-101406</t>
  </si>
  <si>
    <t>Verify multiple display output functionality over same Type-C/TBT port on Cold plug - Dual HDMI display</t>
  </si>
  <si>
    <t>HDMI,TBT,iTBT</t>
  </si>
  <si>
    <t>CSS-IVE-101411</t>
  </si>
  <si>
    <t>Verify multiple display output functionality over same Type-C/TBT port on Hot plug - Dual DP display</t>
  </si>
  <si>
    <t>DP-Display,TBT,iTBT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</si>
  <si>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</si>
  <si>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</si>
  <si>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</si>
  <si>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</si>
  <si>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</si>
  <si>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</si>
  <si>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</si>
  <si>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</si>
  <si>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DP-Display,HDMI,iTBT</t>
  </si>
  <si>
    <t>CSS-IVE-101442</t>
  </si>
  <si>
    <t>Verify multiple display output when displays connected with 2nd TBT controller / different TBT Port on Hot plug - TBT, Type-C Display</t>
  </si>
  <si>
    <t>Display Panels,USB-TypeC,iTBT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</si>
  <si>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</si>
  <si>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</si>
  <si>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</si>
  <si>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</si>
  <si>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</si>
  <si>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multiple display output when displays connected with dual TBT controller on Cold plug - TBT, Type-C Display</t>
  </si>
  <si>
    <t>CSS-IVE-101464</t>
  </si>
  <si>
    <t>Verify multiple display output when displays connected with dual TBT controller after Sx and reboot cycles - TBT, VGA Display</t>
  </si>
  <si>
    <t>CSS-IVE-101469</t>
  </si>
  <si>
    <t>Verify USB2 DbC Functionality in low power state</t>
  </si>
  <si>
    <t>debug interfaces,NPK,S-states,TBT_PD_EC_NA,USB2.0</t>
  </si>
  <si>
    <t>CSS-IVE-101317</t>
  </si>
  <si>
    <t>Verify Dual Controller Support - USB3.0/USB3.1 Gen1 storage functionality after cold boot</t>
  </si>
  <si>
    <t>USB 3.1 Gen 1,USB-TypeC,iTBT</t>
  </si>
  <si>
    <t>CSS-IVE-101372</t>
  </si>
  <si>
    <t>Verify Dual Controller Support - USB3.1 Gen2 storage functionality on Hot-Plug</t>
  </si>
  <si>
    <t>iTBT,TBT,TBT_PD_EC_NA,TCSS,USB3.1</t>
  </si>
  <si>
    <t>USB 3.1 Gen 2,USB-TypeC,iTBT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</si>
  <si>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</si>
  <si>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</si>
  <si>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</si>
  <si>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</si>
  <si>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</si>
  <si>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</si>
  <si>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</si>
  <si>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</si>
  <si>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</si>
  <si>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</si>
  <si>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</si>
  <si>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</si>
  <si>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</si>
  <si>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</si>
  <si>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HDMI,iTBT</t>
  </si>
  <si>
    <t>CSS-IVE-101447</t>
  </si>
  <si>
    <t>Verify multiple display output when displays connected with dual TBT controller on Cold plug - TBT, DP display</t>
  </si>
  <si>
    <t>DP-Display,iTBT</t>
  </si>
  <si>
    <t>CSS-IVE-101452</t>
  </si>
  <si>
    <t>Verify multiple display output when displays connected with dual TBT controller on Cold plug - TBT, HDMI Display</t>
  </si>
  <si>
    <t>CSS-IVE-101454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</si>
  <si>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</si>
  <si>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</si>
  <si>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</si>
  <si>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iTBT,S-states,TBT,TBT_IOMMU,TBT_PD_EC_NA,TCSS,USB3.0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</si>
  <si>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</si>
  <si>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</si>
  <si>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</si>
  <si>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</si>
  <si>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</si>
  <si>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</si>
  <si>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</si>
  <si>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</si>
  <si>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</si>
  <si>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</si>
  <si>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</si>
  <si>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</si>
  <si>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</si>
  <si>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</si>
  <si>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</si>
  <si>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</si>
  <si>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</si>
  <si>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</si>
  <si>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</si>
  <si>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</si>
  <si>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</si>
  <si>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</si>
  <si>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HDMI,S-states,iTBT</t>
  </si>
  <si>
    <t>CSS-IVE-101468</t>
  </si>
  <si>
    <t>Verify Dual Controller Support - USB2.0 Disk functionality after Sx and reboot cycles</t>
  </si>
  <si>
    <t>iTBT,S-states,TBT,TBT_IOMMU,TBT_PD_EC_NA,TCSS,USB2.0</t>
  </si>
  <si>
    <t>USB 2.0,USB-TypeC,iTBT</t>
  </si>
  <si>
    <t>CSS-IVE-101370</t>
  </si>
  <si>
    <t>Verify Dual Controller Support - USB3.1 Gen2 storage functionality after cold boot</t>
  </si>
  <si>
    <t>USB 3.1 Gen 2,USB 3.2 2x1,USB-TypeC,iTBT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</si>
  <si>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</si>
  <si>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</si>
  <si>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</si>
  <si>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</si>
  <si>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</si>
  <si>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</si>
  <si>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</si>
  <si>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</si>
  <si>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</si>
  <si>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</si>
  <si>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</si>
  <si>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</si>
  <si>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</si>
  <si>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</si>
  <si>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DP-Display,S-states,iTBT</t>
  </si>
  <si>
    <t>CSS-IVE-101445</t>
  </si>
  <si>
    <t>Verify multiple display output when displays connected with 2nd TBT controller / different TBT Port after S4, S5 and reboot cycles - DP, HDMI display</t>
  </si>
  <si>
    <t>DP-Display,HDMI,S-states,iTBT</t>
  </si>
  <si>
    <t>CSS-IVE-101450</t>
  </si>
  <si>
    <t>Verify multiple display output when displays connected with dual TBT controller on Cold plug - DP, HDMI display</t>
  </si>
  <si>
    <t>CSS-IVE-101457</t>
  </si>
  <si>
    <t>Verify multiple display output when displays connected with dual TBT controller on Hot plug - 2 TBT Displays</t>
  </si>
  <si>
    <t>CSS-IVE-101462</t>
  </si>
  <si>
    <t>Verify multiple display output when displays connected with dual TBT controller on Hot plug - TBT, Type-C Display</t>
  </si>
  <si>
    <t>CSS-IVE-101465</t>
  </si>
  <si>
    <t>Verify multiple display output when displays connected with dual TBT controller after S4, S5 and warm reboot cycles - 2 TBT Displays</t>
  </si>
  <si>
    <t>S-states,iTBT</t>
  </si>
  <si>
    <t>CSS-IVE-101470</t>
  </si>
  <si>
    <t>Verify Type-C multi port functionality - WinDBG,TBT-Display,TBT-SSD, TBT-Dock on Hot Plug</t>
  </si>
  <si>
    <t>debug interfaces,Display Panels,Docking support,iTBT,TBT,TBT_IOMMU,TBT_PD_EC_NA,TCSS,USB-TypeC</t>
  </si>
  <si>
    <t>CSS-IVE-101386</t>
  </si>
  <si>
    <t>Verify SMBIOS 3.0 Support</t>
  </si>
  <si>
    <t>SMBIOS,UEFI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</si>
  <si>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</si>
  <si>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</si>
  <si>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</si>
  <si>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</si>
  <si>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</si>
  <si>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</si>
  <si>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</si>
  <si>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</si>
  <si>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</si>
  <si>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</si>
  <si>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</si>
  <si>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</si>
  <si>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</si>
  <si>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ISH Sensor Functionality pre and post S3 cycle - Altimeter</t>
  </si>
  <si>
    <t>bios.pch,bios.platform,fw.ifwi.ish</t>
  </si>
  <si>
    <t>ISH,S-states</t>
  </si>
  <si>
    <t>CSS-IVE-102207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</si>
  <si>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</si>
  <si>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</si>
  <si>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</si>
  <si>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</si>
  <si>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</si>
  <si>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bios.pch,fw.ifwi.bios,fw.ifwi.ec</t>
  </si>
  <si>
    <t>Real Battery Management,USB-TypeC</t>
  </si>
  <si>
    <t>CSS-IVE-102296</t>
  </si>
  <si>
    <t>Verify Charging Priority after S3</t>
  </si>
  <si>
    <t>Real Battery Management,USB PD</t>
  </si>
  <si>
    <t>CSS-IVE-102309</t>
  </si>
  <si>
    <t>Verify RTD3 flow support for XDCI controller</t>
  </si>
  <si>
    <t>RTD3,XDCI</t>
  </si>
  <si>
    <t>CSS-IVE-102434</t>
  </si>
  <si>
    <t>Verify RTD3 flow support for USB pendrive connected over USB3.0 port</t>
  </si>
  <si>
    <t>RTD3,USB3.0</t>
  </si>
  <si>
    <t>RTD3,USB 3.0</t>
  </si>
  <si>
    <t>CSS-IVE-102442</t>
  </si>
  <si>
    <t>Verify Connect/Disconnect Wi-Fi Hotspot in OS</t>
  </si>
  <si>
    <t>CNVi,discrete WiFi/BT,WiFi</t>
  </si>
  <si>
    <t>CNVi,UEFI,discrete WiFi/BT</t>
  </si>
  <si>
    <t>CSS-IVE-102506</t>
  </si>
  <si>
    <t>Verify BIOS enables ISH Trunk Clock gating</t>
  </si>
  <si>
    <t>CSS-IVE-86380</t>
  </si>
  <si>
    <t>Verify ISH Sensor - Proximity Enumeration post S3 cycle</t>
  </si>
  <si>
    <t>CSS-IVE-103712</t>
  </si>
  <si>
    <t>Verify ISH Sensor - Proximity Enumeration post S4 cycle</t>
  </si>
  <si>
    <t>CSS-IVE-103713</t>
  </si>
  <si>
    <t>Verify ISH Sensor - Proximity Enumeration post S5 cycle</t>
  </si>
  <si>
    <t>CSS-IVE-103714</t>
  </si>
  <si>
    <t>ISH Sensor Functionality - Proximity</t>
  </si>
  <si>
    <t>CSS-IVE-103715</t>
  </si>
  <si>
    <t>ISH Sensor Functionality post S3 cycle - Proximity</t>
  </si>
  <si>
    <t>CSS-IVE-103716</t>
  </si>
  <si>
    <t>ISH Sensor Functionality post S4 cycle - Proximity</t>
  </si>
  <si>
    <t>CSS-IVE-103717</t>
  </si>
  <si>
    <t>ISH Sensor Functionality post S5 cycle - Proximity</t>
  </si>
  <si>
    <t>CSS-IVE-103718</t>
  </si>
  <si>
    <t>Verify SUT support Debug Trace log capture - Route traces to System Memory</t>
  </si>
  <si>
    <t>CSS-IVE-103720</t>
  </si>
  <si>
    <t>Verify System trace - Route traces to USB Type-C in low power mode</t>
  </si>
  <si>
    <t>bios.platform,fw.ifwi.pchc,fw.ifwi.pmc</t>
  </si>
  <si>
    <t>debug interfaces,NPK,S-states,TBT_PD_EC_NA,TCSS,USB-TypeC</t>
  </si>
  <si>
    <t>NPK,S-states,TCSS,USB-TypeC,debug interfaces</t>
  </si>
  <si>
    <t>CSS-IVE-103777</t>
  </si>
  <si>
    <t>Verify USB3.1 DbC Functionality during and after BIOS boot</t>
  </si>
  <si>
    <t>debug interfaces,NPK,TCSS,USB3.0,USB-TypeC</t>
  </si>
  <si>
    <t>CSS-IVE-103778</t>
  </si>
  <si>
    <t>ISH Sensor Functionality pre and post Connected Standby (CMS) cycle - Ambient Light Sensor (ALS)</t>
  </si>
  <si>
    <t>ISH,MoS (Modern Standby)</t>
  </si>
  <si>
    <t>CM-States,ISH</t>
  </si>
  <si>
    <t>CSS-IVE-105396</t>
  </si>
  <si>
    <t>ISH Sensor Functionality pre and post Connected Standby (CMS) cycle - Accelerometer/3D Accelerometer</t>
  </si>
  <si>
    <t>CSS-IVE-105398</t>
  </si>
  <si>
    <t>ISH Sensor Functionality pre and post Connected Standby (CMS) cycle - Proximity</t>
  </si>
  <si>
    <t>CSS-IVE-105401</t>
  </si>
  <si>
    <t>ISH Sensor Functionality pre and post Connected Standby (CMS) cycle- Barometric Pressure</t>
  </si>
  <si>
    <t>CSS-IVE-105402</t>
  </si>
  <si>
    <t>Verify CNVi Bluetooth Enumeration in OS before / after Connected Standby (CMS) cycle</t>
  </si>
  <si>
    <t>CNVi,MoS (Modern Standby)</t>
  </si>
  <si>
    <t>CNVi,MoS(Modern Standby)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</si>
  <si>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</si>
  <si>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</si>
  <si>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</si>
  <si>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</si>
  <si>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</si>
  <si>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</si>
  <si>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I2C/USB touch pad,MoS (Modern Standby),TouchPad</t>
  </si>
  <si>
    <t>CM-States,I2C/USB touch pad,ISH,TouchPad</t>
  </si>
  <si>
    <t>CSS-IVE-105417</t>
  </si>
  <si>
    <t>ISH Sensor Functionality post Connected Standby (CMS) cycle - Magnetometer</t>
  </si>
  <si>
    <t>CSS-IVE-105426</t>
  </si>
  <si>
    <t>Validate concurrent support of Windbg debug and data transfer over Type-C port</t>
  </si>
  <si>
    <t>debug interfaces,TCSS,USB-TypeC</t>
  </si>
  <si>
    <t>TCSS,USB-TypeC,debug interfaces</t>
  </si>
  <si>
    <t>CSS-IVE-105530</t>
  </si>
  <si>
    <t>Validate concurrent support of Windbg and DbC debug trace over same Type-C port</t>
  </si>
  <si>
    <t>bios.platform,fw.ifwi.pchc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</si>
  <si>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</si>
  <si>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</si>
  <si>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</si>
  <si>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</si>
  <si>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NPK,TCSS,USB-TypeC,debug interfaces</t>
  </si>
  <si>
    <t>CSS-IVE-105534</t>
  </si>
  <si>
    <t>Verify USB3.2 Gen 2 device enumeration and functionality over USB2.0 Type-A port</t>
  </si>
  <si>
    <t>USB/XHCI ports,USB3.1,USB3.2</t>
  </si>
  <si>
    <t>CSS-IVE-105542</t>
  </si>
  <si>
    <t>Verify system shutdown/reboot via Hardware buttons on Modern standby enabled system</t>
  </si>
  <si>
    <t>MoS (Modern Standby),SLP_S0</t>
  </si>
  <si>
    <t>MoS(Modern Standby),SLP_S0</t>
  </si>
  <si>
    <t>CSS-IVE-105544</t>
  </si>
  <si>
    <t>Verify enable/disable USB controller in device manager</t>
  </si>
  <si>
    <t>TCSS,USB/XHCI ports,USB-TypeC</t>
  </si>
  <si>
    <t>USB-TypeC,USB/XHCI ports</t>
  </si>
  <si>
    <t>CSS-IVE-105546</t>
  </si>
  <si>
    <t>Verify USB device functionality by disable/enable USB Overcurrent option in BIOS across Sx (S3,S4,S5) and warm reboot cycle</t>
  </si>
  <si>
    <t>S-states,TCSS,USB2.0,USB3.0,USB3.1,USB-TypeC</t>
  </si>
  <si>
    <t>CSS-IVE-105551</t>
  </si>
  <si>
    <t>Verify TCSS D3Cold support when System is in AC and DC</t>
  </si>
  <si>
    <t>AC/DC toggling,D-States,Real Battery Management,RTD3,TBT_PD_EC_NA,TCSS,USB-TypeC</t>
  </si>
  <si>
    <t>AC/DC toggling,D-States,RTD3,Real Battery Management,TBT,TCSS,USB-TypeC</t>
  </si>
  <si>
    <t>CSS-IVE-105568</t>
  </si>
  <si>
    <t>Verify firmware Version Info (FVI) for Reference Code - CPU</t>
  </si>
  <si>
    <t>FVI</t>
  </si>
  <si>
    <t>CSS-IVE-105596</t>
  </si>
  <si>
    <t>BIOS shall hide the Intel MEI #4(HECI 4) prior to OS boot.</t>
  </si>
  <si>
    <t>manageability</t>
  </si>
  <si>
    <t>bios.me</t>
  </si>
  <si>
    <t>BIOS-Boot-Flows,CSE-BIOS HECI,debug interfaces</t>
  </si>
  <si>
    <t>CSS-IVE-105697</t>
  </si>
  <si>
    <t>Verify System wakes from C-MoS using USB-Mouse connected to USB Type-C port</t>
  </si>
  <si>
    <t>MoS (Modern Standby),TBT_PD_EC_NA,TCSS,USB-TypeC</t>
  </si>
  <si>
    <t>MoS(Modern Standby),USB-TypeC</t>
  </si>
  <si>
    <t>CSS-IVE-105831</t>
  </si>
  <si>
    <t>Verify BIOS should provide the options to enable/disable for PEP CSME PCI device and should pass all PEP Constraints</t>
  </si>
  <si>
    <t>CSE-BIOS HECI,CSE/TXE</t>
  </si>
  <si>
    <t>CSS-IVE-105859</t>
  </si>
  <si>
    <t>Verify SUT wakes from S3 using Bluetooth (BT Devices)</t>
  </si>
  <si>
    <t>CNVi,discrete WiFi/BT,S-states</t>
  </si>
  <si>
    <t>CNVi,S-states,discrete WiFi/BT</t>
  </si>
  <si>
    <t>CSS-IVE-105757</t>
  </si>
  <si>
    <t>Verify RTD3 support for NVME SSD</t>
  </si>
  <si>
    <t>D-States,Real Battery Management,RTD3</t>
  </si>
  <si>
    <t>D-States,RTD3,Real Battery Management</t>
  </si>
  <si>
    <t>CSS-IVE-108360</t>
  </si>
  <si>
    <t>Verify BIOS should support to enable PEP constrain on Gbe and should pass all PEP Constraints</t>
  </si>
  <si>
    <t>bios.cpu_pm,fw.ifwi.bios</t>
  </si>
  <si>
    <t>LAN</t>
  </si>
  <si>
    <t>CSS-IVE-108387</t>
  </si>
  <si>
    <t>Verify system stability on performing Deep S5 cycling with fast startup option enabled/disabled in OS with system in AC mode</t>
  </si>
  <si>
    <t>DeepSX</t>
  </si>
  <si>
    <t>DeepSx</t>
  </si>
  <si>
    <t>CSS-IVE-108419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</si>
  <si>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</si>
  <si>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</si>
  <si>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</si>
  <si>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</si>
  <si>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finger print sensor(FPS) Functionality Pre and Post Sx Cycle</t>
  </si>
  <si>
    <t>FPS/iFPS,S-states</t>
  </si>
  <si>
    <t>CSS-IVE-113693</t>
  </si>
  <si>
    <t>Verify functionality of finger print sensor after warm reboot cycles</t>
  </si>
  <si>
    <t>FPS/iFPS</t>
  </si>
  <si>
    <t>ISH,P-States</t>
  </si>
  <si>
    <t>CSS-IVE-113695</t>
  </si>
  <si>
    <t>Verify functionality of finger print sensor after CMS</t>
  </si>
  <si>
    <t>CM-States,FPS/iFPS,ISH</t>
  </si>
  <si>
    <t>CSS-IVE-113712</t>
  </si>
  <si>
    <t>Verify BIOS construct BERT ACPI table through SST tool</t>
  </si>
  <si>
    <t>ACPI,Crashlog,debug interfaces</t>
  </si>
  <si>
    <t>CSS-IVE-113717</t>
  </si>
  <si>
    <t>Verify SUT support Debug Trace log capture - System Telemetry for low power debug</t>
  </si>
  <si>
    <t>debug interfaces,NPK,S-states</t>
  </si>
  <si>
    <t>CSS-IVE-113713</t>
  </si>
  <si>
    <t>Verify USB2 DbC Functionality over Type-C Port in low power state</t>
  </si>
  <si>
    <t>debug interfaces,NPK,S-states,USB2.0</t>
  </si>
  <si>
    <t>NPK,USB 2.0,debug interfaces</t>
  </si>
  <si>
    <t>CSS-IVE-113643</t>
  </si>
  <si>
    <t>Verify USB3 DbC Functionality during and after BIOS boot using Type C</t>
  </si>
  <si>
    <t>debug interfaces,NPK,USB3.0</t>
  </si>
  <si>
    <t>CSS-IVE-113645</t>
  </si>
  <si>
    <t>Verify if SUT boots to UEFI when no other boot options available</t>
  </si>
  <si>
    <t>CSS-IVE-113839</t>
  </si>
  <si>
    <t>Verify Bios have option to Enable/Disable DAM</t>
  </si>
  <si>
    <t>CSE/TXE,debug interfaces,PMC</t>
  </si>
  <si>
    <t>CSE/TXE,PMC,debug interfaces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</si>
  <si>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</si>
  <si>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</si>
  <si>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</si>
  <si>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</si>
  <si>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</si>
  <si>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</si>
  <si>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BIOS Build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</si>
  <si>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</si>
  <si>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</si>
  <si>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</si>
  <si>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</si>
  <si>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LAN,MoS (Modern Standby),S0ix-states,USB3.0</t>
  </si>
  <si>
    <t>LAN,MoS(Modern Standby),S0ix-states,USB 3.0</t>
  </si>
  <si>
    <t>CSS-IVE-114799</t>
  </si>
  <si>
    <t>Verify SUT wake from S0i3/C-MoS using LAN</t>
  </si>
  <si>
    <t>GbE,LAN,MoS (Modern Standby),S0ix-states</t>
  </si>
  <si>
    <t>GbE,LAN,MoS(Modern Standby),S0ix-states,UEFI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</si>
  <si>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</si>
  <si>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</si>
  <si>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</si>
  <si>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</si>
  <si>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</si>
  <si>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</si>
  <si>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GbE,LAN,S-states</t>
  </si>
  <si>
    <t>CSS-IVE-114943</t>
  </si>
  <si>
    <t>Verify SUT wake from Sx states (S3, S4) using discrete WLAN module</t>
  </si>
  <si>
    <t>discrete WiFi/BT,LAN,S-states,WiFi</t>
  </si>
  <si>
    <t>LAN,S-states,discrete WiFi/BT</t>
  </si>
  <si>
    <t>CSS-IVE-115058</t>
  </si>
  <si>
    <t>Verify SUT wake from Sx states (S3, S4,) using CNVi WLAN module</t>
  </si>
  <si>
    <t>CNVi,S-states,WiFi</t>
  </si>
  <si>
    <t>CNVi,S-states</t>
  </si>
  <si>
    <t>CSS-IVE-115059</t>
  </si>
  <si>
    <t>Verify Sx and reboot cycles with ISH disabled</t>
  </si>
  <si>
    <t>ISH,Power Btn/HID,S-states</t>
  </si>
  <si>
    <t>CSS-IVE-114796</t>
  </si>
  <si>
    <t>Verify Ability to get debug logs with different serial debug messages settings</t>
  </si>
  <si>
    <t>COM,Serial,UART,debug interfaces</t>
  </si>
  <si>
    <t>CSS-IVE-114358</t>
  </si>
  <si>
    <t>verify TBT D3 flow when APSM is in L1.2 state</t>
  </si>
  <si>
    <t>iTBT,TBT,TBT_IOMMU,TBT_PD_EC_NA,TCSS,USB-TypeC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</si>
  <si>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</si>
  <si>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</si>
  <si>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</si>
  <si>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</si>
  <si>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</si>
  <si>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</si>
  <si>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debug interfaces,NPK</t>
  </si>
  <si>
    <t>NPK,USB-TypeC,debug interfaces</t>
  </si>
  <si>
    <t>CSS-IVE-115194</t>
  </si>
  <si>
    <t>Verify BIOS ACPI debug messages capture during TBT device hot-plug/un-plug events</t>
  </si>
  <si>
    <t>debug interfaces,NPK,TBT_PD_EC_NA,USB-TypeC</t>
  </si>
  <si>
    <t>CSS-IVE-105588</t>
  </si>
  <si>
    <t>Verify System trace - Route traces to USB Type-C in S0ix</t>
  </si>
  <si>
    <t>debug interfaces,NPK,S-states,TCSS,USB-TypeC</t>
  </si>
  <si>
    <t>CSS-IVE-114366</t>
  </si>
  <si>
    <t>Verify Single touch functionality when both controllers (THC0 and THC1) Disabled</t>
  </si>
  <si>
    <t>iTouch,SPI bus</t>
  </si>
  <si>
    <t>CSS-IVE-113814</t>
  </si>
  <si>
    <t>Verify Sensor Device Temperature value in BIOS and OS</t>
  </si>
  <si>
    <t>power_management.thermal_sensor</t>
  </si>
  <si>
    <t>DPTF interface,Thermal Sensors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</si>
  <si>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</si>
  <si>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</si>
  <si>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</si>
  <si>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</si>
  <si>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debug interfaces,PSMI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</si>
  <si>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</si>
  <si>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</si>
  <si>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</si>
  <si>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</si>
  <si>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</si>
  <si>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</si>
  <si>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</si>
  <si>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</si>
  <si>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</si>
  <si>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</si>
  <si>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</si>
  <si>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</si>
  <si>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CNVi,WiFi</t>
  </si>
  <si>
    <t>CSS-IVE-117070</t>
  </si>
  <si>
    <t>Verify BIOS shall provide support to change WGDS default MAX_ALLOWED values</t>
  </si>
  <si>
    <t>CSS-IVE-117071</t>
  </si>
  <si>
    <t>Validate CNVi Wi-Fi for RTD3 support</t>
  </si>
  <si>
    <t>CNVi,RTD3,WiFi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</si>
  <si>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</si>
  <si>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</si>
  <si>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</si>
  <si>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</si>
  <si>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CNVi,discrete WiFi/BT,LAN,S-states,WiFi</t>
  </si>
  <si>
    <t>CNVi,LAN,S-states,discrete WiFi/BT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</si>
  <si>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</si>
  <si>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</si>
  <si>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</si>
  <si>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</si>
  <si>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</si>
  <si>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</si>
  <si>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</si>
  <si>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</si>
  <si>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</si>
  <si>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</si>
  <si>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Power-Numbers</t>
  </si>
  <si>
    <t>CSS-IVE-114727</t>
  </si>
  <si>
    <t>Verify bios an option to enable/disable "Intel Turbo Boost Max Technology 3.0"</t>
  </si>
  <si>
    <t>CSS-IVE-117487</t>
  </si>
  <si>
    <t>Verify System achieve SLP_S0 residency when GBE is enabled or disabled in BIOS</t>
  </si>
  <si>
    <t>GbE,SLP_S0</t>
  </si>
  <si>
    <t>CSS-IVE-117848</t>
  </si>
  <si>
    <t>Verify Bios has separate options to enable Deep S4 and Deep S5</t>
  </si>
  <si>
    <t>CSS-IVE-115841</t>
  </si>
  <si>
    <t>Verify platform "Energy performance " using MSR 1B0h with Different OS power plan (High performance, Power Saver and Balanced [Active])</t>
  </si>
  <si>
    <t>CSS-IVE-117925</t>
  </si>
  <si>
    <t>Verify new audio Offload ACPI table/indication for CNV's Bluetooth</t>
  </si>
  <si>
    <t>CNVi,discrete WiFi/BT,WOV</t>
  </si>
  <si>
    <t>CNVi,WOV,discrete WiFi/BT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</si>
  <si>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</si>
  <si>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</si>
  <si>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</si>
  <si>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</si>
  <si>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</si>
  <si>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</si>
  <si>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</si>
  <si>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</si>
  <si>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</si>
  <si>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</si>
  <si>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</si>
  <si>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</si>
  <si>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</si>
  <si>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</si>
  <si>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</si>
  <si>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</si>
  <si>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</si>
  <si>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</si>
  <si>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</si>
  <si>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</si>
  <si>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</si>
  <si>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</si>
  <si>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</si>
  <si>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</si>
  <si>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</si>
  <si>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</si>
  <si>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</si>
  <si>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</si>
  <si>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Foxville,PCIe LAN</t>
  </si>
  <si>
    <t>PCIE LAN</t>
  </si>
  <si>
    <t>CSS-IVE-118277</t>
  </si>
  <si>
    <t>Verify Network functionality using AIC connected over PCIe slot after Sx cycles</t>
  </si>
  <si>
    <t>Foxville,PCIe LAN,S-states</t>
  </si>
  <si>
    <t>PCIE LAN,S-states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</si>
  <si>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</si>
  <si>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</si>
  <si>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</si>
  <si>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</si>
  <si>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</si>
  <si>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</si>
  <si>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</si>
  <si>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</si>
  <si>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</si>
  <si>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</si>
  <si>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</si>
  <si>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</si>
  <si>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</si>
  <si>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</si>
  <si>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</si>
  <si>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</si>
  <si>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RTC</t>
  </si>
  <si>
    <t>CSS-IVE-118765</t>
  </si>
  <si>
    <t>Verify system stability on performing Sleep cycle on freshly preloaded OS post flashing Performance BIOS</t>
  </si>
  <si>
    <t>S-states,stability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</si>
  <si>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</si>
  <si>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</si>
  <si>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</si>
  <si>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</si>
  <si>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</si>
  <si>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</si>
  <si>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MoS (Modern Standby),S0ix-states,stability</t>
  </si>
  <si>
    <t>MoS(Modern Standby),S0ix-states,stability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</si>
  <si>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</si>
  <si>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</si>
  <si>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</si>
  <si>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</si>
  <si>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</si>
  <si>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</si>
  <si>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</si>
  <si>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</si>
  <si>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</si>
  <si>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</si>
  <si>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TCSS,USB4,USB-TypeC</t>
  </si>
  <si>
    <t>USB 4</t>
  </si>
  <si>
    <t>CSS-IVE-122118</t>
  </si>
  <si>
    <t>Verify Dual Controller Support - USB4 Hub &amp; USB4 Dock functionality on Hot-Plug</t>
  </si>
  <si>
    <t>bios.platform,bios.sa,fw.ifwi.others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</si>
  <si>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</si>
  <si>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</si>
  <si>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</si>
  <si>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</si>
  <si>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bios.platform,bios.sa,fw.ifwi.iom,fw.ifwi.nphy,fw.ifwi.pmc,fw.ifwi.sam,fw.ifwi.sphy,fw.ifwi.tbt</t>
  </si>
  <si>
    <t>S-states,USB4</t>
  </si>
  <si>
    <t>TBT,USB 4,USB-TypeC,iTBT</t>
  </si>
  <si>
    <t>CSS-IVE-122124</t>
  </si>
  <si>
    <t>Verify Bios flash support on RVP using FFT</t>
  </si>
  <si>
    <t>GPIO,Power Btn/HID</t>
  </si>
  <si>
    <t>CSS-IVE-122126</t>
  </si>
  <si>
    <t>Validate on board LAN device for RTD3</t>
  </si>
  <si>
    <t>LAN,RTD3</t>
  </si>
  <si>
    <t>CSS-IVE-122356</t>
  </si>
  <si>
    <t>Verify Device Swap during S4 with all Type-C ports - DP and USB(3.0)</t>
  </si>
  <si>
    <t>Display Panels,S-states,TCSS,USB3.0,USB-TypeC</t>
  </si>
  <si>
    <t>DP-Display,USB 3.0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</si>
  <si>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</si>
  <si>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</si>
  <si>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</si>
  <si>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</si>
  <si>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DP-Display,USB 3.1 Gen 2,USB-TypeC</t>
  </si>
  <si>
    <t>CSS-IVE-122480</t>
  </si>
  <si>
    <t>Verify Device Swap during S4 with all Type-C ports - HDMI and USB(3.0)</t>
  </si>
  <si>
    <t>Display Panels,S-states,TBT_PD_EC_NA,TCSS,USB3.0,USB-TypeC</t>
  </si>
  <si>
    <t>HDMI,USB 3.0,USB-TypeC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</si>
  <si>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</si>
  <si>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</si>
  <si>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</si>
  <si>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</si>
  <si>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HDMI,USB 3.1 Gen 2,USB-TypeC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</si>
  <si>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</si>
  <si>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</si>
  <si>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</si>
  <si>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</si>
  <si>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</si>
  <si>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</si>
  <si>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DP-Display,USB 3.2 2x1,USB-TypeC</t>
  </si>
  <si>
    <t>CSS-IVE-122486</t>
  </si>
  <si>
    <t>Verify Device Swap during S5 with all Type-C ports - HDMI and USB(3.0)</t>
  </si>
  <si>
    <t>HDMI,USB 3.0</t>
  </si>
  <si>
    <t>CSS-IVE-122487</t>
  </si>
  <si>
    <t>Verify Device Swap during S5 with all Type-C ports - HDMI and USB(2.0)</t>
  </si>
  <si>
    <t>HDMI,USB 2.0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</si>
  <si>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</si>
  <si>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</si>
  <si>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</si>
  <si>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</si>
  <si>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</si>
  <si>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</si>
  <si>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media</t>
  </si>
  <si>
    <t>Display Panels</t>
  </si>
  <si>
    <t>cAVS</t>
  </si>
  <si>
    <t>CSS-IVE-129746</t>
  </si>
  <si>
    <t>Verify ECKPWRCTL disable when DCI is disabled</t>
  </si>
  <si>
    <t>CSS-IVE-129750</t>
  </si>
  <si>
    <t>Verify the BIOS size using FFT Tool</t>
  </si>
  <si>
    <t>BIOS Build,FIT table</t>
  </si>
  <si>
    <t>CSS-IVE-132613</t>
  </si>
  <si>
    <t>Verify TCSS D3Cold support when System connected with TBT device</t>
  </si>
  <si>
    <t>bios.pch,bios.platform,bios.sa</t>
  </si>
  <si>
    <t>AC/DC toggling,D-States,iTBT,Real Battery Management,RTD3,TBT,TBT_PD_EC_NA,TCSS,USB-TypeC</t>
  </si>
  <si>
    <t>MoS(Modern Standby),RTD3,TBT,iTBT</t>
  </si>
  <si>
    <t>CSS-IVE-129785</t>
  </si>
  <si>
    <t>Verify TCSS D3Cold Entry and Exit happens  with TBT device connected</t>
  </si>
  <si>
    <t>CSS-IVE-132636</t>
  </si>
  <si>
    <t>Verify PCH /CSE/CPU bootstall unlock via USB2DbC</t>
  </si>
  <si>
    <t>bios.platform,fw.ifwi.csme,fw.ifwi.others,fw.ifwi.pchc</t>
  </si>
  <si>
    <t>CSS-IVE-132950</t>
  </si>
  <si>
    <t>Verify cold boot with USB3.1 Gen2 mass storage device connected across all the Type C ports</t>
  </si>
  <si>
    <t>bios.platform,bios.sa,fw.ifwi.iom,fw.ifwi.nphy,fw.ifwi.pmc,fw.ifwi.sphy,fw.ifwi.tbt</t>
  </si>
  <si>
    <t>USB3.1,USB-TypeC</t>
  </si>
  <si>
    <t>USB 3.1 Gen 2,USB-TypeC</t>
  </si>
  <si>
    <t>CSS-IVE-133024</t>
  </si>
  <si>
    <t>Verify System trace via 2-Wire BSSB interface</t>
  </si>
  <si>
    <t>bios.cpu_pm,fw.ifwi.gbe,fw.ifwi.others</t>
  </si>
  <si>
    <t>CSS-IVE-132994</t>
  </si>
  <si>
    <t>Validate concurrent support of USB2.0 DbC and data transfer over Type-C port</t>
  </si>
  <si>
    <t>NPK,TCSS,USB 3.0,USB-TypeC,debug interfaces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</si>
  <si>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</si>
  <si>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</si>
  <si>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</si>
  <si>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</si>
  <si>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TBT,TBT_IOMMU,TCSS,USB-TypeC</t>
  </si>
  <si>
    <t>CSS-IVE-133073</t>
  </si>
  <si>
    <t>Verify USB4 Storage enumeration after S4, S5, Warm and Cold boot cycles with PCIE tunneling disabled</t>
  </si>
  <si>
    <t>TBT,TBT_IOMMU,TCSS,USB4,USB-TypeC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</si>
  <si>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</si>
  <si>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</si>
  <si>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</si>
  <si>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</si>
  <si>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iTBT,TBT,TBT_IOMMU,TCSS,USB-TypeC</t>
  </si>
  <si>
    <t>CSS-IVE-133077</t>
  </si>
  <si>
    <t>Verify TBT3  and USB device enumeration on hot plug with PCIE tunneling Disabled</t>
  </si>
  <si>
    <t>iTBT,TBT,TBT_IOMMU,USB-TypeC</t>
  </si>
  <si>
    <t>TBT,USB 3.2 2x1,USB-TypeC,iTBT</t>
  </si>
  <si>
    <t>CSS-IVE-133078</t>
  </si>
  <si>
    <t>Verify RTD3 flow support for Type-C USB4 Storage</t>
  </si>
  <si>
    <t>bios.platform,bios.sa,fw.ifwi.iom,fw.ifwi.pmc,fw.ifwi.tbt</t>
  </si>
  <si>
    <t>USB4,USB-TypeC</t>
  </si>
  <si>
    <t>RTD3,TBT,USB 4</t>
  </si>
  <si>
    <t>CSS-IVE-122098</t>
  </si>
  <si>
    <t>Verify USB4 storage functionality on hot insert and removal and connector reversibility</t>
  </si>
  <si>
    <t>TCSS,USB4</t>
  </si>
  <si>
    <t>USB 4,USB-TypeC</t>
  </si>
  <si>
    <t>CSS-IVE-122116</t>
  </si>
  <si>
    <t>Validate USB4 Hub Device functionality after CMS Cycles</t>
  </si>
  <si>
    <t>MoS (Modern Standby),TBT_PD_EC_NA,TCSS,USB4,USB-TypeC</t>
  </si>
  <si>
    <t>MoS(Modern Standby),TBT,USB 4,USB-TypeC,iTBT</t>
  </si>
  <si>
    <t>CSS-IVE-133220</t>
  </si>
  <si>
    <t>Validate USB4 Hub Device functionality during CMS Cycles</t>
  </si>
  <si>
    <t>CSS-IVE-133226</t>
  </si>
  <si>
    <t>Validate USB4 Dock Device functionality after CMS Cycles</t>
  </si>
  <si>
    <t>MoS(Modern Standby),TBT,TCSS,USB 4,iTBT</t>
  </si>
  <si>
    <t>CSS-IVE-133228</t>
  </si>
  <si>
    <t>Validate USB4 Dock Device functionality during CMS Cycles</t>
  </si>
  <si>
    <t>MoS(Modern Standby),TBT,USB 4,iTBT</t>
  </si>
  <si>
    <t>CSS-IVE-133234</t>
  </si>
  <si>
    <t>Verify USB4 Storage functionality after CMS</t>
  </si>
  <si>
    <t>CSS-IVE-133294</t>
  </si>
  <si>
    <t>Verify USB4 storage functionality during CMS</t>
  </si>
  <si>
    <t>MoS(Modern Standby),USB 4</t>
  </si>
  <si>
    <t>CSS-IVE-133300</t>
  </si>
  <si>
    <t>Verify vendor ID for USB4 HW controller</t>
  </si>
  <si>
    <t>TBT,USB 4,USB-TypeC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</si>
  <si>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</si>
  <si>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</si>
  <si>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</si>
  <si>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</si>
  <si>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Dual_Tau,Power Limit,S-states,cTDP</t>
  </si>
  <si>
    <t>CSS-IVE-133578</t>
  </si>
  <si>
    <t>Validate Type-C USB2.0 enumeration over Type-C port  with PCIE tunneling enabled and disabled</t>
  </si>
  <si>
    <t>TBT,TBT_IOMMU,TCSS,USB2.0,USB-TypeC</t>
  </si>
  <si>
    <t>CSS-IVE-133671</t>
  </si>
  <si>
    <t>Validate Type-C USB3.0 enumeration over Type-C port  with PCIE tunneling enabled and disabled</t>
  </si>
  <si>
    <t>TBT,USB 3.0,iTBT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</si>
  <si>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</si>
  <si>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</si>
  <si>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</si>
  <si>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</si>
  <si>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</si>
  <si>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</si>
  <si>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D-States,MoS (Modern Standby),RTD3,touch panel</t>
  </si>
  <si>
    <t>D-States,RTD3,iTouch,touch panel</t>
  </si>
  <si>
    <t>CSS-IVE-134023</t>
  </si>
  <si>
    <t>Verify USB2 PMCTRL bit is enabled</t>
  </si>
  <si>
    <t>USB2.0,USB_register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</si>
  <si>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</si>
  <si>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</si>
  <si>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</si>
  <si>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</si>
  <si>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I2C,MoS (Modern Standby),touch panel</t>
  </si>
  <si>
    <t>I2C,MoS(Modern Standby),touch panel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</si>
  <si>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</si>
  <si>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</si>
  <si>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</si>
  <si>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</si>
  <si>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</si>
  <si>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</si>
  <si>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APIC</t>
  </si>
  <si>
    <t>CSS-IVE-135476</t>
  </si>
  <si>
    <t>Verify BIOS  Debug settings passed as part of a Debug Token Via Dnx Mode</t>
  </si>
  <si>
    <t>debug interfaces,DnX,SPI bus</t>
  </si>
  <si>
    <t>DnX,SPI bus,debug interfaces</t>
  </si>
  <si>
    <t>CSS-IVE-135705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</si>
  <si>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</si>
  <si>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</si>
  <si>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</si>
  <si>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Foxville,LAN,S-states</t>
  </si>
  <si>
    <t>CSS-IVE-136346</t>
  </si>
  <si>
    <t>Validate on PCIe LAN device for RTD3</t>
  </si>
  <si>
    <t>LAN,PCIE LAN,RTD3</t>
  </si>
  <si>
    <t>CSS-IVE-136395</t>
  </si>
  <si>
    <t>Verify OS debug  support with DMA Pre-boot  Protection in enabled state</t>
  </si>
  <si>
    <t>COM,debug interfaces,Preboot_DMA_Protection,TBT_IOMMU</t>
  </si>
  <si>
    <t>CSS-IVE-138269</t>
  </si>
  <si>
    <t>Verify Wi-Fi Device Entry in ACPI table</t>
  </si>
  <si>
    <t>ACPI,CNVi,discrete WiFi/BT</t>
  </si>
  <si>
    <t>CSS-IVE-144717</t>
  </si>
  <si>
    <t>Verify USB2.0/3.0 device enumeration in EFI over USB4 Hub</t>
  </si>
  <si>
    <t>bios.platform,bios.sa,fw.ifwi.dekelPhy,fw.ifwi.iom,fw.ifwi.pmc,fw.ifwi.sam,fw.ifwi.tbt</t>
  </si>
  <si>
    <t>USB2.0,USB3.0,USB4</t>
  </si>
  <si>
    <t>CSS-IVE-133657</t>
  </si>
  <si>
    <t>Verify C state  Residency when system is in idle after CS cycle with TBT device connected</t>
  </si>
  <si>
    <t>SLP_S0,TBT,USB 4</t>
  </si>
  <si>
    <t>CSS-IVE-144839</t>
  </si>
  <si>
    <t>Verify Concurrent Type-C Display functionality over Type-C port after S4,S5,warm and cold boot cycles</t>
  </si>
  <si>
    <t>Display Panels,USB-TypeC</t>
  </si>
  <si>
    <t>CSS-IVE-145009</t>
  </si>
  <si>
    <t>Verify Concurrent Type-C Display functionality over Type-C port, Display connected when SUT is in S4 and S5 state</t>
  </si>
  <si>
    <t>TCSS,USB-TypeC</t>
  </si>
  <si>
    <t>CSS-IVE-145010</t>
  </si>
  <si>
    <t>Verify Xml Cli should not expose Test Menu options for External Bios</t>
  </si>
  <si>
    <t>BIOS Conf &amp; XMLCLI support</t>
  </si>
  <si>
    <t>CSS-IVE-145017</t>
  </si>
  <si>
    <t>Verify Concurrent DP Display functionality over Type-C port after S4,S5,warm and cold boot cycles</t>
  </si>
  <si>
    <t>Display Panels,DP-Display,USB-TypeC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</si>
  <si>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</si>
  <si>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</si>
  <si>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</si>
  <si>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</si>
  <si>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Display Panels,HDMI,USB-TypeC</t>
  </si>
  <si>
    <t>HDMI,S-states,USB-TypeC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</si>
  <si>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</si>
  <si>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</si>
  <si>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</si>
  <si>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</si>
  <si>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DP-Display,Display Panels,S-states,USB-TypeC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</si>
  <si>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</si>
  <si>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</si>
  <si>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</si>
  <si>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</si>
  <si>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Display Panels,HDMI,S-states,USB-TypeC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</si>
  <si>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</si>
  <si>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</si>
  <si>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</si>
  <si>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</si>
  <si>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Display Panels,Docking support,DP-Display,USB-TypeC</t>
  </si>
  <si>
    <t>DP-Display,Display Panels,Docking support,S-states,USB-TypeC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</si>
  <si>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</si>
  <si>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</si>
  <si>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</si>
  <si>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</si>
  <si>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Display Panels,Docking support,HDMI,USB-TypeC</t>
  </si>
  <si>
    <t>Display Panels,Docking support,HDMI,S-states,USB-TypeC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</si>
  <si>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</si>
  <si>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</si>
  <si>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</si>
  <si>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</si>
  <si>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DP-Display,USB-TypeC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</si>
  <si>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</si>
  <si>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</si>
  <si>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</si>
  <si>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</si>
  <si>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DP-Display,Display Panels,USB-TypeC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</si>
  <si>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</si>
  <si>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</si>
  <si>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</si>
  <si>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</si>
  <si>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DP-Display,Display Panels,Docking support,USB-TypeC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</si>
  <si>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</si>
  <si>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</si>
  <si>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</si>
  <si>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</si>
  <si>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</si>
  <si>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</si>
  <si>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</si>
  <si>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</si>
  <si>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</si>
  <si>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</si>
  <si>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</si>
  <si>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</si>
  <si>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</si>
  <si>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</si>
  <si>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</si>
  <si>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</si>
  <si>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</si>
  <si>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</si>
  <si>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</si>
  <si>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</si>
  <si>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Display Panels,MoS(Modern Standby),USB-TypeC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</si>
  <si>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</si>
  <si>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</si>
  <si>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</si>
  <si>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</si>
  <si>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DP-Display,HDMI,USB 3.1 Gen 1,USB-TypeC</t>
  </si>
  <si>
    <t>CSS-IVE-145216</t>
  </si>
  <si>
    <t>Verify connection Swap during DeepSx cycle with all Type-C ports - DP, HDMI and USB</t>
  </si>
  <si>
    <t>DeepSX,Display Panels,iTBT,TBT,TBT_PD_EC_NA,TCSS,USB3.0,USB-TypeC</t>
  </si>
  <si>
    <t>DP-Display,DeepSx,HDMI,USB 3.1 Gen 1,USB-TypeC</t>
  </si>
  <si>
    <t>CSS-IVE-145221</t>
  </si>
  <si>
    <t>Verify connection Swap during S4 and S5 with all Type-C ports - USB3.1 Gen2, USB3.0 Hub and USB2.0</t>
  </si>
  <si>
    <t>iTBT,S-states,TBT,TBT_PD_EC_NA,TCSS,USB3.0,USB-TypeC</t>
  </si>
  <si>
    <t>USB 2.0,USB 3.0,USB 3.1 Gen 2</t>
  </si>
  <si>
    <t>CSS-IVE-145223</t>
  </si>
  <si>
    <t>Verify XHCI OS Handoff after S4 , S5 and cold reboot Cycling</t>
  </si>
  <si>
    <t>G3-State,S-states,USB/XHCI ports,USB3.0</t>
  </si>
  <si>
    <t>G3-State,S-states,USB/XHCI ports,USB3.1</t>
  </si>
  <si>
    <t>CSS-IVE-145023</t>
  </si>
  <si>
    <t>Verify new ACPI ID implementation for I2C ELAN Touch controller Support</t>
  </si>
  <si>
    <t>Display Panels,I2C,iTouch,touch panel,TouchPad</t>
  </si>
  <si>
    <t>Display Panels,I2C,I2C/USB touch pad</t>
  </si>
  <si>
    <t>CSS-IVE-145811</t>
  </si>
  <si>
    <t>Verify ACPI _DSM method implementation to Add ISH based Dynamic SAR support in BIOS</t>
  </si>
  <si>
    <t>ACPI,ISH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</si>
  <si>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</si>
  <si>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</si>
  <si>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</si>
  <si>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</si>
  <si>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</si>
  <si>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</si>
  <si>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</si>
  <si>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</si>
  <si>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Gfx uController,UEFI</t>
  </si>
  <si>
    <t>CSS-IVE-146066</t>
  </si>
  <si>
    <t>Verify SUT wakes from S3 using Touchpad</t>
  </si>
  <si>
    <t>Consumer</t>
  </si>
  <si>
    <t>TouchPad</t>
  </si>
  <si>
    <t>CSS-IVE-147135</t>
  </si>
  <si>
    <t>Verify BIOS S3 resume and suspend delta times are inline with responsiveness metrics</t>
  </si>
  <si>
    <t>Boot timings,fastboot,S-states</t>
  </si>
  <si>
    <t>CSS-IVE-69084</t>
  </si>
  <si>
    <t>Validate Boot flow with different GT frequency bins as per BIOS menu</t>
  </si>
  <si>
    <t>iGfx,Turbo</t>
  </si>
  <si>
    <t>BIOS-Boot-Flows,iGfx</t>
  </si>
  <si>
    <t>CSS-IVE-90637</t>
  </si>
  <si>
    <t>Verify Bios Page responsiveness with "Num Lock" ,"Caps Lock" and "Scroll Lock" LED ON</t>
  </si>
  <si>
    <t>Over-Clocking</t>
  </si>
  <si>
    <t>CSS-IVE-115592</t>
  </si>
  <si>
    <t>Verify EFI Shell responsiveness with "Num Lock" ,"Caps Lock" and "Scroll Lock" LED ON</t>
  </si>
  <si>
    <t>Over-Clocking,UEFI</t>
  </si>
  <si>
    <t>CSS-IVE-115593</t>
  </si>
  <si>
    <t>Verify System responsiveness with "Num Lock" ,"Caps Lock" and "Scroll Lock" LED ON</t>
  </si>
  <si>
    <t>CSS-IVE-115594</t>
  </si>
  <si>
    <t>Verify IOSF2OCP Clock Gating Enable programming by BIOS</t>
  </si>
  <si>
    <t>CSS-IVE-117924</t>
  </si>
  <si>
    <t>Verify Fast Boot Timing is impacted not more than threshold limit with and without TPM enabled</t>
  </si>
  <si>
    <t>Boot timings,fastboot,TPM2.0</t>
  </si>
  <si>
    <t>CSS-IVE-80274</t>
  </si>
  <si>
    <t>System should support Multi-Monitor with fast boot mode enabled</t>
  </si>
  <si>
    <t>debug interfaces,fastboot,HDMI</t>
  </si>
  <si>
    <t>HDMI,debug interfaces,fastboot</t>
  </si>
  <si>
    <t>CSS-IVE-80242</t>
  </si>
  <si>
    <t>System should overwrite fast boot when overclocking feature is enabled</t>
  </si>
  <si>
    <t>debug interfaces,fastboot,Over-Clocking</t>
  </si>
  <si>
    <t>Boot timings,Over-Clocking,fastboot</t>
  </si>
  <si>
    <t>CSS-IVE-80254</t>
  </si>
  <si>
    <t>System should perform full boot when it is shut down using 4 second Power button override (Type 2 exception) with fast boot mode enabled</t>
  </si>
  <si>
    <t>debug interfaces,fastboot,Power Btn/HID</t>
  </si>
  <si>
    <t>CSS-IVE-80255</t>
  </si>
  <si>
    <t>Verify that system falls back to full boot mode when Intel RST Premium and OROM UI &amp; banner are enabled even with fast boot enabled</t>
  </si>
  <si>
    <t>debug interfaces,fastboot,Option ROMs,RST</t>
  </si>
  <si>
    <t>Boot timings,PCIe-RST,RST,fastboot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</si>
  <si>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</si>
  <si>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</si>
  <si>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</si>
  <si>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</si>
  <si>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</si>
  <si>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</si>
  <si>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debug interfaces,fastboot,PS/2</t>
  </si>
  <si>
    <t>PS/2,debug interfaces,fastboot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</si>
  <si>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</si>
  <si>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</si>
  <si>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</si>
  <si>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</si>
  <si>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PS/2,fastboot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</si>
  <si>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</si>
  <si>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</si>
  <si>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</si>
  <si>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</si>
  <si>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</si>
  <si>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</si>
  <si>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debug interfaces,fastboot,TPM2.0</t>
  </si>
  <si>
    <t>Boot timings,P-States,PTT,fastboot</t>
  </si>
  <si>
    <t>CSS-IVE-80322</t>
  </si>
  <si>
    <t>Full boot should move successful boot target to front of boot list for subsequent fast boots when fast boot is enabled</t>
  </si>
  <si>
    <t>debug interfaces,fastboot,HDD,M.2 PCIe Gen3x2 and Gen3x4 NVMe,UFS,USB3.0</t>
  </si>
  <si>
    <t>CSS-IVE-80327</t>
  </si>
  <si>
    <t>Validate Sx Cycles with Performance Bios</t>
  </si>
  <si>
    <t>fastboot,S0ix-states,S-states</t>
  </si>
  <si>
    <t>S-states,S0ix-states,fastboot</t>
  </si>
  <si>
    <t>CSS-IVE-80328</t>
  </si>
  <si>
    <t>BIOS should skip OPROM code during fast boot if device associated with OPROM is not present</t>
  </si>
  <si>
    <t>fastboot,Option ROMs,S-states</t>
  </si>
  <si>
    <t>Option ROMs,fastboot</t>
  </si>
  <si>
    <t>CSS-IVE-80331</t>
  </si>
  <si>
    <t>Verify that system boots in fast boot mode with Silent boot enabled</t>
  </si>
  <si>
    <t>debug interfaces,fastboot,S-states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</si>
  <si>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</si>
  <si>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</si>
  <si>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</si>
  <si>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</si>
  <si>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debug interfaces,fastboot,RTC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</si>
  <si>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</si>
  <si>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</si>
  <si>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</si>
  <si>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</si>
  <si>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fastboot,Option ROMs,PCIe LAN</t>
  </si>
  <si>
    <t>Boot timings,Option ROMs,fastboot</t>
  </si>
  <si>
    <t>CSS-IVE-99235</t>
  </si>
  <si>
    <t>Verify system attains responsiveness metrics with PTT enabled Corporate IFWI and with OS installed on NVMe SSD</t>
  </si>
  <si>
    <t>Boot timings,fastboot,M.2 PCIe Gen3x2 and Gen3x4 NVMe,PTT (fTPM),S-states</t>
  </si>
  <si>
    <t>Boot timings,PTT,fastboot</t>
  </si>
  <si>
    <t>CSS-IVE-101008</t>
  </si>
  <si>
    <t>Verify full boot timing is inline with 20 second target (power button to EDK Shell)</t>
  </si>
  <si>
    <t>Boot timings,Power Btn/HID,UEFI</t>
  </si>
  <si>
    <t>CSS-IVE-108304</t>
  </si>
  <si>
    <t>Verify system boots in Fast Boot mode when legacy device are connected</t>
  </si>
  <si>
    <t>CSS-IVE-117479</t>
  </si>
  <si>
    <t>Verify responsiveness metrics are attained with Pre-boot DMA protection enabled without any TBT devices plugged in</t>
  </si>
  <si>
    <t>Boot timings,S-states,Vt-D</t>
  </si>
  <si>
    <t>Boot timings,TBT,fastboot</t>
  </si>
  <si>
    <t>CSS-IVE-118832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</si>
  <si>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</si>
  <si>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</si>
  <si>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</si>
  <si>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Boot timings,M.2 PCIe Gen3x2 and Gen3x4 NVMe,PTT (fTPM),S-states</t>
  </si>
  <si>
    <t>Boot timings,M.2 PCIe Gen3x2 &amp; gen 3x4 NVMe,PTT,S-states</t>
  </si>
  <si>
    <t>CSS-IVE-133065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</si>
  <si>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</si>
  <si>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</si>
  <si>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</si>
  <si>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D-States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</si>
  <si>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</si>
  <si>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</si>
  <si>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</si>
  <si>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</si>
  <si>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</si>
  <si>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</si>
  <si>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</si>
  <si>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</si>
  <si>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</si>
  <si>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</si>
  <si>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</si>
  <si>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</si>
  <si>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</si>
  <si>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</si>
  <si>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</si>
  <si>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</si>
  <si>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Memory Technologies/Topologies,Power Btn/HID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</si>
  <si>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</si>
  <si>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</si>
  <si>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</si>
  <si>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</si>
  <si>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</si>
  <si>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</si>
  <si>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</si>
  <si>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</si>
  <si>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</si>
  <si>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</si>
  <si>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</si>
  <si>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SODIMM DDR5 3733Mhz-16GB memory module is functioning</t>
  </si>
  <si>
    <t>CSS-IVE-114599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</si>
  <si>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</si>
  <si>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</si>
  <si>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</si>
  <si>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</si>
  <si>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if MRC Completion is successful</t>
  </si>
  <si>
    <t>bios.mrc_client</t>
  </si>
  <si>
    <t>debug interfaces,Memory Technologies/Topologies,Serial</t>
  </si>
  <si>
    <t>CSS-IVE-117967</t>
  </si>
  <si>
    <t>Verify MRC training</t>
  </si>
  <si>
    <t>CSS-IVE-117971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</si>
  <si>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</si>
  <si>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</si>
  <si>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</si>
  <si>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</si>
  <si>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</si>
  <si>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</si>
  <si>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</si>
  <si>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</si>
  <si>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</si>
  <si>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</si>
  <si>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</si>
  <si>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</si>
  <si>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</si>
  <si>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bios.mem_decode,fw.ifwi.others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</si>
  <si>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</si>
  <si>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</si>
  <si>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</si>
  <si>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</si>
  <si>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</si>
  <si>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</si>
  <si>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</si>
  <si>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</si>
  <si>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</si>
  <si>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</si>
  <si>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</si>
  <si>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MRC training when Over clocking and SAGV enabled</t>
  </si>
  <si>
    <t>overclocking</t>
  </si>
  <si>
    <t>Memory Technologies/Topologies,Over-Clocking,stability</t>
  </si>
  <si>
    <t>CSS-IVE-145807</t>
  </si>
  <si>
    <t>Verify Host serial port communications in OS and EDK Shell</t>
  </si>
  <si>
    <t>debug interfaces,Serial</t>
  </si>
  <si>
    <t>Serial,debug interfaces</t>
  </si>
  <si>
    <t>CSS-IVE-61847</t>
  </si>
  <si>
    <t>Verify if SUT is able to communicate with another SUT through Serial port(capture debug log)</t>
  </si>
  <si>
    <t>debug interfaces,Power Btn/HID,Serial,S-states</t>
  </si>
  <si>
    <t>Power Btn/HID,S-states,Serial,debug interfaces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</si>
  <si>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</si>
  <si>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</si>
  <si>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</si>
  <si>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</si>
  <si>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</si>
  <si>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</si>
  <si>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</si>
  <si>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</si>
  <si>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S-states,TCSS,USB-TypeC</t>
  </si>
  <si>
    <t>CSS-IVE-99709</t>
  </si>
  <si>
    <t>Validate booting SUT with USB Type-C power adapter and without battery connected</t>
  </si>
  <si>
    <t>TCSS,USB PD,USB-TypeC</t>
  </si>
  <si>
    <t>CSS-IVE-102263</t>
  </si>
  <si>
    <t>Verify if SUT wakes from Connected Modern Standby on plug/unplug of Type-C Dock over Type-C port</t>
  </si>
  <si>
    <t>Docking support,MoS (Modern Standby),TBT_PD_EC_NA,TCSS,USB-TypeC</t>
  </si>
  <si>
    <t>CSS-IVE-101188</t>
  </si>
  <si>
    <t>Verify if SUT wakes from Connected Modern Standby on plug/unplug of Display monitor over Type-C port</t>
  </si>
  <si>
    <t>Display Panels,MoS (Modern Standby),TBT_PD_EC_NA,TCSS,USB-TypeC</t>
  </si>
  <si>
    <t>Display Panels,MoS(Modern Standby)</t>
  </si>
  <si>
    <t>CSS-IVE-101189</t>
  </si>
  <si>
    <t>Verify if SUT wakes from Connected Modern Standby on plug/unplug of USB Device over Type-C port</t>
  </si>
  <si>
    <t>EC-Lite,MoS (Modern Standby),TBT_PD_EC_NA,TCSS,USB-TypeC</t>
  </si>
  <si>
    <t>CSS-IVE-101192</t>
  </si>
  <si>
    <t>Validate system able to perform CMS cycle with USB Type-C power adapter and without battery connected</t>
  </si>
  <si>
    <t>bios.pch,bios.platform,fw.ifwi.bios</t>
  </si>
  <si>
    <t>S0ix-states,TCSS,USB PD,USB-TypeC</t>
  </si>
  <si>
    <t>CSS-IVE-144566</t>
  </si>
  <si>
    <t>Verify battery charging is proper even after system crash -  AC  brick</t>
  </si>
  <si>
    <t>Charging modes,Real Battery Management</t>
  </si>
  <si>
    <t>CSS-IVE-94237</t>
  </si>
  <si>
    <t>Verify EC detects the Sx transitions and configure the GPIOs without failure</t>
  </si>
  <si>
    <t>LED Indicators,Power Btn/HID,S-states</t>
  </si>
  <si>
    <t>LED indicators,Power Btn/HID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</si>
  <si>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</si>
  <si>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</si>
  <si>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</si>
  <si>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</si>
  <si>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USB/XHCI ports</t>
  </si>
  <si>
    <t>CSS-IVE-71508</t>
  </si>
  <si>
    <t>Verify when the system is reset, the 7 segment POST code display is cleared</t>
  </si>
  <si>
    <t>CSS-IVE-71571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</si>
  <si>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</si>
  <si>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</si>
  <si>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</si>
  <si>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reset.reset_and_boot</t>
  </si>
  <si>
    <t>G3-State,LED Indicators,Power Btn/HID</t>
  </si>
  <si>
    <t>CSS-IVE-100059</t>
  </si>
  <si>
    <t>Verify SUT enters to S5 state with legacy 4 seconds power button press functionality</t>
  </si>
  <si>
    <t>CSS-IVE-100057</t>
  </si>
  <si>
    <t>Verify system stability on performing Deep Sx cycles  in AC mode</t>
  </si>
  <si>
    <t>CSS-IVE-71688</t>
  </si>
  <si>
    <t>Verify SUT wake from Pseudo G3 via TAD Alarm</t>
  </si>
  <si>
    <t>Wake Events,Power Btn/HID</t>
  </si>
  <si>
    <t>EC-BIOS interface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</si>
  <si>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</si>
  <si>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</si>
  <si>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</si>
  <si>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</si>
  <si>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bios.fsp,bios.me,bios.pch,bios.platform,bios.sa</t>
  </si>
  <si>
    <t>FSP,UEFI</t>
  </si>
  <si>
    <t>FSP,Memory Technologies/Topologies</t>
  </si>
  <si>
    <t>CSS-IVE-79821</t>
  </si>
  <si>
    <t>[FSP] Boot mode Check (Full Configuration,S3 Resume &amp; S4 Resume)</t>
  </si>
  <si>
    <t>bios.cpu_pm,bios.fsp,bios.me,bios.platform,bios.sa</t>
  </si>
  <si>
    <t>FSP</t>
  </si>
  <si>
    <t>CSS-IVE-78919</t>
  </si>
  <si>
    <t>[FSP2.0]: Verify FSP_SMBIOS_PROCESSOR_INFO HOB table</t>
  </si>
  <si>
    <t>bios.fsp,bios.pch,bios.platform,bios.sa</t>
  </si>
  <si>
    <t>CSS-IVE-79902</t>
  </si>
  <si>
    <t>[FSP2.0]: Verify FSP_SMBIOS_CACHE_INFO HOB table</t>
  </si>
  <si>
    <t>CSS-IVE-79905</t>
  </si>
  <si>
    <t>[FSP2.1]: Verify FSP_ERROR_INFO_HOB table</t>
  </si>
  <si>
    <t>bios.fsp,bios.pch,bios.platform</t>
  </si>
  <si>
    <t>CSS-IVE-122364</t>
  </si>
  <si>
    <t>Check BIOS shall display setup option for Graphics Frequency with S3 &amp; S4 cycles</t>
  </si>
  <si>
    <t>iGfx,S-states</t>
  </si>
  <si>
    <t>S-states,iGfx</t>
  </si>
  <si>
    <t>CSS-IVE-63290</t>
  </si>
  <si>
    <t>Check UEFI can obtain the EDID of the display</t>
  </si>
  <si>
    <t>iGfx</t>
  </si>
  <si>
    <t>CSS-IVE-47412</t>
  </si>
  <si>
    <t>Verifying whether the applied GTT table size reflected correctly or not in registers</t>
  </si>
  <si>
    <t>GTT,iGfx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</si>
  <si>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</si>
  <si>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</si>
  <si>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</si>
  <si>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</si>
  <si>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iGfx,Internal Tools</t>
  </si>
  <si>
    <t>Internal Tools,iGfx</t>
  </si>
  <si>
    <t>CSS-IVE-44343</t>
  </si>
  <si>
    <t>Verify Dual display is working in Clone mode (onboard eDP+HDMI)</t>
  </si>
  <si>
    <t>Display Panels,HDMI</t>
  </si>
  <si>
    <t>CSS-IVE-67824</t>
  </si>
  <si>
    <t>Verify Audio playback from HDMI monitor</t>
  </si>
  <si>
    <t>audio codecs,HDMI,HDMI-Audio</t>
  </si>
  <si>
    <t>HDMI,HDMI-Audio,audio codecs</t>
  </si>
  <si>
    <t>CSS-IVE-67858</t>
  </si>
  <si>
    <t>Verify max resolution with different display monitors</t>
  </si>
  <si>
    <t>Display Panels,DP-Display,HDMI</t>
  </si>
  <si>
    <t>DP-Display,Display Panels,HDMI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</si>
  <si>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</si>
  <si>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</si>
  <si>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</si>
  <si>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</si>
  <si>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</si>
  <si>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</si>
  <si>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</si>
  <si>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</si>
  <si>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DP-Display,iGfx</t>
  </si>
  <si>
    <t>Display Panels,iGfx</t>
  </si>
  <si>
    <t>CSS-IVE-70954</t>
  </si>
  <si>
    <t>Verify onboard graphics driver can be Installed/uninstalled without issue in single display mode for HDMI</t>
  </si>
  <si>
    <t>Display Panels,HDMI,iGfx</t>
  </si>
  <si>
    <t>CSS-IVE-70955</t>
  </si>
  <si>
    <t>Verify Bios options to change the default config for DMI</t>
  </si>
  <si>
    <t>CSS-IVE-70959</t>
  </si>
  <si>
    <t>Check that BIOS shall display an option to set the DMI ports</t>
  </si>
  <si>
    <t>BIOS Information,DMI/fDMI,PCIe_register</t>
  </si>
  <si>
    <t>CSS-IVE-71128</t>
  </si>
  <si>
    <t>Check Enable/Disable Gen2 option in BIOS for its functionality</t>
  </si>
  <si>
    <t>M.2 SATAe PCIe Gen2x2,PCIe_register,SATA/PCIe combo ports</t>
  </si>
  <si>
    <t>CSS-IVE-71251</t>
  </si>
  <si>
    <t>Check if BIOS supports the multiple DVMT option</t>
  </si>
  <si>
    <t>BIOS Information,DVMT,iGfx</t>
  </si>
  <si>
    <t>DVMT</t>
  </si>
  <si>
    <t>CSS-IVE-92231</t>
  </si>
  <si>
    <t>Verify ISP camera device enumeration when GFX driver uninstalled using USB Camera</t>
  </si>
  <si>
    <t>imaging</t>
  </si>
  <si>
    <t>USB-Camera</t>
  </si>
  <si>
    <t>USB 2.0,USB 3.0,USB-Camera</t>
  </si>
  <si>
    <t>CSS-IVE-86899</t>
  </si>
  <si>
    <t>Check Audio DSP state in BIOS during CMS</t>
  </si>
  <si>
    <t>audio codecs,MoS (Modern Standby)</t>
  </si>
  <si>
    <t>CSS-IVE-80320</t>
  </si>
  <si>
    <t>Verify Audio offload While in Connected MOS</t>
  </si>
  <si>
    <t>3.5mm Jack,MoS (Modern Standby)</t>
  </si>
  <si>
    <t>MoS(Modern Standby),audio codecs</t>
  </si>
  <si>
    <t>CSS-IVE-95211</t>
  </si>
  <si>
    <t>Verify C10 and Slp-S0 is achieved in Connected MOS during video play back</t>
  </si>
  <si>
    <t>audio.cavs</t>
  </si>
  <si>
    <t>MoS(Modern Standby),cAVS</t>
  </si>
  <si>
    <t>CSS-IVE-95308</t>
  </si>
  <si>
    <t>Verify CD Clock menu options in BIOS &amp; its functionality in OS</t>
  </si>
  <si>
    <t>BenchMark Tests,BIOS Information,iGfx</t>
  </si>
  <si>
    <t>CSS-IVE-97227</t>
  </si>
  <si>
    <t>Verify PlayReady3 functionality before &amp; after S3</t>
  </si>
  <si>
    <t>content_protection</t>
  </si>
  <si>
    <t>PAVP,Play Ready 3,S-states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</si>
  <si>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</si>
  <si>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</si>
  <si>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</si>
  <si>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</si>
  <si>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</si>
  <si>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</si>
  <si>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BenchMark Tests,BIOS Information,iGfx,Power Btn/HID,S-states</t>
  </si>
  <si>
    <t>CSS-IVE-97322</t>
  </si>
  <si>
    <t>Verify Display Audio Driver enumeration with 5K Panel</t>
  </si>
  <si>
    <t>5K Display,HDMI-Audio</t>
  </si>
  <si>
    <t>CSS-IVE-99453</t>
  </si>
  <si>
    <t>Verify Audio Play back on 5K Display Panel</t>
  </si>
  <si>
    <t>Display Panels,HDMI,HDMI-Audio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</si>
  <si>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</si>
  <si>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</si>
  <si>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</si>
  <si>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</si>
  <si>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</si>
  <si>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</si>
  <si>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3.5mm Jack,audio codecs</t>
  </si>
  <si>
    <t>CSS-IVE-100025</t>
  </si>
  <si>
    <t>Verify 5K Display Panel enumeration in Device Manager before and after S3 cycle</t>
  </si>
  <si>
    <t>5K Display,S-states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</si>
  <si>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</si>
  <si>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</si>
  <si>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</si>
  <si>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</si>
  <si>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Display Panels,HDMI,MoS (Modern Standby)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</si>
  <si>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</si>
  <si>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</si>
  <si>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</si>
  <si>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</si>
  <si>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</si>
  <si>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</si>
  <si>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</si>
  <si>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</si>
  <si>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</si>
  <si>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</si>
  <si>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HDCP,HDMI,PAVP,Play Ready 3,S-states</t>
  </si>
  <si>
    <t>CSS-IVE-114696</t>
  </si>
  <si>
    <t>Verify USB-Audio offload when System in CMS</t>
  </si>
  <si>
    <t>audio codecs,MoS (Modern Standby),USB3.0</t>
  </si>
  <si>
    <t>Low Power Audio,MoS(Modern Standby)</t>
  </si>
  <si>
    <t>CSS-IVE-115585</t>
  </si>
  <si>
    <t>Verify Audio Play back on 8K DP Monitor Pre and Post S3,S4,S5 cycles</t>
  </si>
  <si>
    <t>audio codecs,Display Panels,DP-Display,S-states</t>
  </si>
  <si>
    <t>8K Display,S-states</t>
  </si>
  <si>
    <t>CSS-IVE-116765</t>
  </si>
  <si>
    <t>Verify Audio Play back on 8K DP Monitor Pre and Post CMS cycles</t>
  </si>
  <si>
    <t>audio codecs,Display Panels,DP-Display,MoS (Modern Standby)</t>
  </si>
  <si>
    <t>8K Display,MoS(Modern Standby)</t>
  </si>
  <si>
    <t>CSS-IVE-116766</t>
  </si>
  <si>
    <t>Verify Audio Play back on 8K DP Monitor Pre and Post DMS cycles</t>
  </si>
  <si>
    <t>CSS-IVE-116767</t>
  </si>
  <si>
    <t>Verify Video Play back on 8K DP Monitor</t>
  </si>
  <si>
    <t>audio codecs,Display Panels,DP-Display</t>
  </si>
  <si>
    <t>8K Display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</si>
  <si>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</si>
  <si>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</si>
  <si>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</si>
  <si>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</si>
  <si>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</si>
  <si>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</si>
  <si>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</si>
  <si>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</si>
  <si>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security</t>
  </si>
  <si>
    <t>Vt-D</t>
  </si>
  <si>
    <t>CSS-IVE-50457</t>
  </si>
  <si>
    <t>Verify DMAR Table is not populated on Disabling VT-D in Intel test menu enabled BIOS</t>
  </si>
  <si>
    <t>ACPI,Vt-D</t>
  </si>
  <si>
    <t>CSS-IVE-50459</t>
  </si>
  <si>
    <t>Verify GT PSMI Support in BIOS</t>
  </si>
  <si>
    <t>BIOS Information,iGfx,PSMI</t>
  </si>
  <si>
    <t>CSS-IVE-105610</t>
  </si>
  <si>
    <t>Verify Gfx BIOS Work around to enable proper GAW (Guest Address Width)/HAW (Host Address Width) support</t>
  </si>
  <si>
    <t>GTT</t>
  </si>
  <si>
    <t>CSS-IVE-135390</t>
  </si>
  <si>
    <t>Verify HD/FHD USB camera is functioning properly for capturing images &amp; video with pre and post S3 cycles</t>
  </si>
  <si>
    <t>S-states,USB2.0,USB3.0,USB-Camera</t>
  </si>
  <si>
    <t>S-states,USB-Camera</t>
  </si>
  <si>
    <t>CSS-IVE-145020</t>
  </si>
  <si>
    <t>Verify HD/FHD USB camera is functioning properly for capturing images &amp; video with pre and post CMS cycles</t>
  </si>
  <si>
    <t>MoS (Modern Standby),S0ix-states,USB2.0,USB3.0,USB-Camera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</si>
  <si>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</si>
  <si>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</si>
  <si>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</si>
  <si>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</si>
  <si>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</si>
  <si>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</si>
  <si>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</si>
  <si>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</si>
  <si>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BIOS-Boot-Flows,UEFI,USB/XHCI ports,USB2.0</t>
  </si>
  <si>
    <t>BIOS-Boot-Flows,UEFI,USB 2.0,USB/XHCI ports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</si>
  <si>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</si>
  <si>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</si>
  <si>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</si>
  <si>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</si>
  <si>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</si>
  <si>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</si>
  <si>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</si>
  <si>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</si>
  <si>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</si>
  <si>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</si>
  <si>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</si>
  <si>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</si>
  <si>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BIOS-Boot-Flows,USB/XHCI ports,USB2.0</t>
  </si>
  <si>
    <t>CSS-IVE-65791</t>
  </si>
  <si>
    <t>Verification of PEP ACPI device enablement</t>
  </si>
  <si>
    <t>CSS-IVE-62138</t>
  </si>
  <si>
    <t>Verification of HPET (High Precision Event Timer) initialization</t>
  </si>
  <si>
    <t>ACPI,PCH timers</t>
  </si>
  <si>
    <t>CSS-IVE-62139</t>
  </si>
  <si>
    <t>Verify Aggressive LPM Support bios options</t>
  </si>
  <si>
    <t>LPM,RST</t>
  </si>
  <si>
    <t>CSS-IVE-62147</t>
  </si>
  <si>
    <t>Verify disable/enable of Internal GbE Controller in BIOS</t>
  </si>
  <si>
    <t>CSS-IVE-62149</t>
  </si>
  <si>
    <t>Verify Wake up from S4 on xHCI via keyboard</t>
  </si>
  <si>
    <t>power_management.power_mgmt_cntrl</t>
  </si>
  <si>
    <t>Wake Events,S-states,USB/XHCI ports,USB3.0</t>
  </si>
  <si>
    <t>PMC,USB/XHCI ports</t>
  </si>
  <si>
    <t>CSS-IVE-62158</t>
  </si>
  <si>
    <t>verify CLKREQ to Root Port Mapping</t>
  </si>
  <si>
    <t>PCH-Straps,PCIe_register,PCIe-RST,RST</t>
  </si>
  <si>
    <t>CSS-IVE-62163</t>
  </si>
  <si>
    <t>Verify boot to OS from PCIe AHCI remapped device</t>
  </si>
  <si>
    <t>M.2 SATA,SATA/PCIe combo ports</t>
  </si>
  <si>
    <t>M.2 PCIe Gen3x2 &amp; gen 3x4 NVMe</t>
  </si>
  <si>
    <t>CSS-IVE-64366</t>
  </si>
  <si>
    <t>Verify  HDA\iDisplay link frequency set  after S3/S4</t>
  </si>
  <si>
    <t>audio codecs,S-states</t>
  </si>
  <si>
    <t>CSS-IVE-64369</t>
  </si>
  <si>
    <t>Verify USB Type-C device is reported as an ACPI device under OS Device Manager</t>
  </si>
  <si>
    <t>ACPI,TCSS,USB-TypeC</t>
  </si>
  <si>
    <t>CSS-IVE-64383</t>
  </si>
  <si>
    <t>Verify data transfer functionality over Type C port after Cold Boot , S3, S4, S5 Cycles</t>
  </si>
  <si>
    <t>S-states,TCSS,USB-TypeC,USB3.1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</si>
  <si>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</si>
  <si>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</si>
  <si>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</si>
  <si>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</si>
  <si>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Foxville,GbE,PCH-Straps,PCIe LAN</t>
  </si>
  <si>
    <t>GbE,LAN,PCIE LAN</t>
  </si>
  <si>
    <t>CSS-IVE-63280</t>
  </si>
  <si>
    <t>Verify Blu-Ray 2.2 playback support using HDMI 2.2</t>
  </si>
  <si>
    <t>CSS-IVE-79886</t>
  </si>
  <si>
    <t>Verify BT power state control through S0W or PR3 method</t>
  </si>
  <si>
    <t>discrete WiFi/BT,MoS (Modern Standby)</t>
  </si>
  <si>
    <t>MoS(Modern Standby),discrete WiFi/BT</t>
  </si>
  <si>
    <t>CSS-IVE-79890</t>
  </si>
  <si>
    <t>Verify I2C Device Declaration in ACPI table for I2C Controllers</t>
  </si>
  <si>
    <t>ACPI,I2C</t>
  </si>
  <si>
    <t>I2C</t>
  </si>
  <si>
    <t>CSS-IVE-80264</t>
  </si>
  <si>
    <t>Verify USB3.0 Hub detection &amp; functionality in OS, EFI, BIOS over USB Type-A and Type-C port</t>
  </si>
  <si>
    <t>BIOS-Boot-Flows,TCSS,UEFI,USB/XHCI ports,USB3.0,USB-TypeC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</si>
  <si>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</si>
  <si>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</si>
  <si>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</si>
  <si>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</si>
  <si>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debug interfaces,FPS/iFPS,I2C,I2C/USB touch pad,Precise Touchpad,SPI bus,UART</t>
  </si>
  <si>
    <t>FPS/iFPS,I2C,I2C/USB touch pad,Precise Touchpad,SPI bus,UART,debug interfaces</t>
  </si>
  <si>
    <t>CSS-IVE-69877</t>
  </si>
  <si>
    <t>Verify Bios options in TPV device manager with RAID enabled &amp; disabled</t>
  </si>
  <si>
    <t>M.2 PCIe Gen3x2 and Gen3x4 NVMe,RAID</t>
  </si>
  <si>
    <t>M.2 PCIe Gen3x2 &amp; gen 3x4 NVMe,RAID</t>
  </si>
  <si>
    <t>CSS-IVE-71582</t>
  </si>
  <si>
    <t>Verify that the I2C0 Device Touch Pad enumerating properly or not.</t>
  </si>
  <si>
    <t>I2C,I2C/USB touch pad,RTC,S-states,TouchPad</t>
  </si>
  <si>
    <t>touch panel</t>
  </si>
  <si>
    <t>CSS-IVE-70831</t>
  </si>
  <si>
    <t>Verify load setup default in Consumer SKU SPI image and check "Manageability Application Configuration" is listed in BIOS</t>
  </si>
  <si>
    <t>CSE/TXE,CSE-BIOS HECI,MEBx</t>
  </si>
  <si>
    <t>MEBx</t>
  </si>
  <si>
    <t>CSS-IVE-70842</t>
  </si>
  <si>
    <t>Verify bios options and check for BIOS set retain after CMOS battery clear in the USB configuration page</t>
  </si>
  <si>
    <t>BIOS Information,RTC,USB/XHCI ports,USB3.0</t>
  </si>
  <si>
    <t>CSS-IVE-70858</t>
  </si>
  <si>
    <t>Verify that when BIOS detects a PCIe NAND Storage device it should enumerate under AHCI Controller by default</t>
  </si>
  <si>
    <t>M.2 PCIe Gen3x2 and Gen3x4 NVMe,PCIe-RST,RST,S-states</t>
  </si>
  <si>
    <t>CSS-IVE-70894</t>
  </si>
  <si>
    <t>Verify Intel Smart Sound Technology &amp; DMIC Hardware ID in OS after multiple S3 &amp; S4 cycles</t>
  </si>
  <si>
    <t>bios.pch,fw.ifwi.bios,fw.ifwi.pmc</t>
  </si>
  <si>
    <t>MoS (Modern Standby),S-states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</si>
  <si>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</si>
  <si>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</si>
  <si>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</si>
  <si>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</si>
  <si>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Pre-OS display,RAID,SATA Gen3 Direct AHCI,S-states</t>
  </si>
  <si>
    <t>Pre-OS display,RAID,S-states,SATA Gen3 Direct AHCI</t>
  </si>
  <si>
    <t>CSS-IVE-70897</t>
  </si>
  <si>
    <t>Verify "PCIe Speed" options for PCI Express Root Port</t>
  </si>
  <si>
    <t>M.2 PCIe Gen3x2 and Gen3x4 NVMe,PCIe-RST,SATA Gen3 Direct AHCI</t>
  </si>
  <si>
    <t>PCI-Gen4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</si>
  <si>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</si>
  <si>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</si>
  <si>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</si>
  <si>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</si>
  <si>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BIOS-Boot-Flows,M.2 PCIe Gen3x2 and Gen3x4 NVMe,RAID</t>
  </si>
  <si>
    <t>BIOS-Boot-Flows,M.2 PCIe Gen3x2 &amp; gen 3x4 NVMe,RAID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</si>
  <si>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</si>
  <si>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</si>
  <si>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</si>
  <si>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</si>
  <si>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BIOS-Boot-Flows,debug interfaces,ISH</t>
  </si>
  <si>
    <t>ISH,debug interfaces</t>
  </si>
  <si>
    <t>CSS-IVE-71074</t>
  </si>
  <si>
    <t>Verify strap lanes 14-17 of SPTH are programmed to be DMI in the CommonLane section of ChipsetInit</t>
  </si>
  <si>
    <t>BIOS-Boot-Flows,Chipsetinit-Loading,debug interfaces,DMI/fDMI</t>
  </si>
  <si>
    <t>CSS-IVE-71377</t>
  </si>
  <si>
    <t>Verify BIOS can set both the eSPI-MC s BME bits and the eSPI Slaves BME bits using the Tunneled Access to Slave Configuration mechanism.</t>
  </si>
  <si>
    <t>io_general.spi</t>
  </si>
  <si>
    <t>eSPI,PCH-Straps</t>
  </si>
  <si>
    <t>eSPI</t>
  </si>
  <si>
    <t>CSS-IVE-71378</t>
  </si>
  <si>
    <t>Verifying Speaker/ Audio jack detection and audio switching from Inbuilt speakers to Headphones and vice versa</t>
  </si>
  <si>
    <t>bios.pch,fw.ifwi.bios</t>
  </si>
  <si>
    <t>CSS-IVE-72701</t>
  </si>
  <si>
    <t>Verify BIOS display an option to enable or disable ASPM on Root port links</t>
  </si>
  <si>
    <t>BIOS Information,PCIe_register</t>
  </si>
  <si>
    <t>CSS-IVE-80008</t>
  </si>
  <si>
    <t>Verify disable/enable USB3.0 ports in BIOS and its corresponding behavior in OS</t>
  </si>
  <si>
    <t>CSS-IVE-80983</t>
  </si>
  <si>
    <t>Verify USB2 ports enabled by default in BIOS and its Functionality in EFI/Windows OS (Only for ULT/ULX)</t>
  </si>
  <si>
    <t>TCSS,UEFI,USB/XHCI ports,USB2.0</t>
  </si>
  <si>
    <t>CSS-IVE-84957</t>
  </si>
  <si>
    <t>Verify BIOS can support enumerating PUIS (Power-up In Standby) enabled disk</t>
  </si>
  <si>
    <t>HDD,SATA/PCIe combo ports,S-states</t>
  </si>
  <si>
    <t>SATA Gen3 Direct AHCI</t>
  </si>
  <si>
    <t>CSS-IVE-84971</t>
  </si>
  <si>
    <t>Verify Audio Codec details are present in ACPI tables</t>
  </si>
  <si>
    <t>ACPI,audio codecs</t>
  </si>
  <si>
    <t>CSS-IVE-86413</t>
  </si>
  <si>
    <t>PCI Express Register Range Base Address (PCIEXBAR) should be initialized and enabled by System BIOS</t>
  </si>
  <si>
    <t>PCIe_register,PCIe-RST</t>
  </si>
  <si>
    <t>PCIe-RST</t>
  </si>
  <si>
    <t>CSS-IVE-86471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</si>
  <si>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</si>
  <si>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</si>
  <si>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</si>
  <si>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</si>
  <si>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Verify BIOS support for PCIe x4 port</t>
  </si>
  <si>
    <t>M.2 PCIe Gen3x2 and Gen3x4 NVMe,PCIe-RST,UEFI</t>
  </si>
  <si>
    <t>CSS-IVE-84968</t>
  </si>
  <si>
    <t>Verify BIOS support to spin up a drive that is in the PUIS state when resuming from S3</t>
  </si>
  <si>
    <t>BIOS-Boot-Flows,HDD,PS_ON,S-states</t>
  </si>
  <si>
    <t>HDD,SATA Gen3 Direct AHCI</t>
  </si>
  <si>
    <t>CSS-IVE-84970</t>
  </si>
  <si>
    <t>Verification of Audio PEP device ID after resuming from CMS</t>
  </si>
  <si>
    <t>CSS-IVE-78898</t>
  </si>
  <si>
    <t>Verify setup option for enabling/disabling reading of PCH temperature</t>
  </si>
  <si>
    <t>PCH-Straps</t>
  </si>
  <si>
    <t>CSS-IVE-75404</t>
  </si>
  <si>
    <t>Verify Bluetooth endpoint enable/disable switch options for HD Audio Configuration in BIOS setup</t>
  </si>
  <si>
    <t>audio codecs,Bluetooth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</si>
  <si>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</si>
  <si>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</si>
  <si>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</si>
  <si>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</si>
  <si>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</si>
  <si>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</si>
  <si>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</si>
  <si>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</si>
  <si>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</si>
  <si>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default Critical Trip point value in BIOS</t>
  </si>
  <si>
    <t>CSS-IVE-91089</t>
  </si>
  <si>
    <t>Verify GPIO device ID</t>
  </si>
  <si>
    <t>GPIO,Serial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</si>
  <si>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</si>
  <si>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</si>
  <si>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</si>
  <si>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</si>
  <si>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</si>
  <si>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</si>
  <si>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</si>
  <si>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</si>
  <si>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M.2 PCIe Gen3x2 and Gen3x4 NVMe</t>
  </si>
  <si>
    <t>CSS-IVE-76099</t>
  </si>
  <si>
    <t>Verify Bios page and its sub pages interface load in Bios setup</t>
  </si>
  <si>
    <t>audio codecs,BIOS Information</t>
  </si>
  <si>
    <t>BIOS Information,audio codecs</t>
  </si>
  <si>
    <t>CSS-IVE-76125</t>
  </si>
  <si>
    <t>Verify Intel HDA Power/Clock gating setup option in BIOS</t>
  </si>
  <si>
    <t>Pre-OS display</t>
  </si>
  <si>
    <t>CSS-IVE-78781</t>
  </si>
  <si>
    <t>Verify Data Transfer Over Internet - WLAN</t>
  </si>
  <si>
    <t>CSS-IVE-94980</t>
  </si>
  <si>
    <t>Verify Opal supported NVMe SSD detection in BIOS Opal menu</t>
  </si>
  <si>
    <t>M.2 PCIe Gen3x2 and Gen3x4 NVMe,Opal</t>
  </si>
  <si>
    <t>M.2 PCIe Gen3x2 &amp; gen 3x4 NVMe,Opal</t>
  </si>
  <si>
    <t>CSS-IVE-95021</t>
  </si>
  <si>
    <t>Verify detection and functionality of PCIe AIC M.2 SSD as Secondary Boot Media</t>
  </si>
  <si>
    <t>CSS-IVE-95330</t>
  </si>
  <si>
    <t>Verify Non remapped device detection in EFI device list</t>
  </si>
  <si>
    <t>M.2 PCIe Gen3x2 and Gen3x4 NVMe,Optane,SATA Gen3 Direct AHCI</t>
  </si>
  <si>
    <t>M.2 PCIe Gen3x2 &amp; gen 3x4 NVMe,Optane,SATA Gen3 Direct AHCI</t>
  </si>
  <si>
    <t>CSS-IVE-97234</t>
  </si>
  <si>
    <t>Verify RST driver version in OS device manager with RAID mode</t>
  </si>
  <si>
    <t>M.2 PCIe Gen3x2 and Gen3x4 NVMe,Optane</t>
  </si>
  <si>
    <t>M.2 PCIe Gen3x2 &amp; gen 3x4 NVMe,Optane</t>
  </si>
  <si>
    <t>CSS-IVE-97241</t>
  </si>
  <si>
    <t>Verify BIOS detects PCIe device connected over X1/X4 slot with remapping enabled on M.2 slot</t>
  </si>
  <si>
    <t>LAN,M.2 PCIe Gen3x2 and Gen3x4 NVMe</t>
  </si>
  <si>
    <t>LAN,M.2 PCIe Gen3x2 &amp; gen 3x4 NVMe</t>
  </si>
  <si>
    <t>CSS-IVE-97354</t>
  </si>
  <si>
    <t>Verify all supported Device ID"s are ported correctly</t>
  </si>
  <si>
    <t>I2C,SPI bus,UART</t>
  </si>
  <si>
    <t>CSS-IVE-85630</t>
  </si>
  <si>
    <t>Verify SUT support Debug Trace log capture via TAP over JTAG when SUT is in Sleep state (Route traces to PTI)</t>
  </si>
  <si>
    <t>NPK,S-states,debug interfaces</t>
  </si>
  <si>
    <t>CSS-IVE-99697</t>
  </si>
  <si>
    <t>Verify that BIOS can enable and Disable for Connected Standby</t>
  </si>
  <si>
    <t>MoS(Modern Standby)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</si>
  <si>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</si>
  <si>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</si>
  <si>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</si>
  <si>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</si>
  <si>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M.2 PCIe Gen3x2 and Gen3x4 NVMe,MoS (Modern Standby),SLP_S0</t>
  </si>
  <si>
    <t>M.2 PCIe Gen3x2 &amp; gen 3x4 NVMe,MoS(Modern Standby),SLP_S0</t>
  </si>
  <si>
    <t>CSS-IVE-101337</t>
  </si>
  <si>
    <t>Verify NVMe SSD achieve SLP_S0 residency during 12 hours of CS-idle</t>
  </si>
  <si>
    <t>CSS-IVE-101338</t>
  </si>
  <si>
    <t>Verify M.2 SSD achieve SLP_S0 residency during long hours of CS-idle time</t>
  </si>
  <si>
    <t>M.2 SATA,MoS (Modern Standby),SLP_S0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</si>
  <si>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</si>
  <si>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</si>
  <si>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</si>
  <si>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</si>
  <si>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bios.pch,fw.ifwi.pchc,fw.ifwi.pmc</t>
  </si>
  <si>
    <t>SDIO,SDXC</t>
  </si>
  <si>
    <t>CSS-IVE-101602</t>
  </si>
  <si>
    <t>Verify PCIe SD Card detection after multiple cycles of plug and play media file with Sx cycles</t>
  </si>
  <si>
    <t>SDIO,SDXC,S-states</t>
  </si>
  <si>
    <t>S-states,SDIO,SDXC</t>
  </si>
  <si>
    <t>CSS-IVE-101603</t>
  </si>
  <si>
    <t>Verify PCIe SD Card detection after multiple cycles of plug and play media file with Sx cycles in DC mode</t>
  </si>
  <si>
    <t>bios.pch,fw.ifwi.pmc</t>
  </si>
  <si>
    <t>Real Battery Management,SDIO,SDXC,S-states</t>
  </si>
  <si>
    <t>Real Battery Management,S-states,SDIO,SDXC</t>
  </si>
  <si>
    <t>CSS-IVE-101619</t>
  </si>
  <si>
    <t>Verify Clear LPP_CTL.LPMEN bit before initializing Trace Hub</t>
  </si>
  <si>
    <t>CSS-IVE-102188</t>
  </si>
  <si>
    <t>Verify BIOS support for multiple PCI segments</t>
  </si>
  <si>
    <t>BIOS Information,iTBT,PCIe_register</t>
  </si>
  <si>
    <t>BIOS Information,iTBT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</si>
  <si>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</si>
  <si>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</si>
  <si>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</si>
  <si>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</si>
  <si>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</si>
  <si>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</si>
  <si>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ACPI,COM,debug interfaces,Serial,UART</t>
  </si>
  <si>
    <t>ACPI,COM,Serial,UART,debug interfaces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</si>
  <si>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</si>
  <si>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</si>
  <si>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</si>
  <si>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</si>
  <si>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</si>
  <si>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</si>
  <si>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I2C,LPSS</t>
  </si>
  <si>
    <t>CSS-IVE-105571</t>
  </si>
  <si>
    <t>Verifying PCIe-USB add-on card support post Sx Cycle</t>
  </si>
  <si>
    <t>S-states,USB/XHCI ports,USB3.0</t>
  </si>
  <si>
    <t>CSS-IVE-105705</t>
  </si>
  <si>
    <t>Verify Bios options in DMI Configuration</t>
  </si>
  <si>
    <t>BIOS Information,DMI/fDMI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</si>
  <si>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</si>
  <si>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</si>
  <si>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</si>
  <si>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</si>
  <si>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</si>
  <si>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</si>
  <si>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</si>
  <si>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</si>
  <si>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</si>
  <si>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</si>
  <si>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</si>
  <si>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</si>
  <si>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BIOS Information,Internal Tools,PMC,PMC_register</t>
  </si>
  <si>
    <t>BIOS Information,PMC</t>
  </si>
  <si>
    <t>CSS-IVE-113856</t>
  </si>
  <si>
    <t>Verify BIOS support for Early Hard disk Spin up</t>
  </si>
  <si>
    <t>debug interfaces,SATA Gen3 Direct AHCI</t>
  </si>
  <si>
    <t>SATA Gen3 Direct AHCI,debug interfaces</t>
  </si>
  <si>
    <t>CSS-IVE-114237</t>
  </si>
  <si>
    <t>Verify VMD NVMe device boot and system stability after Sx cycles</t>
  </si>
  <si>
    <t>bios.cpu_pm,fw.ifwi.bios,fw.ifwi.pmc</t>
  </si>
  <si>
    <t>DMI/fDMI,VMD</t>
  </si>
  <si>
    <t>DMI/fDMI,DVMT,M.2 PCIe Gen3x2 &amp; gen 3x4 NVMe</t>
  </si>
  <si>
    <t>CSS-IVE-115637</t>
  </si>
  <si>
    <t>Verify device ID of Integrated Error Handler</t>
  </si>
  <si>
    <t>debug.integrated_error_handler</t>
  </si>
  <si>
    <t>CSS-IVE-117483</t>
  </si>
  <si>
    <t>Verify different boot mode of Integrated Error Handler</t>
  </si>
  <si>
    <t>BIOS-Boot-Flows,PCH-Straps</t>
  </si>
  <si>
    <t>CSS-IVE-117485</t>
  </si>
  <si>
    <t>Verify SATA disabling flow with NVMe as a boot source</t>
  </si>
  <si>
    <t>M.2 PCIe Gen3x2 and Gen3x4 NVMe,PCIe-RST,RST,SATA Gen3 Direct AHCI</t>
  </si>
  <si>
    <t>M.2 PCIe Gen3x2 &amp; gen 3x4 NVMe,PCIe-RST,RST,SATA Gen3 Direct AHCI</t>
  </si>
  <si>
    <t>CSS-IVE-117876</t>
  </si>
  <si>
    <t>Verify remapped device detection in EFI device list</t>
  </si>
  <si>
    <t>CSS-IVE-118202</t>
  </si>
  <si>
    <t>Verify warm reset and Sx cycle with PCIe Gen4 NVMe SSD connected over PCIe Gen4 supported X4 slot</t>
  </si>
  <si>
    <t>PCIe-Gen4,RST</t>
  </si>
  <si>
    <t>Hybrid-Optane,Optane,RST</t>
  </si>
  <si>
    <t>CSS-IVE-119125</t>
  </si>
  <si>
    <t>Verify Bios programs chipset initialization registers for PMC</t>
  </si>
  <si>
    <t>Chipsetinit-Loading,PMC</t>
  </si>
  <si>
    <t>CSS-IVE-120102</t>
  </si>
  <si>
    <t>Verify M.2 SSD achieve SLP_S0 residency during CS</t>
  </si>
  <si>
    <t>InstantGo (CS),M.2 SATA,MoS (Modern Standby),SLP_S0</t>
  </si>
  <si>
    <t>M.2 SATA,MoS(Modern Standby),SLP_S0</t>
  </si>
  <si>
    <t>CSS-IVE-101272</t>
  </si>
  <si>
    <t>Verify RAID 1 configuration in NVME interface using VMD</t>
  </si>
  <si>
    <t>PCIe-Gen4,PCIe-RST,Pre-OS display,RAID,S-states,VMD</t>
  </si>
  <si>
    <t>PCI-Gen4,PCIe-RST,Pre-OS display,RAID,S-states,VMD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</si>
  <si>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</si>
  <si>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</si>
  <si>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</si>
  <si>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</si>
  <si>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</si>
  <si>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</si>
  <si>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</si>
  <si>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</si>
  <si>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</si>
  <si>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</si>
  <si>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PCIe-Gen4,PCIe-RST,S-states,VMD</t>
  </si>
  <si>
    <t>PCI-Gen4,PCIe-RST,S-states,VMD</t>
  </si>
  <si>
    <t>CSS-IVE-129730</t>
  </si>
  <si>
    <t>Verify OS installation and system stability after Sx with NVME connected in PCH slot with VMD port disabled</t>
  </si>
  <si>
    <t>PCIe-RST,S-states,VMD</t>
  </si>
  <si>
    <t>CSS-IVE-129731</t>
  </si>
  <si>
    <t>Verify NVMe device boot and system stability after Sx with VMD port enabled</t>
  </si>
  <si>
    <t>CSS-IVE-129735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</si>
  <si>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</si>
  <si>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</si>
  <si>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</si>
  <si>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</si>
  <si>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</si>
  <si>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</si>
  <si>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</si>
  <si>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connectivity.bluetooth</t>
  </si>
  <si>
    <t>CSS-IVE-129967</t>
  </si>
  <si>
    <t>Verify if SSD hangs with PLN enabled/disabled with VMD Mode</t>
  </si>
  <si>
    <t>EC-BIOS interface,PCIe-RST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</si>
  <si>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</si>
  <si>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</si>
  <si>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</si>
  <si>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</si>
  <si>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</si>
  <si>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if Hybrid Optane supports RTD3 Cold Through VMD</t>
  </si>
  <si>
    <t>Hybrid-Optane,RTD3,S-states,VMD</t>
  </si>
  <si>
    <t>CSS-IVE-133111</t>
  </si>
  <si>
    <t>Verify CMS functionality after enabling External V1P05 Rail in BIOS (FIVR Settings)</t>
  </si>
  <si>
    <t>CSS-IVE-133310</t>
  </si>
  <si>
    <t>Verify Touch Panel(I2C) enumeration and functionality in OS pre and post Sx cycles</t>
  </si>
  <si>
    <t>I2C,S-states,touch panel</t>
  </si>
  <si>
    <t>CM-States,I2C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</si>
  <si>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</si>
  <si>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</si>
  <si>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</si>
  <si>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</si>
  <si>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</si>
  <si>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</si>
  <si>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HS_PHY,Mphy/HSIO,P2SB,PCIe_register,PMC</t>
  </si>
  <si>
    <t>Mphy/HSIO,PMC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</si>
  <si>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</si>
  <si>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</si>
  <si>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</si>
  <si>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</si>
  <si>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</si>
  <si>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</si>
  <si>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PCIe_register,RTD3</t>
  </si>
  <si>
    <t>CSS-IVE-135690</t>
  </si>
  <si>
    <t>Verify PCI_CFG_DIS bit is set in the Private configuration space</t>
  </si>
  <si>
    <t>io_pcie.pcie</t>
  </si>
  <si>
    <t>I2C,LPSS,PCIe_register,UART</t>
  </si>
  <si>
    <t>ACPI,I2C,P2SB,UART</t>
  </si>
  <si>
    <t>CSS-IVE-135697</t>
  </si>
  <si>
    <t>Verify if BIOS performs Hybrid loading</t>
  </si>
  <si>
    <t>BIOS-Boot-Flows,debug interfaces,Dekel Phy,HS_PHY,PCIe-Gen4,PCIe_Gen5,SATA Gen3 Direct AHCI</t>
  </si>
  <si>
    <t>PCI-Gen4,PCI-Gen5</t>
  </si>
  <si>
    <t>CSS-IVE-136324</t>
  </si>
  <si>
    <t>Verify root port based setup options in Intel Test menu</t>
  </si>
  <si>
    <t>CSS-IVE-136344</t>
  </si>
  <si>
    <t>Verify RTD3 support for NVME SSD connected over CPU M.2 Slot</t>
  </si>
  <si>
    <t>bios.cpu_pm,bios.platform,bios.sa</t>
  </si>
  <si>
    <t>D-States,M.2 PCIe Gen3x2 and Gen3x4 NVMe,M.2 PCIe Gen4,PCIe-Gen4,PCIe-RST,RTD3</t>
  </si>
  <si>
    <t>PCI-Gen4,RTD3</t>
  </si>
  <si>
    <t>CSS-IVE-136394</t>
  </si>
  <si>
    <t>Verify x2Apic structures support in MADT ACPI Table</t>
  </si>
  <si>
    <t>ACPI,APIC</t>
  </si>
  <si>
    <t>CSS-IVE-138266</t>
  </si>
  <si>
    <t>Verify FSPscope tool lists all FSP Components</t>
  </si>
  <si>
    <t>bios.cpu_pm,bios.fsp,bios.platform</t>
  </si>
  <si>
    <t>CSS-IVE-144417</t>
  </si>
  <si>
    <t>[FSP]Verify Component info with each FSP Components</t>
  </si>
  <si>
    <t>CSS-IVE-144431</t>
  </si>
  <si>
    <t>Verify Subsystem Vendor ID and Subsystem ID register in BDF-0:0:0 is correctly configured by BIOS</t>
  </si>
  <si>
    <t>DMI/fDMI,ext.Gfx,PCIe_register</t>
  </si>
  <si>
    <t>CSS-IVE-144434</t>
  </si>
  <si>
    <t>[FSP]Verify build and release type of FSP Component</t>
  </si>
  <si>
    <t>CSS-IVE-144435</t>
  </si>
  <si>
    <t>[FSP]: Verify FSP_RESERVED_MEMORY_RESOURCE _HOB and FSP_NON_VOLATILE_STORAGE_HOB table is available in FSP log</t>
  </si>
  <si>
    <t>CSS-IVE-144437</t>
  </si>
  <si>
    <t>Verify  BIOS should provide the options to Enable/Disable PEP devices</t>
  </si>
  <si>
    <t>GNA,I2C,I2C/USB touch pad,I3C,SATA Gen3 Direct AHCI,SATA/PCIe combo ports,SDXC,UART</t>
  </si>
  <si>
    <t>I2C,M.2 PCIe Gen3x2 &amp; gen 3x4 NVMe,UART</t>
  </si>
  <si>
    <t>CSS-IVE-144706</t>
  </si>
  <si>
    <t>Verify Storage remapping for PCIe NAND storage device Through VMD</t>
  </si>
  <si>
    <t>M.2 PCIe Gen3x2 and Gen3x4 NVMe,PCIe-RST,VMD</t>
  </si>
  <si>
    <t>M.2 PCIe Gen3x2 &amp; gen 3x4 NVMe,PCIe-RST,VMD</t>
  </si>
  <si>
    <t>CSS-IVE-144592</t>
  </si>
  <si>
    <t>Verify RAID0 with CPU Attached Storage Devices and system stability after Sx cycles Through VMD</t>
  </si>
  <si>
    <t>M.2 PCIe Gen3x2 and Gen3x4 NVMe,PCIe-Gen4,PCIe-RST,RAID,S-states,VMD</t>
  </si>
  <si>
    <t>M.2 PCIe Gen3x2 &amp; gen 3x4 NVMe,PCI-Gen4,PCIe-RST,RAID,S-states,VMD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</si>
  <si>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</si>
  <si>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</si>
  <si>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</si>
  <si>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</si>
  <si>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</si>
  <si>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Enabling/Disabling of Write-Cache Buffer Flushing on OS disk being Accelerated by PCIe Device Through VMD</t>
  </si>
  <si>
    <t>M.2 PCIe Gen3x2 and Gen3x4 NVMe,Optane,VMD</t>
  </si>
  <si>
    <t>M.2 PCIe Gen3x2 &amp; gen 3x4 NVMe,Optane,VMD</t>
  </si>
  <si>
    <t>CSS-IVE-144661</t>
  </si>
  <si>
    <t>Verify RAID creation with CPU Attached Storage Device and PCH attached device(on PCIe4 controller) through EFI shell via VMD</t>
  </si>
  <si>
    <t>M.2 PCIe Gen3x2 and Gen3x4 NVMe,Optane,PCIe-Gen4,PCIe-RST,VMD</t>
  </si>
  <si>
    <t>M.2 PCIe Gen3x2 &amp; gen 3x4 NVMe,Optane,PCI-Gen4,PCIe-RST,VMD</t>
  </si>
  <si>
    <t>CSS-IVE-144673</t>
  </si>
  <si>
    <t>Verify Enabling/Disabling of Write Cache on OS disk being Accelerated by PCIe Device Through VMD</t>
  </si>
  <si>
    <t>VMD</t>
  </si>
  <si>
    <t>CSS-IVE-144684</t>
  </si>
  <si>
    <t>Verify reboot cycles before and after remapping of NVMe device Through VMD</t>
  </si>
  <si>
    <t>M.2 PCIe Gen3x2 and Gen3x4 NVMe,PCIe-RST,SATA Gen3 Direct AHCI,S-states,VMD</t>
  </si>
  <si>
    <t>M.2 PCIe Gen3x2 &amp; gen 3x4 NVMe,SATA Gen3 Direct AHCI</t>
  </si>
  <si>
    <t>CSS-IVE-144697</t>
  </si>
  <si>
    <t>Verify BIOS sets CPMCSRE properly for PCIE which is required for MPPHY PG</t>
  </si>
  <si>
    <t>Mphy/HSIO</t>
  </si>
  <si>
    <t>CSS-IVE-145173</t>
  </si>
  <si>
    <t>Verify PCIe GEN5 HS-Phy_FW_Version displayed in BIOS</t>
  </si>
  <si>
    <t>bios.cpu_pm,bios.sa</t>
  </si>
  <si>
    <t>BIOS Information,PCIe_Gen5</t>
  </si>
  <si>
    <t>CSS-IVE-145199</t>
  </si>
  <si>
    <t>Verify BIOS enable AtomicOps support for PEG60</t>
  </si>
  <si>
    <t>PCIe-Gen4,PCIe_register</t>
  </si>
  <si>
    <t>M.2 PCIe Gen4,PCI-Gen4</t>
  </si>
  <si>
    <t>CSS-IVE-145669</t>
  </si>
  <si>
    <t>Validate Foxville LAN device for RTD3</t>
  </si>
  <si>
    <t>Foxville,LAN,RTD3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</si>
  <si>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</si>
  <si>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</si>
  <si>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</si>
  <si>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</si>
  <si>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</si>
  <si>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BIOS provide DDR-RFIM feature enable/disable status via MCHBAR</t>
  </si>
  <si>
    <t>CSS-IVE-145686</t>
  </si>
  <si>
    <t>Verify DMIC basic functionality test over High Definition Audio (HDA) Codec, pre and post S4, S5 and warm and cold reset cycles</t>
  </si>
  <si>
    <t>S-states,audio codecs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</si>
  <si>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</si>
  <si>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</si>
  <si>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</si>
  <si>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</si>
  <si>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C-States,PCIe-Gen4,PCIe-RST,RST,S0ix-states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</si>
  <si>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</si>
  <si>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</si>
  <si>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</si>
  <si>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</si>
  <si>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M.2 PCIe Gen3x2 and Gen3x4 NVMe,SATA Gen3 Direct AHCI,VMD</t>
  </si>
  <si>
    <t>CSS-IVE-145678</t>
  </si>
  <si>
    <t>Verify _DSD method for D3 enable/disable in VMD scope</t>
  </si>
  <si>
    <t>ACPI,M.2 PCIe Gen3x2 and Gen3x4 NVMe,M.2 PCIe Gen4,PCIe-Gen4,PCIe-RST,RTD3</t>
  </si>
  <si>
    <t>RTD3,VMD</t>
  </si>
  <si>
    <t>CSS-IVE-145690</t>
  </si>
  <si>
    <t>Verify RAID0 with two SATA Storage Devices and system stability after Sx cycles Through VMD</t>
  </si>
  <si>
    <t>M.2 PCIe Gen3x2 and Gen3x4 NVMe,PCIe-Gen4,PCIe-RST,RAID,SATA Gen3 Direct AHCI,S-states,VMD</t>
  </si>
  <si>
    <t>M.2 PCIe Gen3x2 &amp; gen 3x4 NVMe,PCI-Gen4,PCIe-RST,RAID,S-states,SATA Gen3 Direct AHCI,VMD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</si>
  <si>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</si>
  <si>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</si>
  <si>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</si>
  <si>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</si>
  <si>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MoS(Modern Standby),S0ix-states,audio codecs</t>
  </si>
  <si>
    <t>CSS-IVE-63701</t>
  </si>
  <si>
    <t>Verify preconfigured BLE HID devices are auto connected in UEFI mode after S4 , S5 , cold reboot and warm reboot cycles</t>
  </si>
  <si>
    <t>CNVi,discrete WiFi/BT,G3-State,S-states,UEFI</t>
  </si>
  <si>
    <t>Bluetooth,S-states,UEFI</t>
  </si>
  <si>
    <t>CSS-IVE-145054</t>
  </si>
  <si>
    <t>Verify Basic Internal GbE Controller Functional Test pre and post Sx, warm and cold reset cycles</t>
  </si>
  <si>
    <t>bios.pch,fw.ifwi.gbe</t>
  </si>
  <si>
    <t>G3-State,GbE,LAN,S-states</t>
  </si>
  <si>
    <t>CSS-IVE-145053</t>
  </si>
  <si>
    <t>Verify Graphics DirectX support - 3DMark benchmark</t>
  </si>
  <si>
    <t>bios.sa,fw.ifwi.bios</t>
  </si>
  <si>
    <t>BenchMark Tests</t>
  </si>
  <si>
    <t>CSS-IVE-71598</t>
  </si>
  <si>
    <t>Verify CNVi Bluetooth functionality in OS pre and post S4 , S5 , warm and cold reboot cycles</t>
  </si>
  <si>
    <t>CNVi,G3-State,S-states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</si>
  <si>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</si>
  <si>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</si>
  <si>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</si>
  <si>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</si>
  <si>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</si>
  <si>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SD card  functionality check connected to PCIe slot</t>
  </si>
  <si>
    <t>HDD,SDXC</t>
  </si>
  <si>
    <t>CSS-IVE-71240</t>
  </si>
  <si>
    <t>Verify the Dual Display functionality (onboard eDP+DP) in OS pre and Post S4, S5, warm and cold reboot cycles</t>
  </si>
  <si>
    <t>Display Panels,DP-Display,S-states</t>
  </si>
  <si>
    <t>DP-Display,Display Panels,S-states</t>
  </si>
  <si>
    <t>CSS-IVE-145175</t>
  </si>
  <si>
    <t>Verify "Wake on Voice" functionality when System in SLP_S0 state, pre and post S4 and S5 cycles</t>
  </si>
  <si>
    <t>3.5mm Jack,audio codecs,S-states,WOV</t>
  </si>
  <si>
    <t>MoS(Modern Standby),S-states,WOV,audio codecs</t>
  </si>
  <si>
    <t>CSS-IVE-145224</t>
  </si>
  <si>
    <t>Verify USB2.0/3.0 device functionality on cold plug over USB2.0 and USB3.0 Type-A port before and after S3,S4 state</t>
  </si>
  <si>
    <t>S-states,USB/XHCI ports,USB2.0,USB3.0</t>
  </si>
  <si>
    <t>S-states,USB 2.0,USB 3.0,USB/XHCI ports</t>
  </si>
  <si>
    <t>CSS-IVE-62689</t>
  </si>
  <si>
    <t>Verify "Wake on Voice" functionality when System in SLP_S0 state using DMIC pre and post S4/S5 cycle</t>
  </si>
  <si>
    <t>audio codecs,GNA,MoS (Modern Standby),S-states,WOV</t>
  </si>
  <si>
    <t>CSS-IVE-145227</t>
  </si>
  <si>
    <t>Validate Type-C USB3.0 Host Mode (Type-C to A) functionality - device connected to Hub, Cable connected when SUT is in Sx state</t>
  </si>
  <si>
    <t>EC-Lite,S-states,TBT_PD_EC_NA,TCSS,USB3.0,USB-TypeC</t>
  </si>
  <si>
    <t>CSS-IVE-63571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</si>
  <si>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</si>
  <si>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</si>
  <si>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</si>
  <si>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MoS (Modern Standby),S-states,TBT_PD_EC_NA,TCSS,USB2.0,USB-TypeC</t>
  </si>
  <si>
    <t>USB 2.0,USB-TypeC</t>
  </si>
  <si>
    <t>CSS-IVE-63568</t>
  </si>
  <si>
    <t>Verify PGTHRES&amp; PCIEPMECTL3 is programmed for PEG11</t>
  </si>
  <si>
    <t>M.2 PCIe Gen4,PCIe-Gen4,PCIe_register</t>
  </si>
  <si>
    <t>CSS-IVE-145810</t>
  </si>
  <si>
    <t>Verify Dynamic Backbone Clock Gate is programmed per port</t>
  </si>
  <si>
    <t>PCIe_Gen5,PCIe_register</t>
  </si>
  <si>
    <t>M.2 PCIe Gen3x2 &amp; gen 3x4 NVMe,PCIe_register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</si>
  <si>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</si>
  <si>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</si>
  <si>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</si>
  <si>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</si>
  <si>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</si>
  <si>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</si>
  <si>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</si>
  <si>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</si>
  <si>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debug interfaces,S-states,USB/XHCI ports,USB3.0</t>
  </si>
  <si>
    <t>S-states,USB 3.0,debug interfaces</t>
  </si>
  <si>
    <t>CSS-IVE-101497</t>
  </si>
  <si>
    <t>Verify OS debug support using Windbg debugging over Type-C port during SUT resume from S4,S5 state</t>
  </si>
  <si>
    <t>debug interfaces,S-states,TBT_PD_EC_NA,USB-TypeC</t>
  </si>
  <si>
    <t>S-states,USB-TypeC,debug interfaces</t>
  </si>
  <si>
    <t>CSS-IVE-101503</t>
  </si>
  <si>
    <t>Verify OS debug support using Windbg via native serial UART during SUT resume from S4,S5 state</t>
  </si>
  <si>
    <t>COM,debug interfaces,Serial,S-states,TBT_PD_EC_NA,UART</t>
  </si>
  <si>
    <t>COM,S-states,Serial,UART,debug interfaces</t>
  </si>
  <si>
    <t>CSS-IVE-101504</t>
  </si>
  <si>
    <t>Verify wake from S3,S4 using USB Keyboard/Mouse with Debug mode option enabled in OS</t>
  </si>
  <si>
    <t>S-states,USB 3.0,USB/XHCI ports,debug interfaces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</si>
  <si>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</si>
  <si>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</si>
  <si>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</si>
  <si>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</si>
  <si>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</si>
  <si>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</si>
  <si>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</si>
  <si>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</si>
  <si>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</si>
  <si>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</si>
  <si>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</si>
  <si>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</si>
  <si>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DPTF interface,Thermal throttling,Trip points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</si>
  <si>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</si>
  <si>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</si>
  <si>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</si>
  <si>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</si>
  <si>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CNVi,discrete WiFi/BT,MoS (Modern Standby),S0ix-states</t>
  </si>
  <si>
    <t>CNVi,MoS(Modern Standby),S0ix-states,discrete WiFi/BT</t>
  </si>
  <si>
    <t>CSS-IVE-65480</t>
  </si>
  <si>
    <t>Verify Package C-states support</t>
  </si>
  <si>
    <t>CSS-IVE-65501</t>
  </si>
  <si>
    <t>Verify SUT waking up from Connected Modern standby when it hits low battery event</t>
  </si>
  <si>
    <t>Charging modes,EC-Lite,MoS (Modern Standby),S0ix-states</t>
  </si>
  <si>
    <t>Charging modes,G3-State,MoS(Modern Standby),Real Battery Management</t>
  </si>
  <si>
    <t>CSS-IVE-71145</t>
  </si>
  <si>
    <t>BIOS should provide option to enable or disable Serial debug messages.</t>
  </si>
  <si>
    <t>Serial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</si>
  <si>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</si>
  <si>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</si>
  <si>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</si>
  <si>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</si>
  <si>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CSE/TXE</t>
  </si>
  <si>
    <t>CSS-IVE-80342</t>
  </si>
  <si>
    <t>BIOS should have an option to enable or disable HMRFPO MEI message to Intel ME</t>
  </si>
  <si>
    <t>CSE/TXE,CSE-BIOS HECI</t>
  </si>
  <si>
    <t>CSS-IVE-80343</t>
  </si>
  <si>
    <t>Bios should send End of POST (EOP) MEI message to ME and wait for response prior to OS load</t>
  </si>
  <si>
    <t>CSE-BIOS HECI,UEFI</t>
  </si>
  <si>
    <t>CSS-IVE-80345</t>
  </si>
  <si>
    <t>Bios should not send End of POST (EOP) MEI message during ME Recovery/Error/Disabled state</t>
  </si>
  <si>
    <t>BIOS-Boot-Flows,debug interfaces</t>
  </si>
  <si>
    <t>CSS-IVE-80344</t>
  </si>
  <si>
    <t>BIOS shall initialize Intel MEI #1 (HECI 1)prior to the system memory initialization.</t>
  </si>
  <si>
    <t>BIOS-Boot-Flows,CSE/TXE,CSE-BIOS HECI,debug interfaces</t>
  </si>
  <si>
    <t>CSE-BIOS HECI</t>
  </si>
  <si>
    <t>CSS-IVE-80346</t>
  </si>
  <si>
    <t>ME FW shall not invoke the Intel MEBx prior to sending the End of POST MEI message on Consumer SKU IFWI</t>
  </si>
  <si>
    <t>BIOS-Boot-Flows,CSE/TXE,MEBx</t>
  </si>
  <si>
    <t>CSE/TXE,MEBx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</si>
  <si>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</si>
  <si>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</si>
  <si>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</si>
  <si>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</si>
  <si>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bios.me,bios.platform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</si>
  <si>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</si>
  <si>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</si>
  <si>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</si>
  <si>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</si>
  <si>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</si>
  <si>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</si>
  <si>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</si>
  <si>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</si>
  <si>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bios.me,fw.ifwi.bios,fw.ifwi.csme</t>
  </si>
  <si>
    <t>CSS-IVE-76127</t>
  </si>
  <si>
    <t>DRAM Initialization done message should be sent by BIOS post System Transition from G3,S4 and S5 to S0 state</t>
  </si>
  <si>
    <t>CSE/TXE,G3-State,Memory Technologies/Topologies,S-states</t>
  </si>
  <si>
    <t>CSE-BIOS HECI,CSE/TXE,Memory Technologies/Topologies,S-states</t>
  </si>
  <si>
    <t>CSS-IVE-145021</t>
  </si>
  <si>
    <t>Validate Type-C USB2.0 Host Mode (Type-C to A) functionality - after S5, device connected when SUT is in S5 State</t>
  </si>
  <si>
    <t>EC-Lite,S-states,TBT_PD_EC_NA,TCSS,USB-TypeC</t>
  </si>
  <si>
    <t>CSS-IVE-76578</t>
  </si>
  <si>
    <t>Validate Type-C USB3.0 Host Mode (Type-C to A) functionality after S4, Cable connected at S4 State</t>
  </si>
  <si>
    <t>S-states,TCSS,USB 3.0,USB-TypeC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</si>
  <si>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</si>
  <si>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</si>
  <si>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</si>
  <si>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</si>
  <si>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</si>
  <si>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</si>
  <si>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</si>
  <si>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</si>
  <si>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</si>
  <si>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</si>
  <si>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bios.sa,fw.ifwi.bios,fw.ifwi.pmc</t>
  </si>
  <si>
    <t>Gfx uController,iGfx,S-states</t>
  </si>
  <si>
    <t>CSS-IVE-77469</t>
  </si>
  <si>
    <t>System stability test while performing G3 with ongoing video playback</t>
  </si>
  <si>
    <t>audio codecs,HDMI,S-states</t>
  </si>
  <si>
    <t>HDMI,S-states,cAVS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</si>
  <si>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</si>
  <si>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</si>
  <si>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</si>
  <si>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</si>
  <si>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bios.platform,fw.ifwi.bios,fw.ifwi.pmc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</si>
  <si>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</si>
  <si>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</si>
  <si>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</si>
  <si>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</si>
  <si>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</si>
  <si>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</si>
  <si>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discrete WiFi/BT,HDMI,HDMI-Audio,S-states</t>
  </si>
  <si>
    <t>HDMI,HDMI-Audio,S-states,discrete WiFi/BT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</si>
  <si>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</si>
  <si>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</si>
  <si>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</si>
  <si>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</si>
  <si>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</si>
  <si>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</si>
  <si>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</si>
  <si>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</si>
  <si>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</si>
  <si>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</si>
  <si>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discrete WiFi/BT,HDMI,HDMI-Audio,MoS (Modern Standby)</t>
  </si>
  <si>
    <t>MoS(Modern Standby),S0ix-states,cAVS,discrete WiFi/BT</t>
  </si>
  <si>
    <t>CSS-IVE-89996</t>
  </si>
  <si>
    <t>Validate Graphics turbo frequency is achieved by system pre and post DMS/S0i3 cycle</t>
  </si>
  <si>
    <t>Gfx uController,iGfx,S0ix-states</t>
  </si>
  <si>
    <t>MoS(Modern Standby),S0ix-states,Turbo</t>
  </si>
  <si>
    <t>CSS-IVE-90979</t>
  </si>
  <si>
    <t>System stability test while performing CMS/S0i3 cycles with ongoing video playback</t>
  </si>
  <si>
    <t>MoS(Modern Standby),S0ix-states,cAVS</t>
  </si>
  <si>
    <t>CSS-IVE-90983</t>
  </si>
  <si>
    <t>Verify system attains responsiveness metrics with PTT enabled Corporate IFWI</t>
  </si>
  <si>
    <t>Boot timings,fastboot,PTT (fTPM),S-states</t>
  </si>
  <si>
    <t>Boot timings,PTT,debug interfaces,fastboot</t>
  </si>
  <si>
    <t>CSS-IVE-91102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</si>
  <si>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</si>
  <si>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</si>
  <si>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</si>
  <si>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</si>
  <si>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</si>
  <si>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</si>
  <si>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</si>
  <si>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</si>
  <si>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</si>
  <si>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</si>
  <si>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</si>
  <si>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</si>
  <si>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</si>
  <si>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</si>
  <si>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TCSS D3 cold exit will be happen before display is turned ON</t>
  </si>
  <si>
    <t>bios.platform,bios.sa,fw.ifwi.dekelPhy,fw.ifwi.iom,fw.ifwi.pmc,fw.ifwi.tbt</t>
  </si>
  <si>
    <t>CSS-IVE-132619</t>
  </si>
  <si>
    <t>ISH Sensor Functionality - Proximity pre and post S4 , S5 , warm and cold reboot cycles</t>
  </si>
  <si>
    <t>G3-State,ISH,S-states</t>
  </si>
  <si>
    <t>ISH,P-States,S-states</t>
  </si>
  <si>
    <t>CSS-IVE-145201</t>
  </si>
  <si>
    <t>Verify 4K Display functionality over type-C port with PCIE tunneling enabled and disabled</t>
  </si>
  <si>
    <t>CSS-IVE-133674</t>
  </si>
  <si>
    <t>Verify the CPU family Name and Module number in MRC</t>
  </si>
  <si>
    <t>Verify FHD USB camera is functioning properly for capturing images &amp; video with S4, S5 and warm/cold reset cycles</t>
  </si>
  <si>
    <t>USB2.0,USB3.0,USB-Camera</t>
  </si>
  <si>
    <t>CSS-IVE-86896</t>
  </si>
  <si>
    <t>Verify Bios options removal for ADL-N non POR items</t>
  </si>
  <si>
    <t>BIOS-Boot-Flows,iTBT,TBT,TCSS</t>
  </si>
  <si>
    <t>CSS-IVE-122522</t>
  </si>
  <si>
    <t>Verify No Full MRC training, If Capsule update does not have MRC changes</t>
  </si>
  <si>
    <t>bsurisex</t>
  </si>
  <si>
    <t>Verify BIOS setup menu provides options to set FAN RPM Control (CPU FAN Control)</t>
  </si>
  <si>
    <t>Fan Control</t>
  </si>
  <si>
    <t>BIOS_PSIRT_QSR_Coverage,Fan Control</t>
  </si>
  <si>
    <t>CSS-IVE-72687</t>
  </si>
  <si>
    <t>Verify if BIOS supports  Aux Ori Override option</t>
  </si>
  <si>
    <t>GPIO,TBT</t>
  </si>
  <si>
    <t>CSS-IVE-144430</t>
  </si>
  <si>
    <t>Verify if PCIe MultiVC is Supported</t>
  </si>
  <si>
    <t>BIOS-Boot-Flows,M.2 PCIe Gen3x2 &amp; gen 3x4 NVMe</t>
  </si>
  <si>
    <t>Verify TBT IOMMU and segment support option removal in BIOS</t>
  </si>
  <si>
    <t>Perform Sx(S3, S4 and S5) with OS installed in SATA HDD</t>
  </si>
  <si>
    <t>eMMC,S-states</t>
  </si>
  <si>
    <t>S0ix-states</t>
  </si>
  <si>
    <t>CSS-IVE-101003</t>
  </si>
  <si>
    <t>Verifying SSID and SVID updated in BIOS and OS</t>
  </si>
  <si>
    <t>TCSS,iTBT</t>
  </si>
  <si>
    <t>Verify DP-In Cold-plug functionality with External Graphics (Internal only- iGFx)</t>
  </si>
  <si>
    <t>DP-Display,DP-in,ext.Gfx</t>
  </si>
  <si>
    <t>Verify DP-In Cold-plug functionality with External Graphics (Runtime Switch)</t>
  </si>
  <si>
    <t>DP-in,TCSS,ext.Gfx</t>
  </si>
  <si>
    <t>Verify non USB2 and USB3 functionality working through Type-C TBT Ports</t>
  </si>
  <si>
    <t>TCSS,USB-TypeC,USB/XHCI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</si>
  <si>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</si>
  <si>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</si>
  <si>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</si>
  <si>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</si>
  <si>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</si>
  <si>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device enumeration in EFI shell and OS connecting over PEG11 and PEG12 slots</t>
  </si>
  <si>
    <t>M.2 PCIe Gen3x2 and Gen3x4 NVMe,M.2 PCIe Gen4,PCIe-Gen4,PCIe-RST</t>
  </si>
  <si>
    <t>CSS-IVE-144707</t>
  </si>
  <si>
    <t>Verify device enumeration connecting over PEG11 and PEG12 slots SX cyclings</t>
  </si>
  <si>
    <t>Verify PC10 and S0i3 with device connecting over PEG11 and PEG12 slots</t>
  </si>
  <si>
    <t>Verify BIOS supports for Audio DSP (ADSP) Enabled/disabled Fuses</t>
  </si>
  <si>
    <t>CSS-IVE-73619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</si>
  <si>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</si>
  <si>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</si>
  <si>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</si>
  <si>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</si>
  <si>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</si>
  <si>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</si>
  <si>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</si>
  <si>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</si>
  <si>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debug interfaces,Display Panels,Docking support,iTBT,TBT,TCSS,USB-TypeC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</si>
  <si>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</si>
  <si>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</si>
  <si>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</si>
  <si>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</si>
  <si>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</si>
  <si>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</si>
  <si>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BIOS gives an option to override Maximum Memory Frequency</t>
  </si>
  <si>
    <t>Validate USB3.2 Gen2x2 Storage device functionality after CMS Cycles</t>
  </si>
  <si>
    <t>TCSS,USB 3.2 2x2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</si>
  <si>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</si>
  <si>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</si>
  <si>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</si>
  <si>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</si>
  <si>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</si>
  <si>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</si>
  <si>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</si>
  <si>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</si>
  <si>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</si>
  <si>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</si>
  <si>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</si>
  <si>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</si>
  <si>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</si>
  <si>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S4, S5 and reboot cycles connected behind TBT4-Dock</t>
  </si>
  <si>
    <t>Docking support,TBT,TCSS,USB 4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</si>
  <si>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</si>
  <si>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</si>
  <si>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</si>
  <si>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</si>
  <si>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</si>
  <si>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DP-Display,ext.Gfx,G3-State,HDMI,PCIe-Gen4,S-states</t>
  </si>
  <si>
    <t>DashG,PCI-Gen4,PCIe_Resizable_BAR,S-states,ext.Gfx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</si>
  <si>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</si>
  <si>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</si>
  <si>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</si>
  <si>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DashG,PCI-Gen4,PCIe_Resizable_BAR,ext.Gfx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</si>
  <si>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</si>
  <si>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</si>
  <si>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BenchMark Tests,DashG,PCI-Gen4,PCIe_Resizable_BAR,ext.Gfx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</si>
  <si>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</si>
  <si>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</si>
  <si>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</si>
  <si>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</si>
  <si>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</si>
  <si>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</si>
  <si>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</si>
  <si>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Internal Graphics Device VGA Disable (IVD) and Versatile Acceleration Mode Enable (VAMEN) bits when Discrete Graphics is connected over x16 PEG slot</t>
  </si>
  <si>
    <t>ext.Gfx,PCIe-Gen4</t>
  </si>
  <si>
    <t>ext.Gfx</t>
  </si>
  <si>
    <t>CSS-IVE-133842</t>
  </si>
  <si>
    <t>Verify Platform Flavor for  SBGA Platforms</t>
  </si>
  <si>
    <t>board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</si>
  <si>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</si>
  <si>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</si>
  <si>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</si>
  <si>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</si>
  <si>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</si>
  <si>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</si>
  <si>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</si>
  <si>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</si>
  <si>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</si>
  <si>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</si>
  <si>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</si>
  <si>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</si>
  <si>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</si>
  <si>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TCSS,USB3.2,USB-TypeC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</si>
  <si>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</si>
  <si>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</si>
  <si>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</si>
  <si>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</si>
  <si>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USB 3.2 2x2,USB-TypeC</t>
  </si>
  <si>
    <t>CSS-IVE-113757</t>
  </si>
  <si>
    <t>Verify USB3.2 gen2 device functionality before/after CMS state over Type-C port</t>
  </si>
  <si>
    <t>MoS(Modern Standby),USB 3.2 2x1,USB-TypeC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</si>
  <si>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</si>
  <si>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</si>
  <si>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</si>
  <si>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</si>
  <si>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iTBT,TCSS,USB3.2,USB-TypeC</t>
  </si>
  <si>
    <t>CSS-IVE-113769</t>
  </si>
  <si>
    <t>[TBT] Verify connection Swap during S3 with all Type-C ports - USB3.2 Gen2, USB3.0 Hub and USB2.0</t>
  </si>
  <si>
    <t>iTBT,TBT,TCSS,USB3.0,USB3.2,USB-TypeC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</si>
  <si>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</si>
  <si>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</si>
  <si>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</si>
  <si>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</si>
  <si>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</si>
  <si>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USB3.2 Gen2 device functionality with pre and post Sx cycles over USB3.0Type-A port</t>
  </si>
  <si>
    <t>USB/XHCI ports,USB-TypeC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</si>
  <si>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</si>
  <si>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</si>
  <si>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</si>
  <si>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</si>
  <si>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</si>
  <si>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</si>
  <si>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</si>
  <si>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</si>
  <si>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</si>
  <si>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</si>
  <si>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</si>
  <si>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BIOS Information,BIOS-Boot-Flows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</si>
  <si>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</si>
  <si>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</si>
  <si>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</si>
  <si>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</si>
  <si>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</si>
  <si>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</si>
  <si>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</si>
  <si>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</si>
  <si>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</si>
  <si>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TBT,TCSS,USB-TypeC,iTBT</t>
  </si>
  <si>
    <t>CSS-IVE-119266</t>
  </si>
  <si>
    <t>Verify DP-In Cold-plug functionality with External Graphics after S5 cycle</t>
  </si>
  <si>
    <t>ext.Gfx,iTBT,TBT,TCSS</t>
  </si>
  <si>
    <t>CSS-IVE-118046</t>
  </si>
  <si>
    <t>CSS-IVE-119493</t>
  </si>
  <si>
    <t>Verify DP-In Cold-plug functionality with External Graphics after S3 states</t>
  </si>
  <si>
    <t>DP-IN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</si>
  <si>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</si>
  <si>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</si>
  <si>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</si>
  <si>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</si>
  <si>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</si>
  <si>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Status</t>
  </si>
  <si>
    <t>Vijay</t>
  </si>
  <si>
    <t>Comments</t>
  </si>
  <si>
    <t>Intel</t>
  </si>
  <si>
    <t>intel</t>
  </si>
  <si>
    <t>touchpad NA</t>
  </si>
  <si>
    <t>touchpannel NA</t>
  </si>
  <si>
    <t>NA for ADL_S</t>
  </si>
  <si>
    <t>NA for Desktop skew</t>
  </si>
  <si>
    <t>eGFx-Card Not Availbale</t>
  </si>
  <si>
    <t>Dualboot SSD NA</t>
  </si>
  <si>
    <t>corprate ifwi not applicable for consumer ifwi valiation</t>
  </si>
  <si>
    <t>touchpanel NA</t>
  </si>
  <si>
    <t>TBT Usb support to boot support changed, confirmed with C0</t>
  </si>
  <si>
    <t>Inventory Block</t>
  </si>
  <si>
    <t>Map file required</t>
  </si>
  <si>
    <t>Verified with available ports</t>
  </si>
  <si>
    <t>PUIS HDD not available</t>
  </si>
  <si>
    <t>NA tagged for ADL_S GC</t>
  </si>
  <si>
    <t>X8 Slot is NA</t>
  </si>
  <si>
    <t>Sensor NA</t>
  </si>
  <si>
    <t xml:space="preserve">verified with WD NVME Storage </t>
  </si>
  <si>
    <t>FIVR NA</t>
  </si>
  <si>
    <t>RAID with Sata</t>
  </si>
  <si>
    <t>Verified with available memory module</t>
  </si>
  <si>
    <t>ECC supported RAM is not availabale</t>
  </si>
  <si>
    <t>NA For GC config</t>
  </si>
  <si>
    <t>AACS Wake observed</t>
  </si>
  <si>
    <t>NA for desktop</t>
  </si>
  <si>
    <t>Overlocking Features is NA</t>
  </si>
  <si>
    <t>PUIS HDD Not Available</t>
  </si>
  <si>
    <t>Capsule is NA</t>
  </si>
  <si>
    <t>Verified with currently using PCH and CPU</t>
  </si>
  <si>
    <t>NA for adl-s</t>
  </si>
  <si>
    <t>Verified with SW7C1 Toggle switch</t>
  </si>
  <si>
    <t>Touchpad NA</t>
  </si>
  <si>
    <t>cdtp supported silicon not available</t>
  </si>
  <si>
    <t>Verified with removing the dimms</t>
  </si>
  <si>
    <t>Not tagged for ADL_S</t>
  </si>
  <si>
    <t>Emmc Not Applicable for Desktop</t>
  </si>
  <si>
    <t xml:space="preserve">Got PL1=PL2(Verified with C0) </t>
  </si>
  <si>
    <t>Verified with C0, TC untagged</t>
  </si>
  <si>
    <t>Ctdp Supported QDF NA</t>
  </si>
  <si>
    <t>Sensor is NA</t>
  </si>
  <si>
    <t>NA for Desktop</t>
  </si>
  <si>
    <t>Touchpanel is NA</t>
  </si>
  <si>
    <t>NA for ADL-S</t>
  </si>
  <si>
    <t>touchpad is NA</t>
  </si>
  <si>
    <t>Smart phone NA</t>
  </si>
  <si>
    <t>Ctdp supported QDF Not Available</t>
  </si>
  <si>
    <t>Battery NA for Destop SKUS</t>
  </si>
  <si>
    <t>Verified with onboard LAN port</t>
  </si>
  <si>
    <t>Not Tagged for ADL-S</t>
  </si>
  <si>
    <t>Not Tagged for ADL-S Desktop</t>
  </si>
  <si>
    <t>Not Tagged For ADL-S</t>
  </si>
  <si>
    <t>Raid with SATA SSD is NA</t>
  </si>
  <si>
    <t>Verified with POR Modules</t>
  </si>
  <si>
    <t>ADL-S NA</t>
  </si>
  <si>
    <t>https://hsdes.intel.com/resource/16014384527</t>
  </si>
  <si>
    <t>verified with Keyboard(keyboard connected to TBT Display through TBT SSD)</t>
  </si>
  <si>
    <t>Verified with FE001700,as per https://hsdes.intel.com/appstore/article/#/16012258883</t>
  </si>
  <si>
    <t>https://hsdes.intel.com/appstore/article/#/16012258883</t>
  </si>
  <si>
    <t>NA for ADL_s</t>
  </si>
  <si>
    <t>rstvmdconfig.efi used to create raid</t>
  </si>
  <si>
    <t>SocIsSataPortConnected: Port: 4 PHY  connected</t>
  </si>
  <si>
    <t>Verified with CO (Checked with PSD log)</t>
  </si>
  <si>
    <t>Verified with CO</t>
  </si>
  <si>
    <t>Got D3 Unknown</t>
  </si>
  <si>
    <t>Verified using normal 3.5mm jack headset (BT Headset NA)</t>
  </si>
  <si>
    <t>Verified D3 Hot</t>
  </si>
  <si>
    <t>https://hsdes.intel.com/appstore/article/#/16015761958</t>
  </si>
  <si>
    <t>verfied with D0 state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</si>
  <si>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</si>
  <si>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</si>
  <si>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ADL-S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</si>
  <si>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</si>
  <si>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BIOS FV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</si>
  <si>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</si>
  <si>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</si>
  <si>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</si>
  <si>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</si>
  <si>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</si>
  <si>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</si>
  <si>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</si>
  <si>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</si>
  <si>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Domain</t>
  </si>
  <si>
    <t>Is_Auto</t>
  </si>
  <si>
    <t>Assignee</t>
  </si>
  <si>
    <t>HSD ID</t>
  </si>
  <si>
    <t>Y</t>
  </si>
  <si>
    <t>N</t>
  </si>
  <si>
    <t>IFWI_Short_Name</t>
  </si>
  <si>
    <t>IFWI_Full_Name</t>
  </si>
  <si>
    <t>IFWI_Ingredient</t>
  </si>
  <si>
    <t>FSP Release</t>
  </si>
  <si>
    <t>NA</t>
  </si>
  <si>
    <t>Passed</t>
  </si>
  <si>
    <t>passed</t>
  </si>
  <si>
    <t>Na</t>
  </si>
  <si>
    <t>Yamini</t>
  </si>
  <si>
    <t>Platformflavour:2 is identified</t>
  </si>
  <si>
    <t>Jijina</t>
  </si>
  <si>
    <t>Verified with Solar Tool</t>
  </si>
  <si>
    <t>fptw64.exe -f CONFIG-FILE_PATH-BIOS_FILE -bios</t>
  </si>
  <si>
    <t>Verfied with ODD</t>
  </si>
  <si>
    <t>ADL_SR06_C2B1-ADPSXF2_CPSF_SEP5_01580510_2022WW24.2.0.bin</t>
  </si>
  <si>
    <t>ADL-S-ADP-S-COBALT-CONS-22.09.7.33A</t>
  </si>
  <si>
    <t>test_complexity</t>
  </si>
  <si>
    <t>Medium</t>
  </si>
  <si>
    <t>Low</t>
  </si>
  <si>
    <t>High</t>
  </si>
  <si>
    <t>Divya</t>
  </si>
  <si>
    <t xml:space="preserve">verified with realtek high definition </t>
  </si>
  <si>
    <t>-</t>
  </si>
  <si>
    <t>verified with 3.5mm jack speaker</t>
  </si>
  <si>
    <t>tool</t>
  </si>
  <si>
    <t>verified with selftest 140</t>
  </si>
  <si>
    <t>vijay</t>
  </si>
  <si>
    <t>muthu</t>
  </si>
  <si>
    <t>mugundhan</t>
  </si>
  <si>
    <t>Mugundhan</t>
  </si>
  <si>
    <t>Muthu</t>
  </si>
  <si>
    <t>Gopika</t>
  </si>
  <si>
    <t>Date</t>
  </si>
  <si>
    <t>Priyanka</t>
  </si>
  <si>
    <t>Verified with usb4 dock</t>
  </si>
  <si>
    <t>Ramya</t>
  </si>
  <si>
    <t>23/09/2022</t>
  </si>
  <si>
    <t xml:space="preserve"> </t>
  </si>
  <si>
    <t>verified with core isolation disabled in os</t>
  </si>
  <si>
    <t>verfied with seagate firecuda gaming ssd</t>
  </si>
  <si>
    <t>Savitha</t>
  </si>
  <si>
    <t>V3385_00_323_SV2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</si>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</sst>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sz val="8"/>
      <color rgb="FF5B5FC7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12529"/>
      <name val="Roboto"/>
    </font>
    <font>
      <sz val="9"/>
      <color rgb="FF5B5FC7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9"/>
      <color rgb="FF0000FF"/>
      <name val="Intel Clear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30" fillId="0" borderId="0" xfId="0" applyFont="1"/>
    <xf numFmtId="0" fontId="26" fillId="34" borderId="11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left" vertical="top"/>
    </xf>
    <xf numFmtId="0" fontId="29" fillId="33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0" fillId="0" borderId="0" xfId="0" applyFill="1"/>
    <xf numFmtId="0" fontId="0" fillId="0" borderId="0" xfId="0" applyFill="1" applyAlignment="1"/>
    <xf numFmtId="0" fontId="31" fillId="0" borderId="0" xfId="0" applyFont="1" applyFill="1"/>
    <xf numFmtId="0" fontId="18" fillId="0" borderId="0" xfId="0" applyFont="1" applyFill="1" applyAlignment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0" fontId="20" fillId="0" borderId="0" xfId="0" applyFont="1" applyFill="1" applyAlignment="1"/>
    <xf numFmtId="0" fontId="23" fillId="0" borderId="0" xfId="0" applyFont="1" applyFill="1"/>
    <xf numFmtId="0" fontId="24" fillId="0" borderId="10" xfId="0" applyFont="1" applyFill="1" applyBorder="1" applyAlignment="1">
      <alignment vertical="center" wrapText="1"/>
    </xf>
    <xf numFmtId="0" fontId="19" fillId="0" borderId="0" xfId="0" applyFont="1" applyFill="1"/>
    <xf numFmtId="0" fontId="0" fillId="0" borderId="0" xfId="0" applyFill="1" applyBorder="1" applyAlignment="1"/>
    <xf numFmtId="0" fontId="22" fillId="0" borderId="0" xfId="0" applyFont="1" applyFill="1" applyAlignment="1">
      <alignment vertical="top"/>
    </xf>
    <xf numFmtId="0" fontId="13" fillId="36" borderId="0" xfId="0" applyFont="1" applyFill="1" applyAlignment="1"/>
    <xf numFmtId="0" fontId="25" fillId="36" borderId="12" xfId="0" applyFont="1" applyFill="1" applyBorder="1" applyAlignment="1">
      <alignment horizontal="left" vertical="top"/>
    </xf>
    <xf numFmtId="0" fontId="25" fillId="36" borderId="11" xfId="0" applyFont="1" applyFill="1" applyBorder="1" applyAlignment="1">
      <alignment horizontal="left" vertical="top"/>
    </xf>
    <xf numFmtId="0" fontId="0" fillId="36" borderId="0" xfId="0" applyFill="1"/>
    <xf numFmtId="14" fontId="0" fillId="0" borderId="0" xfId="0" applyNumberFormat="1" applyFill="1"/>
    <xf numFmtId="0" fontId="17" fillId="36" borderId="0" xfId="0" applyFont="1" applyFill="1"/>
    <xf numFmtId="0" fontId="0" fillId="37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76" Type="http://schemas.openxmlformats.org/officeDocument/2006/relationships/revisionLog" Target="revisionLog76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55" Type="http://schemas.openxmlformats.org/officeDocument/2006/relationships/revisionLog" Target="revisionLog55.xml"/><Relationship Id="rId50" Type="http://schemas.openxmlformats.org/officeDocument/2006/relationships/revisionLog" Target="revisionLog50.xml"/><Relationship Id="rId71" Type="http://schemas.openxmlformats.org/officeDocument/2006/relationships/revisionLog" Target="revisionLog71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46" Type="http://schemas.openxmlformats.org/officeDocument/2006/relationships/revisionLog" Target="revisionLog46.xml"/><Relationship Id="rId92" Type="http://schemas.openxmlformats.org/officeDocument/2006/relationships/revisionLog" Target="revisionLog1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83" Type="http://schemas.openxmlformats.org/officeDocument/2006/relationships/revisionLog" Target="revisionLog83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7" Type="http://schemas.openxmlformats.org/officeDocument/2006/relationships/revisionLog" Target="revisionLog87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57" Type="http://schemas.openxmlformats.org/officeDocument/2006/relationships/revisionLog" Target="revisionLog57.xml"/><Relationship Id="rId49" Type="http://schemas.openxmlformats.org/officeDocument/2006/relationships/revisionLog" Target="revisionLog49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78" Type="http://schemas.openxmlformats.org/officeDocument/2006/relationships/revisionLog" Target="revisionLog78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7" Type="http://schemas.openxmlformats.org/officeDocument/2006/relationships/revisionLog" Target="revisionLog77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Relationship Id="rId56" Type="http://schemas.openxmlformats.org/officeDocument/2006/relationships/revisionLog" Target="revisionLog56.xml"/><Relationship Id="rId48" Type="http://schemas.openxmlformats.org/officeDocument/2006/relationships/revisionLog" Target="revisionLog48.xml"/><Relationship Id="rId43" Type="http://schemas.openxmlformats.org/officeDocument/2006/relationships/revisionLog" Target="revisionLog43.xml"/><Relationship Id="rId85" Type="http://schemas.openxmlformats.org/officeDocument/2006/relationships/revisionLog" Target="revisionLog85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A4E1055-7E27-4B55-BAE0-37FB03911A6C}" diskRevisions="1" revisionId="619" version="92">
  <header guid="{93270C9C-1E12-4AEE-A80F-491BC18C494B}" dateTime="2022-09-22T18:09:41" maxSheetId="3" userName="As, VijayX" r:id="rId42" minRId="243" maxRId="258">
    <sheetIdMap count="2">
      <sheetId val="1"/>
      <sheetId val="2"/>
    </sheetIdMap>
  </header>
  <header guid="{D13C2CE3-DADF-4377-8A69-CD6F931CB6DE}" dateTime="2022-09-22T18:22:06" maxSheetId="3" userName="Aadhi Narayanan, MuthuX Krishnan" r:id="rId43" minRId="259" maxRId="355">
    <sheetIdMap count="2">
      <sheetId val="1"/>
      <sheetId val="2"/>
    </sheetIdMap>
  </header>
  <header guid="{6997A0C9-66EE-4B7D-AE4C-EB05A8892A75}" dateTime="2022-09-22T18:59:15" maxSheetId="3" userName="Yamini, ChittepuX" r:id="rId44">
    <sheetIdMap count="2">
      <sheetId val="1"/>
      <sheetId val="2"/>
    </sheetIdMap>
  </header>
  <header guid="{11531DA4-A927-4F1C-A451-DC88A78CAB12}" dateTime="2022-09-23T09:48:18" maxSheetId="3" userName="Yamini, ChittepuX" r:id="rId45" minRId="357" maxRId="361">
    <sheetIdMap count="2">
      <sheetId val="1"/>
      <sheetId val="2"/>
    </sheetIdMap>
  </header>
  <header guid="{33B7A4FC-5967-41E0-9788-60E9259B1D92}" dateTime="2022-09-23T10:05:49" maxSheetId="3" userName="Yamini, ChittepuX" r:id="rId46" minRId="363" maxRId="376">
    <sheetIdMap count="2">
      <sheetId val="1"/>
      <sheetId val="2"/>
    </sheetIdMap>
  </header>
  <header guid="{8FE8A8AE-077D-499D-9A79-AF8EDBA1A4A8}" dateTime="2022-09-23T10:22:41" maxSheetId="3" userName="Biju, BeethuX" r:id="rId47">
    <sheetIdMap count="2">
      <sheetId val="1"/>
      <sheetId val="2"/>
    </sheetIdMap>
  </header>
  <header guid="{6317DD8E-E655-49E5-AE9F-1A75F9ED5620}" dateTime="2022-09-23T10:23:45" maxSheetId="3" userName="Biju, BeethuX" r:id="rId48" minRId="378" maxRId="410">
    <sheetIdMap count="2">
      <sheetId val="1"/>
      <sheetId val="2"/>
    </sheetIdMap>
  </header>
  <header guid="{7E867690-02E4-4984-BF7B-4CA340CFBFCC}" dateTime="2022-09-23T10:25:04" maxSheetId="3" userName="Biju, BeethuX" r:id="rId49" minRId="412" maxRId="421">
    <sheetIdMap count="2">
      <sheetId val="1"/>
      <sheetId val="2"/>
    </sheetIdMap>
  </header>
  <header guid="{B7A0F4D0-BCE2-42E8-9277-5D67BE148CCE}" dateTime="2022-09-23T10:25:46" maxSheetId="3" userName="Aadhi Narayanan, MuthuX Krishnan" r:id="rId50" minRId="422" maxRId="429">
    <sheetIdMap count="2">
      <sheetId val="1"/>
      <sheetId val="2"/>
    </sheetIdMap>
  </header>
  <header guid="{F7C033D1-DA9A-4467-B2E8-8B1E9B6C7115}" dateTime="2022-09-23T10:34:24" maxSheetId="3" userName="Br, RamyaX" r:id="rId51">
    <sheetIdMap count="2">
      <sheetId val="1"/>
      <sheetId val="2"/>
    </sheetIdMap>
  </header>
  <header guid="{95B7AAFC-C858-4539-B653-F8207820F620}" dateTime="2022-09-23T10:38:09" maxSheetId="3" userName="Br, RamyaX" r:id="rId52" minRId="431" maxRId="434">
    <sheetIdMap count="2">
      <sheetId val="1"/>
      <sheetId val="2"/>
    </sheetIdMap>
  </header>
  <header guid="{A9FB55B3-C7D9-4E2B-9D7D-CDFFCBDFB116}" dateTime="2022-09-23T11:00:58" maxSheetId="3" userName="Pandyala, JijinaX Nellyatt" r:id="rId53" minRId="436" maxRId="439">
    <sheetIdMap count="2">
      <sheetId val="1"/>
      <sheetId val="2"/>
    </sheetIdMap>
  </header>
  <header guid="{A528D468-0ADB-49F9-96EA-A89C60DE0B08}" dateTime="2022-09-23T11:09:45" maxSheetId="3" userName="Br, RamyaX" r:id="rId54" minRId="440">
    <sheetIdMap count="2">
      <sheetId val="1"/>
      <sheetId val="2"/>
    </sheetIdMap>
  </header>
  <header guid="{2475F2D4-F70F-453E-AE88-0B20034FB414}" dateTime="2022-09-23T11:13:41" maxSheetId="3" userName="Br, RamyaX" r:id="rId55" minRId="442">
    <sheetIdMap count="2">
      <sheetId val="1"/>
      <sheetId val="2"/>
    </sheetIdMap>
  </header>
  <header guid="{2C2E1042-497B-4920-A390-7C7E189EE940}" dateTime="2022-09-23T11:20:58" maxSheetId="3" userName="Br, RamyaX" r:id="rId56" minRId="443" maxRId="444">
    <sheetIdMap count="2">
      <sheetId val="1"/>
      <sheetId val="2"/>
    </sheetIdMap>
  </header>
  <header guid="{328CC350-8933-4558-A1C5-86A41BA6EC91}" dateTime="2022-09-23T11:25:26" maxSheetId="3" userName="Br, RamyaX" r:id="rId57" minRId="445">
    <sheetIdMap count="2">
      <sheetId val="1"/>
      <sheetId val="2"/>
    </sheetIdMap>
  </header>
  <header guid="{D6B1133F-5BE8-464C-8FCD-1D9346A33E2E}" dateTime="2022-09-23T11:43:04" maxSheetId="3" userName="Br, RamyaX" r:id="rId58" minRId="446">
    <sheetIdMap count="2">
      <sheetId val="1"/>
      <sheetId val="2"/>
    </sheetIdMap>
  </header>
  <header guid="{63670220-0856-46E3-9319-57D2B1B5C64E}" dateTime="2022-09-23T11:44:07" maxSheetId="3" userName="Br, RamyaX" r:id="rId59" minRId="447">
    <sheetIdMap count="2">
      <sheetId val="1"/>
      <sheetId val="2"/>
    </sheetIdMap>
  </header>
  <header guid="{97F7C3CF-611E-4797-9814-12B3C6476DD3}" dateTime="2022-09-23T11:47:59" maxSheetId="3" userName="Br, RamyaX" r:id="rId60" minRId="448">
    <sheetIdMap count="2">
      <sheetId val="1"/>
      <sheetId val="2"/>
    </sheetIdMap>
  </header>
  <header guid="{647CA3E5-7899-49A5-878B-BCBA0BB8D940}" dateTime="2022-09-23T11:51:34" maxSheetId="3" userName="Br, RamyaX" r:id="rId61" minRId="449">
    <sheetIdMap count="2">
      <sheetId val="1"/>
      <sheetId val="2"/>
    </sheetIdMap>
  </header>
  <header guid="{B351EF0A-A50C-4671-8D61-C5B40AF54A5B}" dateTime="2022-09-23T11:53:50" maxSheetId="3" userName="Br, RamyaX" r:id="rId62" minRId="451">
    <sheetIdMap count="2">
      <sheetId val="1"/>
      <sheetId val="2"/>
    </sheetIdMap>
  </header>
  <header guid="{30BF867B-73C4-45FB-B6AB-112E114B6E38}" dateTime="2022-09-23T11:54:48" maxSheetId="3" userName="Br, RamyaX" r:id="rId63" minRId="452">
    <sheetIdMap count="2">
      <sheetId val="1"/>
      <sheetId val="2"/>
    </sheetIdMap>
  </header>
  <header guid="{526C9153-8882-47E4-96A6-EC80A94AF7FC}" dateTime="2022-09-23T11:59:21" maxSheetId="3" userName="Br, RamyaX" r:id="rId64" minRId="453">
    <sheetIdMap count="2">
      <sheetId val="1"/>
      <sheetId val="2"/>
    </sheetIdMap>
  </header>
  <header guid="{B3CC52AA-1132-48AE-BF1C-830E7EC6E44B}" dateTime="2022-09-23T12:28:54" maxSheetId="3" userName="Br, RamyaX" r:id="rId65" minRId="454">
    <sheetIdMap count="2">
      <sheetId val="1"/>
      <sheetId val="2"/>
    </sheetIdMap>
  </header>
  <header guid="{19A9E393-6E20-48EA-A889-8D87087ADFF7}" dateTime="2022-09-23T12:33:05" maxSheetId="3" userName="Br, RamyaX" r:id="rId66" minRId="455">
    <sheetIdMap count="2">
      <sheetId val="1"/>
      <sheetId val="2"/>
    </sheetIdMap>
  </header>
  <header guid="{6E314DB3-9839-4742-BD3D-E12D17AEF111}" dateTime="2022-09-23T12:55:15" maxSheetId="3" userName="Aadhi Narayanan, MuthuX Krishnan" r:id="rId67" minRId="456">
    <sheetIdMap count="2">
      <sheetId val="1"/>
      <sheetId val="2"/>
    </sheetIdMap>
  </header>
  <header guid="{4DAB5509-BE0D-4190-A306-87BEC03CBF94}" dateTime="2022-09-23T12:57:08" maxSheetId="3" userName="Yamini, ChittepuX" r:id="rId68" minRId="457">
    <sheetIdMap count="2">
      <sheetId val="1"/>
      <sheetId val="2"/>
    </sheetIdMap>
  </header>
  <header guid="{381CA946-8B96-492E-8A50-8C912A37264B}" dateTime="2022-09-23T13:00:16" maxSheetId="3" userName="Br, RamyaX" r:id="rId69" minRId="458" maxRId="459">
    <sheetIdMap count="2">
      <sheetId val="1"/>
      <sheetId val="2"/>
    </sheetIdMap>
  </header>
  <header guid="{2FC37BDA-0454-4D76-973E-5EACC191D211}" dateTime="2022-09-23T13:06:57" maxSheetId="3" userName="Yamini, ChittepuX" r:id="rId70" minRId="460" maxRId="463">
    <sheetIdMap count="2">
      <sheetId val="1"/>
      <sheetId val="2"/>
    </sheetIdMap>
  </header>
  <header guid="{9E99D8F7-6B99-4145-BA09-7E789BCB0521}" dateTime="2022-09-23T13:08:18" maxSheetId="3" userName="Yamini, ChittepuX" r:id="rId71" minRId="464" maxRId="465">
    <sheetIdMap count="2">
      <sheetId val="1"/>
      <sheetId val="2"/>
    </sheetIdMap>
  </header>
  <header guid="{67EFAFFB-4126-4B83-83BD-273E9E3F4E0F}" dateTime="2022-09-23T13:55:32" maxSheetId="3" userName="Pandyala, JijinaX Nellyatt" r:id="rId72" minRId="466" maxRId="476">
    <sheetIdMap count="2">
      <sheetId val="1"/>
      <sheetId val="2"/>
    </sheetIdMap>
  </header>
  <header guid="{A909F2AA-0CB2-4F9B-BC0A-909839152C39}" dateTime="2022-09-23T14:38:32" maxSheetId="3" userName="Br, RamyaX" r:id="rId73" minRId="477">
    <sheetIdMap count="2">
      <sheetId val="1"/>
      <sheetId val="2"/>
    </sheetIdMap>
  </header>
  <header guid="{879DF940-081A-45D1-B8D0-F8A52615963B}" dateTime="2022-09-23T14:56:46" maxSheetId="3" userName="Br, RamyaX" r:id="rId74" minRId="478">
    <sheetIdMap count="2">
      <sheetId val="1"/>
      <sheetId val="2"/>
    </sheetIdMap>
  </header>
  <header guid="{A5AED3B7-3738-41E7-82CE-8B10BAE48AB8}" dateTime="2022-09-23T14:57:36" maxSheetId="3" userName="Br, RamyaX" r:id="rId75" minRId="479">
    <sheetIdMap count="2">
      <sheetId val="1"/>
      <sheetId val="2"/>
    </sheetIdMap>
  </header>
  <header guid="{5EE7C725-C5DD-46C0-83A5-0DBBFF047F35}" dateTime="2022-09-23T15:16:09" maxSheetId="3" userName="Br, RamyaX" r:id="rId76" minRId="480" maxRId="482">
    <sheetIdMap count="2">
      <sheetId val="1"/>
      <sheetId val="2"/>
    </sheetIdMap>
  </header>
  <header guid="{0CBDC3DE-BF95-47B5-B79F-5577F093FCDA}" dateTime="2022-09-23T15:16:16" maxSheetId="3" userName="Yamini, ChittepuX" r:id="rId77">
    <sheetIdMap count="2">
      <sheetId val="1"/>
      <sheetId val="2"/>
    </sheetIdMap>
  </header>
  <header guid="{7FDF1167-2A9C-4C1E-9182-957FF1CD0B44}" dateTime="2022-09-23T15:21:27" maxSheetId="3" userName="Yamini, ChittepuX" r:id="rId78" minRId="483" maxRId="486">
    <sheetIdMap count="2">
      <sheetId val="1"/>
      <sheetId val="2"/>
    </sheetIdMap>
  </header>
  <header guid="{55130756-ED4D-4D5F-9BA6-04F1501760AD}" dateTime="2022-09-23T15:49:31" maxSheetId="3" userName="Br, RamyaX" r:id="rId79" minRId="487">
    <sheetIdMap count="2">
      <sheetId val="1"/>
      <sheetId val="2"/>
    </sheetIdMap>
  </header>
  <header guid="{91617D92-C5A3-4F07-ADE5-A05D03697500}" dateTime="2022-09-23T16:16:26" maxSheetId="3" userName="Pandyala, JijinaX Nellyatt" r:id="rId80" minRId="488">
    <sheetIdMap count="2">
      <sheetId val="1"/>
      <sheetId val="2"/>
    </sheetIdMap>
  </header>
  <header guid="{A756FDA5-55B3-4F5C-B396-3225E67AD8CA}" dateTime="2022-09-23T16:33:47" maxSheetId="3" userName="Br, RamyaX" r:id="rId81" minRId="489">
    <sheetIdMap count="2">
      <sheetId val="1"/>
      <sheetId val="2"/>
    </sheetIdMap>
  </header>
  <header guid="{61D716CA-4CA1-4803-AC97-365B4DE49C31}" dateTime="2022-09-23T16:56:58" maxSheetId="3" userName="Br, RamyaX" r:id="rId82" minRId="490" maxRId="491">
    <sheetIdMap count="2">
      <sheetId val="1"/>
      <sheetId val="2"/>
    </sheetIdMap>
  </header>
  <header guid="{76B38F95-6E8D-4280-9EDA-02456A800AC0}" dateTime="2022-09-23T17:18:59" maxSheetId="3" userName="Br, RamyaX" r:id="rId83" minRId="492">
    <sheetIdMap count="2">
      <sheetId val="1"/>
      <sheetId val="2"/>
    </sheetIdMap>
  </header>
  <header guid="{A30F8E8F-F291-479D-A71A-0AF206F87CEA}" dateTime="2022-09-23T17:33:08" maxSheetId="3" userName="Yamini, ChittepuX" r:id="rId84" minRId="493" maxRId="496">
    <sheetIdMap count="2">
      <sheetId val="1"/>
      <sheetId val="2"/>
    </sheetIdMap>
  </header>
  <header guid="{5B408C00-1C15-45E7-A027-0CB7E45DE9AB}" dateTime="2022-09-23T17:34:27" maxSheetId="3" userName="Yamini, ChittepuX" r:id="rId85" minRId="497" maxRId="498">
    <sheetIdMap count="2">
      <sheetId val="1"/>
      <sheetId val="2"/>
    </sheetIdMap>
  </header>
  <header guid="{56493D00-0D33-4C6D-934C-09A2DF08D79F}" dateTime="2022-09-23T17:51:29" maxSheetId="3" userName="Br, RamyaX" r:id="rId86">
    <sheetIdMap count="2">
      <sheetId val="1"/>
      <sheetId val="2"/>
    </sheetIdMap>
  </header>
  <header guid="{FFB1C505-984E-4D29-BD92-AEC6B10981BD}" dateTime="2022-09-23T18:04:04" maxSheetId="3" userName="Br, RamyaX" r:id="rId87" minRId="500" maxRId="529">
    <sheetIdMap count="2">
      <sheetId val="1"/>
      <sheetId val="2"/>
    </sheetIdMap>
  </header>
  <header guid="{09D4A909-8D76-40B6-B942-AA64190B60B3}" dateTime="2022-09-23T18:18:05" maxSheetId="3" userName="Yamini, ChittepuX" r:id="rId88">
    <sheetIdMap count="2">
      <sheetId val="1"/>
      <sheetId val="2"/>
    </sheetIdMap>
  </header>
  <header guid="{7DE7A141-F510-404B-9CA4-F2EC2F0D116F}" dateTime="2022-09-26T10:54:07" maxSheetId="3" userName="U, SavithaX B" r:id="rId89" minRId="532" maxRId="572">
    <sheetIdMap count="2">
      <sheetId val="1"/>
      <sheetId val="2"/>
    </sheetIdMap>
  </header>
  <header guid="{25BD7505-E5A3-4E2D-9004-1E5436B73257}" dateTime="2022-09-26T10:54:19" maxSheetId="3" userName="U, SavithaX B" r:id="rId90" minRId="573" maxRId="613">
    <sheetIdMap count="2">
      <sheetId val="1"/>
      <sheetId val="2"/>
    </sheetIdMap>
  </header>
  <header guid="{3E870DEE-8446-4C0E-89F9-84EEE81D6A78}" dateTime="2022-09-26T10:57:15" maxSheetId="3" userName="U, SavithaX B" r:id="rId91" minRId="614">
    <sheetIdMap count="2">
      <sheetId val="1"/>
      <sheetId val="2"/>
    </sheetIdMap>
  </header>
  <header guid="{DA4E1055-7E27-4B55-BAE0-37FB03911A6C}" dateTime="2022-12-14T18:24:15" maxSheetId="3" userName="Agarwal, Naman" r:id="rId92" minRId="616" maxRId="618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" sId="2">
    <oc r="A1" t="inlineStr">
      <is>
        <t>ID</t>
      </is>
    </oc>
    <nc r="A1" t="inlineStr">
      <is>
        <t>TCD_ID</t>
      </is>
    </nc>
  </rcc>
  <rrc rId="617" sId="2" ref="B1:B1048576" action="deleteCol">
    <undo index="65535" exp="area" ref3D="1" dr="$G$1:$G$1048576" dn="Z_9E742896_B575_42B7_9B94_231CA938AB7F_.wvu.Cols" sId="2"/>
    <rfmt sheetId="2" xfDxf="1" sqref="B1:B1048576" start="0" length="0"/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2">
      <nc r="B2">
        <f>HYPERLINK("https://hsdes.intel.com/resource/14013114695","14013114695")</f>
      </nc>
    </rcc>
    <rcc rId="0" sId="2">
      <nc r="B3">
        <f>HYPERLINK("https://hsdes.intel.com/resource/14013114711","14013114711")</f>
      </nc>
    </rcc>
    <rcc rId="0" sId="2">
      <nc r="B4">
        <f>HYPERLINK("https://hsdes.intel.com/resource/14013114734","14013114734")</f>
      </nc>
    </rcc>
    <rcc rId="0" sId="2">
      <nc r="B5">
        <f>HYPERLINK("https://hsdes.intel.com/resource/14013114751","14013114751")</f>
      </nc>
    </rcc>
    <rcc rId="0" sId="2">
      <nc r="B6">
        <f>HYPERLINK("https://hsdes.intel.com/resource/14013114769","14013114769")</f>
      </nc>
    </rcc>
    <rcc rId="0" sId="2">
      <nc r="B7">
        <f>HYPERLINK("https://hsdes.intel.com/resource/14013114813","14013114813")</f>
      </nc>
    </rcc>
    <rcc rId="0" sId="2">
      <nc r="B8">
        <f>HYPERLINK("https://hsdes.intel.com/resource/14013114842","14013114842")</f>
      </nc>
    </rcc>
    <rcc rId="0" sId="2">
      <nc r="B9">
        <f>HYPERLINK("https://hsdes.intel.com/resource/14013114861","14013114861")</f>
      </nc>
    </rcc>
    <rcc rId="0" sId="2">
      <nc r="B10">
        <f>HYPERLINK("https://hsdes.intel.com/resource/14013114878","14013114878")</f>
      </nc>
    </rcc>
    <rcc rId="0" sId="2">
      <nc r="B11">
        <f>HYPERLINK("https://hsdes.intel.com/resource/14013114906","14013114906")</f>
      </nc>
    </rcc>
    <rcc rId="0" sId="2">
      <nc r="B12">
        <f>HYPERLINK("https://hsdes.intel.com/resource/14013114989","14013114989")</f>
      </nc>
    </rcc>
    <rcc rId="0" sId="2">
      <nc r="B13">
        <f>HYPERLINK("https://hsdes.intel.com/resource/14013115011","14013115011")</f>
      </nc>
    </rcc>
    <rcc rId="0" sId="2">
      <nc r="B14">
        <f>HYPERLINK("https://hsdes.intel.com/resource/14013115084","14013115084")</f>
      </nc>
    </rcc>
    <rcc rId="0" sId="2">
      <nc r="B15">
        <f>HYPERLINK("https://hsdes.intel.com/resource/14013115112","14013115112")</f>
      </nc>
    </rcc>
    <rcc rId="0" sId="2">
      <nc r="B16">
        <f>HYPERLINK("https://hsdes.intel.com/resource/14013115234","14013115234")</f>
      </nc>
    </rcc>
    <rcc rId="0" sId="2">
      <nc r="B17">
        <f>HYPERLINK("https://hsdes.intel.com/resource/14013115275","14013115275")</f>
      </nc>
    </rcc>
    <rcc rId="0" sId="2">
      <nc r="B18">
        <f>HYPERLINK("https://hsdes.intel.com/resource/14013115314","14013115314")</f>
      </nc>
    </rcc>
    <rcc rId="0" sId="2">
      <nc r="B19">
        <f>HYPERLINK("https://hsdes.intel.com/resource/14013115427","14013115427")</f>
      </nc>
    </rcc>
    <rcc rId="0" sId="2">
      <nc r="B20">
        <f>HYPERLINK("https://hsdes.intel.com/resource/14013115566","14013115566")</f>
      </nc>
    </rcc>
    <rcc rId="0" sId="2">
      <nc r="B21">
        <f>HYPERLINK("https://hsdes.intel.com/resource/14013116396","14013116396")</f>
      </nc>
    </rcc>
    <rcc rId="0" sId="2">
      <nc r="B22">
        <f>HYPERLINK("https://hsdes.intel.com/resource/14013116815","14013116815")</f>
      </nc>
    </rcc>
    <rcc rId="0" sId="2">
      <nc r="B23">
        <f>HYPERLINK("https://hsdes.intel.com/resource/14013116828","14013116828")</f>
      </nc>
    </rcc>
    <rcc rId="0" sId="2">
      <nc r="B24">
        <f>HYPERLINK("https://hsdes.intel.com/resource/14013117056","14013117056")</f>
      </nc>
    </rcc>
    <rcc rId="0" sId="2">
      <nc r="B25">
        <f>HYPERLINK("https://hsdes.intel.com/resource/14013117106","14013117106")</f>
      </nc>
    </rcc>
    <rcc rId="0" sId="2">
      <nc r="B26">
        <f>HYPERLINK("https://hsdes.intel.com/resource/14013117134","14013117134")</f>
      </nc>
    </rcc>
    <rcc rId="0" sId="2">
      <nc r="B27">
        <f>HYPERLINK("https://hsdes.intel.com/resource/14013117177","14013117177")</f>
      </nc>
    </rcc>
    <rcc rId="0" sId="2">
      <nc r="B28">
        <f>HYPERLINK("https://hsdes.intel.com/resource/14013117217","14013117217")</f>
      </nc>
    </rcc>
    <rcc rId="0" sId="2">
      <nc r="B29">
        <f>HYPERLINK("https://hsdes.intel.com/resource/14013117320","14013117320")</f>
      </nc>
    </rcc>
    <rcc rId="0" sId="2">
      <nc r="B30">
        <f>HYPERLINK("https://hsdes.intel.com/resource/14013117361","14013117361")</f>
      </nc>
    </rcc>
    <rcc rId="0" sId="2">
      <nc r="B31">
        <f>HYPERLINK("https://hsdes.intel.com/resource/14013118179","14013118179")</f>
      </nc>
    </rcc>
    <rcc rId="0" sId="2">
      <nc r="B32">
        <f>HYPERLINK("https://hsdes.intel.com/resource/14013118472","14013118472")</f>
      </nc>
    </rcc>
    <rcc rId="0" sId="2">
      <nc r="B33">
        <f>HYPERLINK("https://hsdes.intel.com/resource/14013118496","14013118496")</f>
      </nc>
    </rcc>
    <rcc rId="0" sId="2">
      <nc r="B34">
        <f>HYPERLINK("https://hsdes.intel.com/resource/14013118541","14013118541")</f>
      </nc>
    </rcc>
    <rcc rId="0" sId="2">
      <nc r="B35">
        <f>HYPERLINK("https://hsdes.intel.com/resource/14013118672","14013118672")</f>
      </nc>
    </rcc>
    <rcc rId="0" sId="2">
      <nc r="B36">
        <f>HYPERLINK("https://hsdes.intel.com/resource/14013118721","14013118721")</f>
      </nc>
    </rcc>
    <rcc rId="0" sId="2">
      <nc r="B37">
        <f>HYPERLINK("https://hsdes.intel.com/resource/14013118785","14013118785")</f>
      </nc>
    </rcc>
    <rcc rId="0" sId="2">
      <nc r="B38">
        <f>HYPERLINK("https://hsdes.intel.com/resource/14013118908","14013118908")</f>
      </nc>
    </rcc>
    <rcc rId="0" sId="2">
      <nc r="B39">
        <f>HYPERLINK("https://hsdes.intel.com/resource/14013118973","14013118973")</f>
      </nc>
    </rcc>
    <rcc rId="0" sId="2">
      <nc r="B40">
        <f>HYPERLINK("https://hsdes.intel.com/resource/14013119145","14013119145")</f>
      </nc>
    </rcc>
    <rcc rId="0" sId="2">
      <nc r="B41">
        <f>HYPERLINK("https://hsdes.intel.com/resource/14013119169","14013119169")</f>
      </nc>
    </rcc>
    <rcc rId="0" sId="2">
      <nc r="B42">
        <f>HYPERLINK("https://hsdes.intel.com/resource/14013119215","14013119215")</f>
      </nc>
    </rcc>
    <rcc rId="0" sId="2">
      <nc r="B43">
        <f>HYPERLINK("https://hsdes.intel.com/resource/14013119238","14013119238")</f>
      </nc>
    </rcc>
    <rcc rId="0" sId="2">
      <nc r="B44">
        <f>HYPERLINK("https://hsdes.intel.com/resource/14013119299","14013119299")</f>
      </nc>
    </rcc>
    <rcc rId="0" sId="2">
      <nc r="B45">
        <f>HYPERLINK("https://hsdes.intel.com/resource/14013119442","14013119442")</f>
      </nc>
    </rcc>
    <rcc rId="0" sId="2">
      <nc r="B46">
        <f>HYPERLINK("https://hsdes.intel.com/resource/14013119544","14013119544")</f>
      </nc>
    </rcc>
    <rcc rId="0" sId="2">
      <nc r="B47">
        <f>HYPERLINK("https://hsdes.intel.com/resource/14013119607","14013119607")</f>
      </nc>
    </rcc>
    <rcc rId="0" sId="2">
      <nc r="B48">
        <f>HYPERLINK("https://hsdes.intel.com/resource/14013119621","14013119621")</f>
      </nc>
    </rcc>
    <rcc rId="0" sId="2">
      <nc r="B49">
        <f>HYPERLINK("https://hsdes.intel.com/resource/14013119649","14013119649")</f>
      </nc>
    </rcc>
    <rcc rId="0" sId="2">
      <nc r="B50">
        <f>HYPERLINK("https://hsdes.intel.com/resource/14013119741","14013119741")</f>
      </nc>
    </rcc>
    <rcc rId="0" sId="2">
      <nc r="B51">
        <f>HYPERLINK("https://hsdes.intel.com/resource/14013119776","14013119776")</f>
      </nc>
    </rcc>
    <rcc rId="0" sId="2">
      <nc r="B52">
        <f>HYPERLINK("https://hsdes.intel.com/resource/14013120050","14013120050")</f>
      </nc>
    </rcc>
    <rcc rId="0" sId="2">
      <nc r="B53">
        <f>HYPERLINK("https://hsdes.intel.com/resource/14013120106","14013120106")</f>
      </nc>
    </rcc>
    <rcc rId="0" sId="2">
      <nc r="B54">
        <f>HYPERLINK("https://hsdes.intel.com/resource/14013120118","14013120118")</f>
      </nc>
    </rcc>
    <rcc rId="0" sId="2">
      <nc r="B55">
        <f>HYPERLINK("https://hsdes.intel.com/resource/14013120134","14013120134")</f>
      </nc>
    </rcc>
    <rcc rId="0" sId="2">
      <nc r="B56">
        <f>HYPERLINK("https://hsdes.intel.com/resource/14013120187","14013120187")</f>
      </nc>
    </rcc>
    <rcc rId="0" sId="2">
      <nc r="B57">
        <f>HYPERLINK("https://hsdes.intel.com/resource/14013120372","14013120372")</f>
      </nc>
    </rcc>
    <rcc rId="0" sId="2">
      <nc r="B58">
        <f>HYPERLINK("https://hsdes.intel.com/resource/14013120386","14013120386")</f>
      </nc>
    </rcc>
    <rcc rId="0" sId="2">
      <nc r="B59">
        <f>HYPERLINK("https://hsdes.intel.com/resource/14013120401","14013120401")</f>
      </nc>
    </rcc>
    <rcc rId="0" sId="2">
      <nc r="B60">
        <f>HYPERLINK("https://hsdes.intel.com/resource/14013120427","14013120427")</f>
      </nc>
    </rcc>
    <rcc rId="0" sId="2">
      <nc r="B61">
        <f>HYPERLINK("https://hsdes.intel.com/resource/14013120472","14013120472")</f>
      </nc>
    </rcc>
    <rcc rId="0" sId="2">
      <nc r="B62">
        <f>HYPERLINK("https://hsdes.intel.com/resource/14013120543","14013120543")</f>
      </nc>
    </rcc>
    <rcc rId="0" sId="2">
      <nc r="B63">
        <f>HYPERLINK("https://hsdes.intel.com/resource/14013120567","14013120567")</f>
      </nc>
    </rcc>
    <rcc rId="0" sId="2">
      <nc r="B64">
        <f>HYPERLINK("https://hsdes.intel.com/resource/14013120573","14013120573")</f>
      </nc>
    </rcc>
    <rcc rId="0" sId="2">
      <nc r="B65">
        <f>HYPERLINK("https://hsdes.intel.com/resource/14013120607","14013120607")</f>
      </nc>
    </rcc>
    <rcc rId="0" sId="2">
      <nc r="B66">
        <f>HYPERLINK("https://hsdes.intel.com/resource/14013120621","14013120621")</f>
      </nc>
    </rcc>
    <rcc rId="0" sId="2">
      <nc r="B67">
        <f>HYPERLINK("https://hsdes.intel.com/resource/14013120629","14013120629")</f>
      </nc>
    </rcc>
    <rcc rId="0" sId="2">
      <nc r="B68">
        <f>HYPERLINK("https://hsdes.intel.com/resource/14013120639","14013120639")</f>
      </nc>
    </rcc>
    <rcc rId="0" sId="2">
      <nc r="B69">
        <f>HYPERLINK("https://hsdes.intel.com/resource/14013120644","14013120644")</f>
      </nc>
    </rcc>
    <rcc rId="0" sId="2">
      <nc r="B70">
        <f>HYPERLINK("https://hsdes.intel.com/resource/14013120671","14013120671")</f>
      </nc>
    </rcc>
    <rcc rId="0" sId="2">
      <nc r="B71">
        <f>HYPERLINK("https://hsdes.intel.com/resource/14013120685","14013120685")</f>
      </nc>
    </rcc>
    <rcc rId="0" sId="2">
      <nc r="B72">
        <f>HYPERLINK("https://hsdes.intel.com/resource/14013120696","14013120696")</f>
      </nc>
    </rcc>
    <rcc rId="0" sId="2">
      <nc r="B73">
        <f>HYPERLINK("https://hsdes.intel.com/resource/14013120707","14013120707")</f>
      </nc>
    </rcc>
    <rcc rId="0" sId="2">
      <nc r="B74">
        <f>HYPERLINK("https://hsdes.intel.com/resource/14013120730","14013120730")</f>
      </nc>
    </rcc>
    <rcc rId="0" sId="2">
      <nc r="B75">
        <f>HYPERLINK("https://hsdes.intel.com/resource/14013120738","14013120738")</f>
      </nc>
    </rcc>
    <rcc rId="0" sId="2">
      <nc r="B76">
        <f>HYPERLINK("https://hsdes.intel.com/resource/14013120756","14013120756")</f>
      </nc>
    </rcc>
    <rcc rId="0" sId="2">
      <nc r="B77">
        <f>HYPERLINK("https://hsdes.intel.com/resource/14013120765","14013120765")</f>
      </nc>
    </rcc>
    <rcc rId="0" sId="2">
      <nc r="B78">
        <f>HYPERLINK("https://hsdes.intel.com/resource/14013120780","14013120780")</f>
      </nc>
    </rcc>
    <rcc rId="0" sId="2">
      <nc r="B79">
        <f>HYPERLINK("https://hsdes.intel.com/resource/14013120792","14013120792")</f>
      </nc>
    </rcc>
    <rcc rId="0" sId="2">
      <nc r="B80">
        <f>HYPERLINK("https://hsdes.intel.com/resource/14013120808","14013120808")</f>
      </nc>
    </rcc>
    <rcc rId="0" sId="2">
      <nc r="B81">
        <f>HYPERLINK("https://hsdes.intel.com/resource/14013120822","14013120822")</f>
      </nc>
    </rcc>
    <rcc rId="0" sId="2">
      <nc r="B82">
        <f>HYPERLINK("https://hsdes.intel.com/resource/14013120858","14013120858")</f>
      </nc>
    </rcc>
    <rcc rId="0" sId="2">
      <nc r="B83">
        <f>HYPERLINK("https://hsdes.intel.com/resource/14013120864","14013120864")</f>
      </nc>
    </rcc>
    <rcc rId="0" sId="2">
      <nc r="B84">
        <f>HYPERLINK("https://hsdes.intel.com/resource/14013120874","14013120874")</f>
      </nc>
    </rcc>
    <rcc rId="0" sId="2">
      <nc r="B85">
        <f>HYPERLINK("https://hsdes.intel.com/resource/14013120896","14013120896")</f>
      </nc>
    </rcc>
    <rcc rId="0" sId="2">
      <nc r="B86">
        <f>HYPERLINK("https://hsdes.intel.com/resource/14013120901","14013120901")</f>
      </nc>
    </rcc>
    <rcc rId="0" sId="2">
      <nc r="B87">
        <f>HYPERLINK("https://hsdes.intel.com/resource/14013120907","14013120907")</f>
      </nc>
    </rcc>
    <rcc rId="0" sId="2">
      <nc r="B88">
        <f>HYPERLINK("https://hsdes.intel.com/resource/14013120914","14013120914")</f>
      </nc>
    </rcc>
    <rcc rId="0" sId="2">
      <nc r="B89">
        <f>HYPERLINK("https://hsdes.intel.com/resource/14013120930","14013120930")</f>
      </nc>
    </rcc>
    <rcc rId="0" sId="2">
      <nc r="B90">
        <f>HYPERLINK("https://hsdes.intel.com/resource/14013120937","14013120937")</f>
      </nc>
    </rcc>
    <rcc rId="0" sId="2">
      <nc r="B91">
        <f>HYPERLINK("https://hsdes.intel.com/resource/14013121015","14013121015")</f>
      </nc>
    </rcc>
    <rcc rId="0" sId="2">
      <nc r="B92">
        <f>HYPERLINK("https://hsdes.intel.com/resource/14013121204","14013121204")</f>
      </nc>
    </rcc>
    <rcc rId="0" sId="2">
      <nc r="B93">
        <f>HYPERLINK("https://hsdes.intel.com/resource/14013121214","14013121214")</f>
      </nc>
    </rcc>
    <rcc rId="0" sId="2">
      <nc r="B94">
        <f>HYPERLINK("https://hsdes.intel.com/resource/14013121224","14013121224")</f>
      </nc>
    </rcc>
    <rcc rId="0" sId="2">
      <nc r="B95">
        <f>HYPERLINK("https://hsdes.intel.com/resource/14013121230","14013121230")</f>
      </nc>
    </rcc>
    <rcc rId="0" sId="2">
      <nc r="B96">
        <f>HYPERLINK("https://hsdes.intel.com/resource/14013121241","14013121241")</f>
      </nc>
    </rcc>
    <rcc rId="0" sId="2">
      <nc r="B97">
        <f>HYPERLINK("https://hsdes.intel.com/resource/14013121267","14013121267")</f>
      </nc>
    </rcc>
    <rcc rId="0" sId="2">
      <nc r="B98">
        <f>HYPERLINK("https://hsdes.intel.com/resource/14013121275","14013121275")</f>
      </nc>
    </rcc>
    <rcc rId="0" sId="2">
      <nc r="B99">
        <f>HYPERLINK("https://hsdes.intel.com/resource/14013121432","14013121432")</f>
      </nc>
    </rcc>
    <rcc rId="0" sId="2">
      <nc r="B100">
        <f>HYPERLINK("https://hsdes.intel.com/resource/14013156688","14013156688")</f>
      </nc>
    </rcc>
    <rcc rId="0" sId="2">
      <nc r="B101">
        <f>HYPERLINK("https://hsdes.intel.com/resource/14013156736","14013156736")</f>
      </nc>
    </rcc>
    <rcc rId="0" sId="2">
      <nc r="B102">
        <f>HYPERLINK("https://hsdes.intel.com/resource/14013156756","14013156756")</f>
      </nc>
    </rcc>
    <rcc rId="0" sId="2">
      <nc r="B103">
        <f>HYPERLINK("https://hsdes.intel.com/resource/14013156768","14013156768")</f>
      </nc>
    </rcc>
    <rcc rId="0" sId="2">
      <nc r="B104">
        <f>HYPERLINK("https://hsdes.intel.com/resource/14013156770","14013156770")</f>
      </nc>
    </rcc>
    <rcc rId="0" sId="2">
      <nc r="B105">
        <f>HYPERLINK("https://hsdes.intel.com/resource/14013156774","14013156774")</f>
      </nc>
    </rcc>
    <rcc rId="0" sId="2">
      <nc r="B106">
        <f>HYPERLINK("https://hsdes.intel.com/resource/14013156775","14013156775")</f>
      </nc>
    </rcc>
    <rcc rId="0" sId="2">
      <nc r="B107">
        <f>HYPERLINK("https://hsdes.intel.com/resource/14013156780","14013156780")</f>
      </nc>
    </rcc>
    <rcc rId="0" sId="2">
      <nc r="B108">
        <f>HYPERLINK("https://hsdes.intel.com/resource/14013156783","14013156783")</f>
      </nc>
    </rcc>
    <rcc rId="0" sId="2">
      <nc r="B109">
        <f>HYPERLINK("https://hsdes.intel.com/resource/14013156787","14013156787")</f>
      </nc>
    </rcc>
    <rcc rId="0" sId="2">
      <nc r="B110">
        <f>HYPERLINK("https://hsdes.intel.com/resource/14013156788","14013156788")</f>
      </nc>
    </rcc>
    <rcc rId="0" sId="2">
      <nc r="B111">
        <f>HYPERLINK("https://hsdes.intel.com/resource/14013156791","14013156791")</f>
      </nc>
    </rcc>
    <rcc rId="0" sId="2">
      <nc r="B112">
        <f>HYPERLINK("https://hsdes.intel.com/resource/14013156792","14013156792")</f>
      </nc>
    </rcc>
    <rcc rId="0" sId="2">
      <nc r="B113">
        <f>HYPERLINK("https://hsdes.intel.com/resource/14013156795","14013156795")</f>
      </nc>
    </rcc>
    <rcc rId="0" sId="2">
      <nc r="B114">
        <f>HYPERLINK("https://hsdes.intel.com/resource/14013156796","14013156796")</f>
      </nc>
    </rcc>
    <rcc rId="0" sId="2">
      <nc r="B115">
        <f>HYPERLINK("https://hsdes.intel.com/resource/14013156798","14013156798")</f>
      </nc>
    </rcc>
    <rcc rId="0" sId="2">
      <nc r="B116">
        <f>HYPERLINK("https://hsdes.intel.com/resource/14013156799","14013156799")</f>
      </nc>
    </rcc>
    <rcc rId="0" sId="2">
      <nc r="B117">
        <f>HYPERLINK("https://hsdes.intel.com/resource/14013156800","14013156800")</f>
      </nc>
    </rcc>
    <rcc rId="0" sId="2">
      <nc r="B118">
        <f>HYPERLINK("https://hsdes.intel.com/resource/14013156801","14013156801")</f>
      </nc>
    </rcc>
    <rcc rId="0" sId="2">
      <nc r="B119">
        <f>HYPERLINK("https://hsdes.intel.com/resource/14013156802","14013156802")</f>
      </nc>
    </rcc>
    <rcc rId="0" sId="2">
      <nc r="B120">
        <f>HYPERLINK("https://hsdes.intel.com/resource/14013156804","14013156804")</f>
      </nc>
    </rcc>
    <rcc rId="0" sId="2">
      <nc r="B121">
        <f>HYPERLINK("https://hsdes.intel.com/resource/14013156805","14013156805")</f>
      </nc>
    </rcc>
    <rcc rId="0" sId="2">
      <nc r="B122">
        <f>HYPERLINK("https://hsdes.intel.com/resource/14013156807","14013156807")</f>
      </nc>
    </rcc>
    <rcc rId="0" sId="2">
      <nc r="B123">
        <f>HYPERLINK("https://hsdes.intel.com/resource/14013156809","14013156809")</f>
      </nc>
    </rcc>
    <rcc rId="0" sId="2">
      <nc r="B124">
        <f>HYPERLINK("https://hsdes.intel.com/resource/14013156833","14013156833")</f>
      </nc>
    </rcc>
    <rcc rId="0" sId="2">
      <nc r="B125">
        <f>HYPERLINK("https://hsdes.intel.com/resource/14013156839","14013156839")</f>
      </nc>
    </rcc>
    <rcc rId="0" sId="2">
      <nc r="B126">
        <f>HYPERLINK("https://hsdes.intel.com/resource/14013156842","14013156842")</f>
      </nc>
    </rcc>
    <rcc rId="0" sId="2">
      <nc r="B127">
        <f>HYPERLINK("https://hsdes.intel.com/resource/14013156843","14013156843")</f>
      </nc>
    </rcc>
    <rcc rId="0" sId="2">
      <nc r="B128">
        <f>HYPERLINK("https://hsdes.intel.com/resource/14013156844","14013156844")</f>
      </nc>
    </rcc>
    <rcc rId="0" sId="2">
      <nc r="B129">
        <f>HYPERLINK("https://hsdes.intel.com/resource/14013156845","14013156845")</f>
      </nc>
    </rcc>
    <rcc rId="0" sId="2">
      <nc r="B130">
        <f>HYPERLINK("https://hsdes.intel.com/resource/14013156846","14013156846")</f>
      </nc>
    </rcc>
    <rcc rId="0" sId="2">
      <nc r="B131">
        <f>HYPERLINK("https://hsdes.intel.com/resource/14013156847","14013156847")</f>
      </nc>
    </rcc>
    <rcc rId="0" sId="2">
      <nc r="B132">
        <f>HYPERLINK("https://hsdes.intel.com/resource/14013156848","14013156848")</f>
      </nc>
    </rcc>
    <rcc rId="0" sId="2">
      <nc r="B133">
        <f>HYPERLINK("https://hsdes.intel.com/resource/14013156854","14013156854")</f>
      </nc>
    </rcc>
    <rcc rId="0" sId="2">
      <nc r="B134">
        <f>HYPERLINK("https://hsdes.intel.com/resource/14013156857","14013156857")</f>
      </nc>
    </rcc>
    <rcc rId="0" sId="2">
      <nc r="B135">
        <f>HYPERLINK("https://hsdes.intel.com/resource/14013156858","14013156858")</f>
      </nc>
    </rcc>
    <rcc rId="0" sId="2" dxf="1">
      <nc r="B136">
        <f>HYPERLINK("https://hsdes.intel.com/resource/14013156860","14013156860")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37">
        <f>HYPERLINK("https://hsdes.intel.com/resource/14013156862","14013156862")</f>
      </nc>
    </rcc>
    <rcc rId="0" sId="2">
      <nc r="B138">
        <f>HYPERLINK("https://hsdes.intel.com/resource/14013156866","14013156866")</f>
      </nc>
    </rcc>
    <rcc rId="0" sId="2">
      <nc r="B139">
        <f>HYPERLINK("https://hsdes.intel.com/resource/14013156868","14013156868")</f>
      </nc>
    </rcc>
    <rcc rId="0" sId="2">
      <nc r="B140">
        <f>HYPERLINK("https://hsdes.intel.com/resource/14013156870","14013156870")</f>
      </nc>
    </rcc>
    <rcc rId="0" sId="2">
      <nc r="B141">
        <f>HYPERLINK("https://hsdes.intel.com/resource/14013156872","14013156872")</f>
      </nc>
    </rcc>
    <rcc rId="0" sId="2">
      <nc r="B142">
        <f>HYPERLINK("https://hsdes.intel.com/resource/14013156874","14013156874")</f>
      </nc>
    </rcc>
    <rcc rId="0" sId="2">
      <nc r="B143">
        <f>HYPERLINK("https://hsdes.intel.com/resource/14013156877","14013156877")</f>
      </nc>
    </rcc>
    <rcc rId="0" sId="2">
      <nc r="B144">
        <f>HYPERLINK("https://hsdes.intel.com/resource/14013156879","14013156879")</f>
      </nc>
    </rcc>
    <rcc rId="0" sId="2">
      <nc r="B145">
        <f>HYPERLINK("https://hsdes.intel.com/resource/14013156880","14013156880")</f>
      </nc>
    </rcc>
    <rcc rId="0" sId="2">
      <nc r="B146">
        <f>HYPERLINK("https://hsdes.intel.com/resource/14013156883","14013156883")</f>
      </nc>
    </rcc>
    <rcc rId="0" sId="2">
      <nc r="B147">
        <f>HYPERLINK("https://hsdes.intel.com/resource/14013156893","14013156893")</f>
      </nc>
    </rcc>
    <rcc rId="0" sId="2">
      <nc r="B148">
        <f>HYPERLINK("https://hsdes.intel.com/resource/14013156896","14013156896")</f>
      </nc>
    </rcc>
    <rcc rId="0" sId="2">
      <nc r="B149">
        <f>HYPERLINK("https://hsdes.intel.com/resource/14013156898","14013156898")</f>
      </nc>
    </rcc>
    <rcc rId="0" sId="2">
      <nc r="B150">
        <f>HYPERLINK("https://hsdes.intel.com/resource/14013156900","14013156900")</f>
      </nc>
    </rcc>
    <rcc rId="0" sId="2">
      <nc r="B151">
        <f>HYPERLINK("https://hsdes.intel.com/resource/14013156903","14013156903")</f>
      </nc>
    </rcc>
    <rcc rId="0" sId="2">
      <nc r="B152">
        <f>HYPERLINK("https://hsdes.intel.com/resource/14013156911","14013156911")</f>
      </nc>
    </rcc>
    <rcc rId="0" sId="2">
      <nc r="B153">
        <f>HYPERLINK("https://hsdes.intel.com/resource/14013156915","14013156915")</f>
      </nc>
    </rcc>
    <rcc rId="0" sId="2">
      <nc r="B154">
        <f>HYPERLINK("https://hsdes.intel.com/resource/14013156931","14013156931")</f>
      </nc>
    </rcc>
    <rcc rId="0" sId="2">
      <nc r="B155">
        <f>HYPERLINK("https://hsdes.intel.com/resource/14013156951","14013156951")</f>
      </nc>
    </rcc>
    <rcc rId="0" sId="2">
      <nc r="B156">
        <f>HYPERLINK("https://hsdes.intel.com/resource/14013156953","14013156953")</f>
      </nc>
    </rcc>
    <rcc rId="0" sId="2">
      <nc r="B157">
        <f>HYPERLINK("https://hsdes.intel.com/resource/14013156955","14013156955")</f>
      </nc>
    </rcc>
    <rcc rId="0" sId="2">
      <nc r="B158">
        <f>HYPERLINK("https://hsdes.intel.com/resource/14013156976","14013156976")</f>
      </nc>
    </rcc>
    <rcc rId="0" sId="2">
      <nc r="B159">
        <f>HYPERLINK("https://hsdes.intel.com/resource/14013156977","14013156977")</f>
      </nc>
    </rcc>
    <rcc rId="0" sId="2">
      <nc r="B160">
        <f>HYPERLINK("https://hsdes.intel.com/resource/14013156980","14013156980")</f>
      </nc>
    </rcc>
    <rcc rId="0" sId="2">
      <nc r="B161">
        <f>HYPERLINK("https://hsdes.intel.com/resource/14013157004","14013157004")</f>
      </nc>
    </rcc>
    <rcc rId="0" sId="2">
      <nc r="B162">
        <f>HYPERLINK("https://hsdes.intel.com/resource/14013157008","14013157008")</f>
      </nc>
    </rcc>
    <rcc rId="0" sId="2">
      <nc r="B163">
        <f>HYPERLINK("https://hsdes.intel.com/resource/14013157009","14013157009")</f>
      </nc>
    </rcc>
    <rcc rId="0" sId="2">
      <nc r="B164">
        <f>HYPERLINK("https://hsdes.intel.com/resource/14013157010","14013157010")</f>
      </nc>
    </rcc>
    <rcc rId="0" sId="2">
      <nc r="B165">
        <f>HYPERLINK("https://hsdes.intel.com/resource/14013157012","14013157012")</f>
      </nc>
    </rcc>
    <rcc rId="0" sId="2">
      <nc r="B166">
        <f>HYPERLINK("https://hsdes.intel.com/resource/14013157017","14013157017")</f>
      </nc>
    </rcc>
    <rcc rId="0" sId="2">
      <nc r="B167">
        <f>HYPERLINK("https://hsdes.intel.com/resource/14013157021","14013157021")</f>
      </nc>
    </rcc>
    <rcc rId="0" sId="2">
      <nc r="B168">
        <f>HYPERLINK("https://hsdes.intel.com/resource/14013157052","14013157052")</f>
      </nc>
    </rcc>
    <rcc rId="0" sId="2">
      <nc r="B169">
        <f>HYPERLINK("https://hsdes.intel.com/resource/14013157055","14013157055")</f>
      </nc>
    </rcc>
    <rcc rId="0" sId="2">
      <nc r="B170">
        <f>HYPERLINK("https://hsdes.intel.com/resource/14013157075","14013157075")</f>
      </nc>
    </rcc>
    <rcc rId="0" sId="2">
      <nc r="B171">
        <f>HYPERLINK("https://hsdes.intel.com/resource/14013157081","14013157081")</f>
      </nc>
    </rcc>
    <rcc rId="0" sId="2">
      <nc r="B172">
        <f>HYPERLINK("https://hsdes.intel.com/resource/14013157085","14013157085")</f>
      </nc>
    </rcc>
    <rcc rId="0" sId="2">
      <nc r="B173">
        <f>HYPERLINK("https://hsdes.intel.com/resource/14013157103","14013157103")</f>
      </nc>
    </rcc>
    <rcc rId="0" sId="2">
      <nc r="B174">
        <f>HYPERLINK("https://hsdes.intel.com/resource/14013157109","14013157109")</f>
      </nc>
    </rcc>
    <rcc rId="0" sId="2">
      <nc r="B175">
        <f>HYPERLINK("https://hsdes.intel.com/resource/14013157121","14013157121")</f>
      </nc>
    </rcc>
    <rcc rId="0" sId="2">
      <nc r="B176">
        <f>HYPERLINK("https://hsdes.intel.com/resource/14013157130","14013157130")</f>
      </nc>
    </rcc>
    <rcc rId="0" sId="2">
      <nc r="B177">
        <f>HYPERLINK("https://hsdes.intel.com/resource/14013157133","14013157133")</f>
      </nc>
    </rcc>
    <rcc rId="0" sId="2">
      <nc r="B178">
        <f>HYPERLINK("https://hsdes.intel.com/resource/14013157136","14013157136")</f>
      </nc>
    </rcc>
    <rcc rId="0" sId="2">
      <nc r="B179">
        <f>HYPERLINK("https://hsdes.intel.com/resource/14013157146","14013157146")</f>
      </nc>
    </rcc>
    <rcc rId="0" sId="2">
      <nc r="B180">
        <f>HYPERLINK("https://hsdes.intel.com/resource/14013157151","14013157151")</f>
      </nc>
    </rcc>
    <rcc rId="0" sId="2">
      <nc r="B181">
        <f>HYPERLINK("https://hsdes.intel.com/resource/14013157153","14013157153")</f>
      </nc>
    </rcc>
    <rcc rId="0" sId="2">
      <nc r="B182">
        <f>HYPERLINK("https://hsdes.intel.com/resource/14013157179","14013157179")</f>
      </nc>
    </rcc>
    <rcc rId="0" sId="2">
      <nc r="B183">
        <f>HYPERLINK("https://hsdes.intel.com/resource/14013157181","14013157181")</f>
      </nc>
    </rcc>
    <rcc rId="0" sId="2">
      <nc r="B184">
        <f>HYPERLINK("https://hsdes.intel.com/resource/14013157188","14013157188")</f>
      </nc>
    </rcc>
    <rcc rId="0" sId="2">
      <nc r="B185">
        <f>HYPERLINK("https://hsdes.intel.com/resource/14013157216","14013157216")</f>
      </nc>
    </rcc>
    <rcc rId="0" sId="2">
      <nc r="B186">
        <f>HYPERLINK("https://hsdes.intel.com/resource/14013157222","14013157222")</f>
      </nc>
    </rcc>
    <rcc rId="0" sId="2">
      <nc r="B187">
        <f>HYPERLINK("https://hsdes.intel.com/resource/14013157232","14013157232")</f>
      </nc>
    </rcc>
    <rcc rId="0" sId="2">
      <nc r="B188">
        <f>HYPERLINK("https://hsdes.intel.com/resource/14013157235","14013157235")</f>
      </nc>
    </rcc>
    <rcc rId="0" sId="2" dxf="1">
      <nc r="B189">
        <f>HYPERLINK("https://hsdes.intel.com/resource/14013157237","14013157237")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90">
        <f>HYPERLINK("https://hsdes.intel.com/resource/14013157239","14013157239")</f>
      </nc>
    </rcc>
    <rcc rId="0" sId="2">
      <nc r="B191">
        <f>HYPERLINK("https://hsdes.intel.com/resource/14013157256","14013157256")</f>
      </nc>
    </rcc>
    <rcc rId="0" sId="2">
      <nc r="B192">
        <f>HYPERLINK("https://hsdes.intel.com/resource/14013157270","14013157270")</f>
      </nc>
    </rcc>
    <rcc rId="0" sId="2">
      <nc r="B193">
        <f>HYPERLINK("https://hsdes.intel.com/resource/14013157276","14013157276")</f>
      </nc>
    </rcc>
    <rcc rId="0" sId="2">
      <nc r="B194">
        <f>HYPERLINK("https://hsdes.intel.com/resource/14013157278","14013157278")</f>
      </nc>
    </rcc>
    <rcc rId="0" sId="2">
      <nc r="B195">
        <f>HYPERLINK("https://hsdes.intel.com/resource/14013157287","14013157287")</f>
      </nc>
    </rcc>
    <rcc rId="0" sId="2">
      <nc r="B196">
        <f>HYPERLINK("https://hsdes.intel.com/resource/14013157290","14013157290")</f>
      </nc>
    </rcc>
    <rcc rId="0" sId="2">
      <nc r="B197">
        <f>HYPERLINK("https://hsdes.intel.com/resource/14013157294","14013157294")</f>
      </nc>
    </rcc>
    <rcc rId="0" sId="2">
      <nc r="B198">
        <f>HYPERLINK("https://hsdes.intel.com/resource/14013157299","14013157299")</f>
      </nc>
    </rcc>
    <rcc rId="0" sId="2" dxf="1">
      <nc r="B199">
        <f>HYPERLINK("https://hsdes.intel.com/resource/14013157301","14013157301")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00">
        <f>HYPERLINK("https://hsdes.intel.com/resource/14013157313","14013157313")</f>
      </nc>
    </rcc>
    <rcc rId="0" sId="2">
      <nc r="B201">
        <f>HYPERLINK("https://hsdes.intel.com/resource/14013157315","14013157315")</f>
      </nc>
    </rcc>
    <rcc rId="0" sId="2">
      <nc r="B202">
        <f>HYPERLINK("https://hsdes.intel.com/resource/14013157319","14013157319")</f>
      </nc>
    </rcc>
    <rcc rId="0" sId="2">
      <nc r="B203">
        <f>HYPERLINK("https://hsdes.intel.com/resource/14013157332","14013157332")</f>
      </nc>
    </rcc>
    <rcc rId="0" sId="2">
      <nc r="B204">
        <f>HYPERLINK("https://hsdes.intel.com/resource/14013157335","14013157335")</f>
      </nc>
    </rcc>
    <rcc rId="0" sId="2">
      <nc r="B205">
        <f>HYPERLINK("https://hsdes.intel.com/resource/14013157343","14013157343")</f>
      </nc>
    </rcc>
    <rcc rId="0" sId="2">
      <nc r="B206">
        <f>HYPERLINK("https://hsdes.intel.com/resource/14013157345","14013157345")</f>
      </nc>
    </rcc>
    <rcc rId="0" sId="2">
      <nc r="B207">
        <f>HYPERLINK("https://hsdes.intel.com/resource/14013157347","14013157347")</f>
      </nc>
    </rcc>
    <rcc rId="0" sId="2">
      <nc r="B208">
        <f>HYPERLINK("https://hsdes.intel.com/resource/14013157360","14013157360")</f>
      </nc>
    </rcc>
    <rcc rId="0" sId="2">
      <nc r="B209">
        <f>HYPERLINK("https://hsdes.intel.com/resource/14013157372","14013157372")</f>
      </nc>
    </rcc>
    <rcc rId="0" sId="2">
      <nc r="B210">
        <f>HYPERLINK("https://hsdes.intel.com/resource/14013157378","14013157378")</f>
      </nc>
    </rcc>
    <rcc rId="0" sId="2">
      <nc r="B211">
        <f>HYPERLINK("https://hsdes.intel.com/resource/14013157437","14013157437")</f>
      </nc>
    </rcc>
    <rcc rId="0" sId="2">
      <nc r="B212">
        <f>HYPERLINK("https://hsdes.intel.com/resource/14013157449","14013157449")</f>
      </nc>
    </rcc>
    <rcc rId="0" sId="2">
      <nc r="B213">
        <f>HYPERLINK("https://hsdes.intel.com/resource/14013157450","14013157450")</f>
      </nc>
    </rcc>
    <rcc rId="0" sId="2">
      <nc r="B214">
        <f>HYPERLINK("https://hsdes.intel.com/resource/14013157452","14013157452")</f>
      </nc>
    </rcc>
    <rcc rId="0" sId="2">
      <nc r="B215">
        <f>HYPERLINK("https://hsdes.intel.com/resource/14013157454","14013157454")</f>
      </nc>
    </rcc>
    <rcc rId="0" sId="2">
      <nc r="B216">
        <f>HYPERLINK("https://hsdes.intel.com/resource/14013157474","14013157474")</f>
      </nc>
    </rcc>
    <rcc rId="0" sId="2">
      <nc r="B217">
        <f>HYPERLINK("https://hsdes.intel.com/resource/14013157476","14013157476")</f>
      </nc>
    </rcc>
    <rcc rId="0" sId="2">
      <nc r="B218">
        <f>HYPERLINK("https://hsdes.intel.com/resource/14013157506","14013157506")</f>
      </nc>
    </rcc>
    <rcc rId="0" sId="2">
      <nc r="B219">
        <f>HYPERLINK("https://hsdes.intel.com/resource/14013157514","14013157514")</f>
      </nc>
    </rcc>
    <rcc rId="0" sId="2">
      <nc r="B220">
        <f>HYPERLINK("https://hsdes.intel.com/resource/14013157520","14013157520")</f>
      </nc>
    </rcc>
    <rcc rId="0" sId="2">
      <nc r="B221">
        <f>HYPERLINK("https://hsdes.intel.com/resource/14013157529","14013157529")</f>
      </nc>
    </rcc>
    <rcc rId="0" sId="2">
      <nc r="B222">
        <f>HYPERLINK("https://hsdes.intel.com/resource/14013157531","14013157531")</f>
      </nc>
    </rcc>
    <rcc rId="0" sId="2">
      <nc r="B223">
        <f>HYPERLINK("https://hsdes.intel.com/resource/14013157558","14013157558")</f>
      </nc>
    </rcc>
    <rcc rId="0" sId="2">
      <nc r="B224">
        <f>HYPERLINK("https://hsdes.intel.com/resource/14013157560","14013157560")</f>
      </nc>
    </rcc>
    <rcc rId="0" sId="2">
      <nc r="B225">
        <f>HYPERLINK("https://hsdes.intel.com/resource/14013157562","14013157562")</f>
      </nc>
    </rcc>
    <rcc rId="0" sId="2">
      <nc r="B226">
        <f>HYPERLINK("https://hsdes.intel.com/resource/14013157564","14013157564")</f>
      </nc>
    </rcc>
    <rcc rId="0" sId="2">
      <nc r="B227">
        <f>HYPERLINK("https://hsdes.intel.com/resource/14013157573","14013157573")</f>
      </nc>
    </rcc>
    <rcc rId="0" sId="2">
      <nc r="B228">
        <f>HYPERLINK("https://hsdes.intel.com/resource/14013157584","14013157584")</f>
      </nc>
    </rcc>
    <rcc rId="0" sId="2">
      <nc r="B229">
        <f>HYPERLINK("https://hsdes.intel.com/resource/14013157619","14013157619")</f>
      </nc>
    </rcc>
    <rcc rId="0" sId="2">
      <nc r="B230">
        <f>HYPERLINK("https://hsdes.intel.com/resource/14013157627","14013157627")</f>
      </nc>
    </rcc>
    <rcc rId="0" sId="2">
      <nc r="B231">
        <f>HYPERLINK("https://hsdes.intel.com/resource/14013157652","14013157652")</f>
      </nc>
    </rcc>
    <rcc rId="0" sId="2">
      <nc r="B232">
        <f>HYPERLINK("https://hsdes.intel.com/resource/14013157670","14013157670")</f>
      </nc>
    </rcc>
    <rcc rId="0" sId="2">
      <nc r="B233">
        <f>HYPERLINK("https://hsdes.intel.com/resource/14013157672","14013157672")</f>
      </nc>
    </rcc>
    <rcc rId="0" sId="2">
      <nc r="B234">
        <f>HYPERLINK("https://hsdes.intel.com/resource/14013157676","14013157676")</f>
      </nc>
    </rcc>
    <rcc rId="0" sId="2">
      <nc r="B235">
        <f>HYPERLINK("https://hsdes.intel.com/resource/14013157677","14013157677")</f>
      </nc>
    </rcc>
    <rcc rId="0" sId="2">
      <nc r="B236">
        <f>HYPERLINK("https://hsdes.intel.com/resource/14013157679","14013157679")</f>
      </nc>
    </rcc>
    <rcc rId="0" sId="2">
      <nc r="B237">
        <f>HYPERLINK("https://hsdes.intel.com/resource/14013157684","14013157684")</f>
      </nc>
    </rcc>
    <rcc rId="0" sId="2">
      <nc r="B238">
        <f>HYPERLINK("https://hsdes.intel.com/resource/14013157693","14013157693")</f>
      </nc>
    </rcc>
    <rcc rId="0" sId="2">
      <nc r="B239">
        <f>HYPERLINK("https://hsdes.intel.com/resource/14013157705","14013157705")</f>
      </nc>
    </rcc>
    <rcc rId="0" sId="2">
      <nc r="B240">
        <f>HYPERLINK("https://hsdes.intel.com/resource/14013157715","14013157715")</f>
      </nc>
    </rcc>
    <rcc rId="0" sId="2" dxf="1">
      <nc r="B241">
        <f>HYPERLINK("https://hsdes.intel.com/resource/14013157742","14013157742")</f>
      </nc>
      <ndxf>
        <numFmt numFmtId="164" formatCode="0.0%"/>
        <alignment horizontal="right"/>
      </ndxf>
    </rcc>
    <rcc rId="0" sId="2">
      <nc r="B242">
        <f>HYPERLINK("https://hsdes.intel.com/resource/14013157743","14013157743")</f>
      </nc>
    </rcc>
    <rcc rId="0" sId="2">
      <nc r="B243">
        <f>HYPERLINK("https://hsdes.intel.com/resource/14013157749","14013157749")</f>
      </nc>
    </rcc>
    <rcc rId="0" sId="2">
      <nc r="B244">
        <f>HYPERLINK("https://hsdes.intel.com/resource/14013157753","14013157753")</f>
      </nc>
    </rcc>
    <rcc rId="0" sId="2">
      <nc r="B245">
        <f>HYPERLINK("https://hsdes.intel.com/resource/14013157767","14013157767")</f>
      </nc>
    </rcc>
    <rcc rId="0" sId="2">
      <nc r="B246">
        <f>HYPERLINK("https://hsdes.intel.com/resource/14013157781","14013157781")</f>
      </nc>
    </rcc>
    <rcc rId="0" sId="2">
      <nc r="B247">
        <f>HYPERLINK("https://hsdes.intel.com/resource/14013157784","14013157784")</f>
      </nc>
    </rcc>
    <rcc rId="0" sId="2">
      <nc r="B248">
        <f>HYPERLINK("https://hsdes.intel.com/resource/14013157801","14013157801")</f>
      </nc>
    </rcc>
    <rcc rId="0" sId="2">
      <nc r="B249">
        <f>HYPERLINK("https://hsdes.intel.com/resource/14013157808","14013157808")</f>
      </nc>
    </rcc>
    <rcc rId="0" sId="2">
      <nc r="B250">
        <f>HYPERLINK("https://hsdes.intel.com/resource/14013157811","14013157811")</f>
      </nc>
    </rcc>
    <rcc rId="0" sId="2">
      <nc r="B251">
        <f>HYPERLINK("https://hsdes.intel.com/resource/14013157817","14013157817")</f>
      </nc>
    </rcc>
    <rcc rId="0" sId="2">
      <nc r="B252">
        <f>HYPERLINK("https://hsdes.intel.com/resource/14013157822","14013157822")</f>
      </nc>
    </rcc>
    <rcc rId="0" sId="2">
      <nc r="B253">
        <f>HYPERLINK("https://hsdes.intel.com/resource/14013157826","14013157826")</f>
      </nc>
    </rcc>
    <rcc rId="0" sId="2">
      <nc r="B254">
        <f>HYPERLINK("https://hsdes.intel.com/resource/14013157922","14013157922")</f>
      </nc>
    </rcc>
    <rcc rId="0" sId="2">
      <nc r="B255">
        <f>HYPERLINK("https://hsdes.intel.com/resource/14013158076","14013158076")</f>
      </nc>
    </rcc>
    <rcc rId="0" sId="2">
      <nc r="B256">
        <f>HYPERLINK("https://hsdes.intel.com/resource/14013158089","14013158089")</f>
      </nc>
    </rcc>
    <rcc rId="0" sId="2">
      <nc r="B257">
        <f>HYPERLINK("https://hsdes.intel.com/resource/14013158096","14013158096")</f>
      </nc>
    </rcc>
    <rcc rId="0" sId="2">
      <nc r="B258">
        <f>HYPERLINK("https://hsdes.intel.com/resource/14013158099","14013158099")</f>
      </nc>
    </rcc>
    <rcc rId="0" sId="2">
      <nc r="B259">
        <f>HYPERLINK("https://hsdes.intel.com/resource/14013158101","14013158101")</f>
      </nc>
    </rcc>
    <rcc rId="0" sId="2">
      <nc r="B260">
        <f>HYPERLINK("https://hsdes.intel.com/resource/14013158103","14013158103")</f>
      </nc>
    </rcc>
    <rcc rId="0" sId="2">
      <nc r="B261">
        <f>HYPERLINK("https://hsdes.intel.com/resource/14013158122","14013158122")</f>
      </nc>
    </rcc>
    <rcc rId="0" sId="2">
      <nc r="B262">
        <f>HYPERLINK("https://hsdes.intel.com/resource/14013158128","14013158128")</f>
      </nc>
    </rcc>
    <rcc rId="0" sId="2">
      <nc r="B263">
        <f>HYPERLINK("https://hsdes.intel.com/resource/14013158163","14013158163")</f>
      </nc>
    </rcc>
    <rcc rId="0" sId="2">
      <nc r="B264">
        <f>HYPERLINK("https://hsdes.intel.com/resource/14013158170","14013158170")</f>
      </nc>
    </rcc>
    <rcc rId="0" sId="2">
      <nc r="B265">
        <f>HYPERLINK("https://hsdes.intel.com/resource/14013158179","14013158179")</f>
      </nc>
    </rcc>
    <rcc rId="0" sId="2">
      <nc r="B266">
        <f>HYPERLINK("https://hsdes.intel.com/resource/14013158182","14013158182")</f>
      </nc>
    </rcc>
    <rcc rId="0" sId="2">
      <nc r="B267">
        <f>HYPERLINK("https://hsdes.intel.com/resource/14013158193","14013158193")</f>
      </nc>
    </rcc>
    <rcc rId="0" sId="2">
      <nc r="B268">
        <f>HYPERLINK("https://hsdes.intel.com/resource/14013158200","14013158200")</f>
      </nc>
    </rcc>
    <rcc rId="0" sId="2">
      <nc r="B269">
        <f>HYPERLINK("https://hsdes.intel.com/resource/14013158232","14013158232")</f>
      </nc>
    </rcc>
    <rcc rId="0" sId="2">
      <nc r="B270">
        <f>HYPERLINK("https://hsdes.intel.com/resource/14013158240","14013158240")</f>
      </nc>
    </rcc>
    <rcc rId="0" sId="2">
      <nc r="B271">
        <f>HYPERLINK("https://hsdes.intel.com/resource/14013158242","14013158242")</f>
      </nc>
    </rcc>
    <rcc rId="0" sId="2">
      <nc r="B272">
        <f>HYPERLINK("https://hsdes.intel.com/resource/14013158256","14013158256")</f>
      </nc>
    </rcc>
    <rcc rId="0" sId="2">
      <nc r="B273">
        <f>HYPERLINK("https://hsdes.intel.com/resource/14013158274","14013158274")</f>
      </nc>
    </rcc>
    <rcc rId="0" sId="2">
      <nc r="B274">
        <f>HYPERLINK("https://hsdes.intel.com/resource/14013158276","14013158276")</f>
      </nc>
    </rcc>
    <rcc rId="0" sId="2">
      <nc r="B275">
        <f>HYPERLINK("https://hsdes.intel.com/resource/14013158278","14013158278")</f>
      </nc>
    </rcc>
    <rcc rId="0" sId="2">
      <nc r="B276">
        <f>HYPERLINK("https://hsdes.intel.com/resource/14013158290","14013158290")</f>
      </nc>
    </rcc>
    <rcc rId="0" sId="2">
      <nc r="B277">
        <f>HYPERLINK("https://hsdes.intel.com/resource/14013158293","14013158293")</f>
      </nc>
    </rcc>
    <rcc rId="0" sId="2">
      <nc r="B278">
        <f>HYPERLINK("https://hsdes.intel.com/resource/14013158295","14013158295")</f>
      </nc>
    </rcc>
    <rcc rId="0" sId="2">
      <nc r="B279">
        <f>HYPERLINK("https://hsdes.intel.com/resource/14013158308","14013158308")</f>
      </nc>
    </rcc>
    <rcc rId="0" sId="2">
      <nc r="B280">
        <f>HYPERLINK("https://hsdes.intel.com/resource/14013158313","14013158313")</f>
      </nc>
    </rcc>
    <rcc rId="0" sId="2">
      <nc r="B281">
        <f>HYPERLINK("https://hsdes.intel.com/resource/14013158318","14013158318")</f>
      </nc>
    </rcc>
    <rcc rId="0" sId="2">
      <nc r="B282">
        <f>HYPERLINK("https://hsdes.intel.com/resource/14013158370","14013158370")</f>
      </nc>
    </rcc>
    <rcc rId="0" sId="2">
      <nc r="B283">
        <f>HYPERLINK("https://hsdes.intel.com/resource/14013158378","14013158378")</f>
      </nc>
    </rcc>
    <rcc rId="0" sId="2">
      <nc r="B284">
        <f>HYPERLINK("https://hsdes.intel.com/resource/14013158384","14013158384")</f>
      </nc>
    </rcc>
    <rcc rId="0" sId="2">
      <nc r="B285">
        <f>HYPERLINK("https://hsdes.intel.com/resource/14013158395","14013158395")</f>
      </nc>
    </rcc>
    <rcc rId="0" sId="2">
      <nc r="B286">
        <f>HYPERLINK("https://hsdes.intel.com/resource/14013158397","14013158397")</f>
      </nc>
    </rcc>
    <rcc rId="0" sId="2">
      <nc r="B287">
        <f>HYPERLINK("https://hsdes.intel.com/resource/14013158406","14013158406")</f>
      </nc>
    </rcc>
    <rcc rId="0" sId="2">
      <nc r="B288">
        <f>HYPERLINK("https://hsdes.intel.com/resource/14013158414","14013158414")</f>
      </nc>
    </rcc>
    <rcc rId="0" sId="2">
      <nc r="B289">
        <f>HYPERLINK("https://hsdes.intel.com/resource/14013158435","14013158435")</f>
      </nc>
    </rcc>
    <rcc rId="0" sId="2">
      <nc r="B290">
        <f>HYPERLINK("https://hsdes.intel.com/resource/14013158443","14013158443")</f>
      </nc>
    </rcc>
    <rcc rId="0" sId="2">
      <nc r="B291">
        <f>HYPERLINK("https://hsdes.intel.com/resource/14013158446","14013158446")</f>
      </nc>
    </rcc>
    <rcc rId="0" sId="2">
      <nc r="B292">
        <f>HYPERLINK("https://hsdes.intel.com/resource/14013158464","14013158464")</f>
      </nc>
    </rcc>
    <rcc rId="0" sId="2">
      <nc r="B293">
        <f>HYPERLINK("https://hsdes.intel.com/resource/14013158470","14013158470")</f>
      </nc>
    </rcc>
    <rcc rId="0" sId="2">
      <nc r="B294">
        <f>HYPERLINK("https://hsdes.intel.com/resource/14013158485","14013158485")</f>
      </nc>
    </rcc>
    <rcc rId="0" sId="2">
      <nc r="B295">
        <f>HYPERLINK("https://hsdes.intel.com/resource/14013158498","14013158498")</f>
      </nc>
    </rcc>
    <rcc rId="0" sId="2">
      <nc r="B296">
        <f>HYPERLINK("https://hsdes.intel.com/resource/14013158501","14013158501")</f>
      </nc>
    </rcc>
    <rcc rId="0" sId="2">
      <nc r="B297">
        <f>HYPERLINK("https://hsdes.intel.com/resource/14013158511","14013158511")</f>
      </nc>
    </rcc>
    <rcc rId="0" sId="2">
      <nc r="B298">
        <f>HYPERLINK("https://hsdes.intel.com/resource/14013158520","14013158520")</f>
      </nc>
    </rcc>
    <rcc rId="0" sId="2">
      <nc r="B299">
        <f>HYPERLINK("https://hsdes.intel.com/resource/14013158536","14013158536")</f>
      </nc>
    </rcc>
    <rcc rId="0" sId="2">
      <nc r="B300">
        <f>HYPERLINK("https://hsdes.intel.com/resource/14013158554","14013158554")</f>
      </nc>
    </rcc>
    <rcc rId="0" sId="2">
      <nc r="B301">
        <f>HYPERLINK("https://hsdes.intel.com/resource/14013158557","14013158557")</f>
      </nc>
    </rcc>
    <rcc rId="0" sId="2">
      <nc r="B302">
        <f>HYPERLINK("https://hsdes.intel.com/resource/14013158668","14013158668")</f>
      </nc>
    </rcc>
    <rcc rId="0" sId="2">
      <nc r="B303">
        <f>HYPERLINK("https://hsdes.intel.com/resource/14013158691","14013158691")</f>
      </nc>
    </rcc>
    <rcc rId="0" sId="2">
      <nc r="B304">
        <f>HYPERLINK("https://hsdes.intel.com/resource/14013158695","14013158695")</f>
      </nc>
    </rcc>
    <rcc rId="0" sId="2">
      <nc r="B305">
        <f>HYPERLINK("https://hsdes.intel.com/resource/14013158711","14013158711")</f>
      </nc>
    </rcc>
    <rcc rId="0" sId="2" dxf="1">
      <nc r="B306">
        <f>HYPERLINK("https://hsdes.intel.com/resource/14013158728","14013158728")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07">
        <f>HYPERLINK("https://hsdes.intel.com/resource/14013158731","14013158731")</f>
      </nc>
    </rcc>
    <rcc rId="0" sId="2">
      <nc r="B308">
        <f>HYPERLINK("https://hsdes.intel.com/resource/14013158739","14013158739")</f>
      </nc>
    </rcc>
    <rcc rId="0" sId="2">
      <nc r="B309">
        <f>HYPERLINK("https://hsdes.intel.com/resource/14013158753","14013158753")</f>
      </nc>
    </rcc>
    <rcc rId="0" sId="2">
      <nc r="B310">
        <f>HYPERLINK("https://hsdes.intel.com/resource/14013158782","14013158782")</f>
      </nc>
    </rcc>
    <rcc rId="0" sId="2">
      <nc r="B311">
        <f>HYPERLINK("https://hsdes.intel.com/resource/14013158784","14013158784")</f>
      </nc>
    </rcc>
    <rcc rId="0" sId="2">
      <nc r="B312">
        <f>HYPERLINK("https://hsdes.intel.com/resource/14013158786","14013158786")</f>
      </nc>
    </rcc>
    <rcc rId="0" sId="2">
      <nc r="B313">
        <f>HYPERLINK("https://hsdes.intel.com/resource/14013158788","14013158788")</f>
      </nc>
    </rcc>
    <rcc rId="0" sId="2">
      <nc r="B314">
        <f>HYPERLINK("https://hsdes.intel.com/resource/14013158792","14013158792")</f>
      </nc>
    </rcc>
    <rcc rId="0" sId="2">
      <nc r="B315">
        <f>HYPERLINK("https://hsdes.intel.com/resource/14013158797","14013158797")</f>
      </nc>
    </rcc>
    <rcc rId="0" sId="2">
      <nc r="B316">
        <f>HYPERLINK("https://hsdes.intel.com/resource/14013158804","14013158804")</f>
      </nc>
    </rcc>
    <rcc rId="0" sId="2">
      <nc r="B317">
        <f>HYPERLINK("https://hsdes.intel.com/resource/14013158806","14013158806")</f>
      </nc>
    </rcc>
    <rcc rId="0" sId="2">
      <nc r="B318">
        <f>HYPERLINK("https://hsdes.intel.com/resource/14013158809","14013158809")</f>
      </nc>
    </rcc>
    <rcc rId="0" sId="2">
      <nc r="B319">
        <f>HYPERLINK("https://hsdes.intel.com/resource/14013158811","14013158811")</f>
      </nc>
    </rcc>
    <rcc rId="0" sId="2">
      <nc r="B320">
        <f>HYPERLINK("https://hsdes.intel.com/resource/14013158815","14013158815")</f>
      </nc>
    </rcc>
    <rcc rId="0" sId="2">
      <nc r="B321">
        <f>HYPERLINK("https://hsdes.intel.com/resource/14013158817","14013158817")</f>
      </nc>
    </rcc>
    <rcc rId="0" sId="2">
      <nc r="B322">
        <f>HYPERLINK("https://hsdes.intel.com/resource/14013158819","14013158819")</f>
      </nc>
    </rcc>
    <rcc rId="0" sId="2">
      <nc r="B323">
        <f>HYPERLINK("https://hsdes.intel.com/resource/14013158821","14013158821")</f>
      </nc>
    </rcc>
    <rcc rId="0" sId="2">
      <nc r="B324">
        <f>HYPERLINK("https://hsdes.intel.com/resource/14013158823","14013158823")</f>
      </nc>
    </rcc>
    <rcc rId="0" sId="2">
      <nc r="B325">
        <f>HYPERLINK("https://hsdes.intel.com/resource/14013158825","14013158825")</f>
      </nc>
    </rcc>
    <rcc rId="0" sId="2">
      <nc r="B326">
        <f>HYPERLINK("https://hsdes.intel.com/resource/14013158834","14013158834")</f>
      </nc>
    </rcc>
    <rcc rId="0" sId="2">
      <nc r="B327">
        <f>HYPERLINK("https://hsdes.intel.com/resource/14013158836","14013158836")</f>
      </nc>
    </rcc>
    <rcc rId="0" sId="2">
      <nc r="B328">
        <f>HYPERLINK("https://hsdes.intel.com/resource/14013158841","14013158841")</f>
      </nc>
    </rcc>
    <rcc rId="0" sId="2">
      <nc r="B329">
        <f>HYPERLINK("https://hsdes.intel.com/resource/14013158843","14013158843")</f>
      </nc>
    </rcc>
    <rcc rId="0" sId="2">
      <nc r="B330">
        <f>HYPERLINK("https://hsdes.intel.com/resource/14013158846","14013158846")</f>
      </nc>
    </rcc>
    <rcc rId="0" sId="2">
      <nc r="B331">
        <f>HYPERLINK("https://hsdes.intel.com/resource/14013158869","14013158869")</f>
      </nc>
    </rcc>
    <rcc rId="0" sId="2">
      <nc r="B332">
        <f>HYPERLINK("https://hsdes.intel.com/resource/14013158871","14013158871")</f>
      </nc>
    </rcc>
    <rcc rId="0" sId="2">
      <nc r="B333">
        <f>HYPERLINK("https://hsdes.intel.com/resource/14013158880","14013158880")</f>
      </nc>
    </rcc>
    <rcc rId="0" sId="2">
      <nc r="B334">
        <f>HYPERLINK("https://hsdes.intel.com/resource/14013158882","14013158882")</f>
      </nc>
    </rcc>
    <rcc rId="0" sId="2">
      <nc r="B335">
        <f>HYPERLINK("https://hsdes.intel.com/resource/14013158903","14013158903")</f>
      </nc>
    </rcc>
    <rcc rId="0" sId="2">
      <nc r="B336">
        <f>HYPERLINK("https://hsdes.intel.com/resource/14013158905","14013158905")</f>
      </nc>
    </rcc>
    <rcc rId="0" sId="2">
      <nc r="B337">
        <f>HYPERLINK("https://hsdes.intel.com/resource/14013158906","14013158906")</f>
      </nc>
    </rcc>
    <rcc rId="0" sId="2">
      <nc r="B338">
        <f>HYPERLINK("https://hsdes.intel.com/resource/14013158908","14013158908")</f>
      </nc>
    </rcc>
    <rcc rId="0" sId="2">
      <nc r="B339">
        <f>HYPERLINK("https://hsdes.intel.com/resource/14013158912","14013158912")</f>
      </nc>
    </rcc>
    <rcc rId="0" sId="2">
      <nc r="B340">
        <f>HYPERLINK("https://hsdes.intel.com/resource/14013158922","14013158922")</f>
      </nc>
    </rcc>
    <rcc rId="0" sId="2">
      <nc r="B341">
        <f>HYPERLINK("https://hsdes.intel.com/resource/14013158926","14013158926")</f>
      </nc>
    </rcc>
    <rcc rId="0" sId="2">
      <nc r="B342">
        <f>HYPERLINK("https://hsdes.intel.com/resource/14013158937","14013158937")</f>
      </nc>
    </rcc>
    <rcc rId="0" sId="2">
      <nc r="B343">
        <f>HYPERLINK("https://hsdes.intel.com/resource/14013158953","14013158953")</f>
      </nc>
    </rcc>
    <rcc rId="0" sId="2">
      <nc r="B344">
        <f>HYPERLINK("https://hsdes.intel.com/resource/14013158965","14013158965")</f>
      </nc>
    </rcc>
    <rcc rId="0" sId="2">
      <nc r="B345">
        <f>HYPERLINK("https://hsdes.intel.com/resource/14013158967","14013158967")</f>
      </nc>
    </rcc>
    <rcc rId="0" sId="2">
      <nc r="B346">
        <f>HYPERLINK("https://hsdes.intel.com/resource/14013158971","14013158971")</f>
      </nc>
    </rcc>
    <rcc rId="0" sId="2">
      <nc r="B347">
        <f>HYPERLINK("https://hsdes.intel.com/resource/14013158985","14013158985")</f>
      </nc>
    </rcc>
    <rcc rId="0" sId="2">
      <nc r="B348">
        <f>HYPERLINK("https://hsdes.intel.com/resource/14013158987","14013158987")</f>
      </nc>
    </rcc>
    <rcc rId="0" sId="2">
      <nc r="B349">
        <f>HYPERLINK("https://hsdes.intel.com/resource/14013158991","14013158991")</f>
      </nc>
    </rcc>
    <rcc rId="0" sId="2">
      <nc r="B350">
        <f>HYPERLINK("https://hsdes.intel.com/resource/14013158993","14013158993")</f>
      </nc>
    </rcc>
    <rcc rId="0" sId="2">
      <nc r="B351">
        <f>HYPERLINK("https://hsdes.intel.com/resource/14013158996","14013158996")</f>
      </nc>
    </rcc>
    <rcc rId="0" sId="2">
      <nc r="B352">
        <f>HYPERLINK("https://hsdes.intel.com/resource/14013158998","14013158998")</f>
      </nc>
    </rcc>
    <rcc rId="0" sId="2">
      <nc r="B353">
        <f>HYPERLINK("https://hsdes.intel.com/resource/14013159000","14013159000")</f>
      </nc>
    </rcc>
    <rcc rId="0" sId="2">
      <nc r="B354">
        <f>HYPERLINK("https://hsdes.intel.com/resource/14013159002","14013159002")</f>
      </nc>
    </rcc>
    <rcc rId="0" sId="2">
      <nc r="B355">
        <f>HYPERLINK("https://hsdes.intel.com/resource/14013159006","14013159006")</f>
      </nc>
    </rcc>
    <rcc rId="0" sId="2">
      <nc r="B356">
        <f>HYPERLINK("https://hsdes.intel.com/resource/14013159008","14013159008")</f>
      </nc>
    </rcc>
    <rcc rId="0" sId="2">
      <nc r="B357">
        <f>HYPERLINK("https://hsdes.intel.com/resource/14013159019","14013159019")</f>
      </nc>
    </rcc>
    <rcc rId="0" sId="2">
      <nc r="B358">
        <f>HYPERLINK("https://hsdes.intel.com/resource/14013159027","14013159027")</f>
      </nc>
    </rcc>
    <rcc rId="0" sId="2">
      <nc r="B359">
        <f>HYPERLINK("https://hsdes.intel.com/resource/14013159034","14013159034")</f>
      </nc>
    </rcc>
    <rcc rId="0" sId="2">
      <nc r="B360">
        <f>HYPERLINK("https://hsdes.intel.com/resource/14013159048","14013159048")</f>
      </nc>
    </rcc>
    <rcc rId="0" sId="2">
      <nc r="B361">
        <f>HYPERLINK("https://hsdes.intel.com/resource/14013159050","14013159050")</f>
      </nc>
    </rcc>
    <rcc rId="0" sId="2">
      <nc r="B362">
        <f>HYPERLINK("https://hsdes.intel.com/resource/14013159082","14013159082")</f>
      </nc>
    </rcc>
    <rcc rId="0" sId="2">
      <nc r="B363">
        <f>HYPERLINK("https://hsdes.intel.com/resource/14013159088","14013159088")</f>
      </nc>
    </rcc>
    <rcc rId="0" sId="2">
      <nc r="B364">
        <f>HYPERLINK("https://hsdes.intel.com/resource/14013159100","14013159100")</f>
      </nc>
    </rcc>
    <rcc rId="0" sId="2">
      <nc r="B365">
        <f>HYPERLINK("https://hsdes.intel.com/resource/14013159102","14013159102")</f>
      </nc>
    </rcc>
    <rcc rId="0" sId="2">
      <nc r="B366">
        <f>HYPERLINK("https://hsdes.intel.com/resource/14013159106","14013159106")</f>
      </nc>
    </rcc>
    <rcc rId="0" sId="2">
      <nc r="B367">
        <f>HYPERLINK("https://hsdes.intel.com/resource/14013159108","14013159108")</f>
      </nc>
    </rcc>
    <rcc rId="0" sId="2">
      <nc r="B368">
        <f>HYPERLINK("https://hsdes.intel.com/resource/14013159116","14013159116")</f>
      </nc>
    </rcc>
    <rcc rId="0" sId="2">
      <nc r="B369">
        <f>HYPERLINK("https://hsdes.intel.com/resource/14013159121","14013159121")</f>
      </nc>
    </rcc>
    <rcc rId="0" sId="2">
      <nc r="B370">
        <f>HYPERLINK("https://hsdes.intel.com/resource/14013159132","14013159132")</f>
      </nc>
    </rcc>
    <rcc rId="0" sId="2">
      <nc r="B371">
        <f>HYPERLINK("https://hsdes.intel.com/resource/14013159136","14013159136")</f>
      </nc>
    </rcc>
    <rcc rId="0" sId="2">
      <nc r="B372">
        <f>HYPERLINK("https://hsdes.intel.com/resource/14013159138","14013159138")</f>
      </nc>
    </rcc>
    <rcc rId="0" sId="2">
      <nc r="B373">
        <f>HYPERLINK("https://hsdes.intel.com/resource/14013159141","14013159141")</f>
      </nc>
    </rcc>
    <rcc rId="0" sId="2">
      <nc r="B374">
        <f>HYPERLINK("https://hsdes.intel.com/resource/14013159143","14013159143")</f>
      </nc>
    </rcc>
    <rcc rId="0" sId="2">
      <nc r="B375">
        <f>HYPERLINK("https://hsdes.intel.com/resource/14013159148","14013159148")</f>
      </nc>
    </rcc>
    <rcc rId="0" sId="2">
      <nc r="B376">
        <f>HYPERLINK("https://hsdes.intel.com/resource/14013159151","14013159151")</f>
      </nc>
    </rcc>
    <rcc rId="0" sId="2">
      <nc r="B377">
        <f>HYPERLINK("https://hsdes.intel.com/resource/14013159158","14013159158")</f>
      </nc>
    </rcc>
    <rcc rId="0" sId="2">
      <nc r="B378">
        <f>HYPERLINK("https://hsdes.intel.com/resource/14013159161","14013159161")</f>
      </nc>
    </rcc>
    <rcc rId="0" sId="2">
      <nc r="B379">
        <f>HYPERLINK("https://hsdes.intel.com/resource/14013159169","14013159169")</f>
      </nc>
    </rcc>
    <rcc rId="0" sId="2">
      <nc r="B380">
        <f>HYPERLINK("https://hsdes.intel.com/resource/14013159172","14013159172")</f>
      </nc>
    </rcc>
    <rcc rId="0" sId="2">
      <nc r="B381">
        <f>HYPERLINK("https://hsdes.intel.com/resource/14013159175","14013159175")</f>
      </nc>
    </rcc>
    <rcc rId="0" sId="2">
      <nc r="B382">
        <f>HYPERLINK("https://hsdes.intel.com/resource/14013159178","14013159178")</f>
      </nc>
    </rcc>
    <rcc rId="0" sId="2">
      <nc r="B383">
        <f>HYPERLINK("https://hsdes.intel.com/resource/14013159191","14013159191")</f>
      </nc>
    </rcc>
    <rcc rId="0" sId="2">
      <nc r="B384">
        <f>HYPERLINK("https://hsdes.intel.com/resource/14013159199","14013159199")</f>
      </nc>
    </rcc>
    <rcc rId="0" sId="2">
      <nc r="B385">
        <f>HYPERLINK("https://hsdes.intel.com/resource/14013159201","14013159201")</f>
      </nc>
    </rcc>
    <rcc rId="0" sId="2">
      <nc r="B386">
        <f>HYPERLINK("https://hsdes.intel.com/resource/14013159204","14013159204")</f>
      </nc>
    </rcc>
    <rcc rId="0" sId="2">
      <nc r="B387">
        <f>HYPERLINK("https://hsdes.intel.com/resource/14013159215","14013159215")</f>
      </nc>
    </rcc>
    <rcc rId="0" sId="2">
      <nc r="B388">
        <f>HYPERLINK("https://hsdes.intel.com/resource/14013159219","14013159219")</f>
      </nc>
    </rcc>
    <rcc rId="0" sId="2">
      <nc r="B389">
        <f>HYPERLINK("https://hsdes.intel.com/resource/14013159222","14013159222")</f>
      </nc>
    </rcc>
    <rcc rId="0" sId="2">
      <nc r="B390">
        <f>HYPERLINK("https://hsdes.intel.com/resource/14013159224","14013159224")</f>
      </nc>
    </rcc>
    <rcc rId="0" sId="2">
      <nc r="B391">
        <f>HYPERLINK("https://hsdes.intel.com/resource/14013159227","14013159227")</f>
      </nc>
    </rcc>
    <rcc rId="0" sId="2">
      <nc r="B392">
        <f>HYPERLINK("https://hsdes.intel.com/resource/14013159254","14013159254")</f>
      </nc>
    </rcc>
    <rcc rId="0" sId="2">
      <nc r="B393">
        <f>HYPERLINK("https://hsdes.intel.com/resource/14013159259","14013159259")</f>
      </nc>
    </rcc>
    <rcc rId="0" sId="2">
      <nc r="B394">
        <f>HYPERLINK("https://hsdes.intel.com/resource/14013159261","14013159261")</f>
      </nc>
    </rcc>
    <rcc rId="0" sId="2">
      <nc r="B395">
        <f>HYPERLINK("https://hsdes.intel.com/resource/14013159264","14013159264")</f>
      </nc>
    </rcc>
    <rcc rId="0" sId="2">
      <nc r="B396">
        <f>HYPERLINK("https://hsdes.intel.com/resource/14013159266","14013159266")</f>
      </nc>
    </rcc>
    <rcc rId="0" sId="2">
      <nc r="B397">
        <f>HYPERLINK("https://hsdes.intel.com/resource/14013159271","14013159271")</f>
      </nc>
    </rcc>
    <rcc rId="0" sId="2">
      <nc r="B398">
        <f>HYPERLINK("https://hsdes.intel.com/resource/14013159278","14013159278")</f>
      </nc>
    </rcc>
    <rcc rId="0" sId="2">
      <nc r="B399">
        <f>HYPERLINK("https://hsdes.intel.com/resource/14013159280","14013159280")</f>
      </nc>
    </rcc>
    <rcc rId="0" sId="2">
      <nc r="B400">
        <f>HYPERLINK("https://hsdes.intel.com/resource/14013159282","14013159282")</f>
      </nc>
    </rcc>
    <rcc rId="0" sId="2">
      <nc r="B401">
        <f>HYPERLINK("https://hsdes.intel.com/resource/14013159285","14013159285")</f>
      </nc>
    </rcc>
    <rcc rId="0" sId="2">
      <nc r="B402">
        <f>HYPERLINK("https://hsdes.intel.com/resource/14013159294","14013159294")</f>
      </nc>
    </rcc>
    <rcc rId="0" sId="2">
      <nc r="B403">
        <f>HYPERLINK("https://hsdes.intel.com/resource/14013159296","14013159296")</f>
      </nc>
    </rcc>
    <rcc rId="0" sId="2">
      <nc r="B404">
        <f>HYPERLINK("https://hsdes.intel.com/resource/14013159299","14013159299")</f>
      </nc>
    </rcc>
    <rcc rId="0" sId="2">
      <nc r="B405">
        <f>HYPERLINK("https://hsdes.intel.com/resource/14013159302","14013159302")</f>
      </nc>
    </rcc>
    <rcc rId="0" sId="2">
      <nc r="B406">
        <f>HYPERLINK("https://hsdes.intel.com/resource/14013159304","14013159304")</f>
      </nc>
    </rcc>
    <rcc rId="0" sId="2">
      <nc r="B407">
        <f>HYPERLINK("https://hsdes.intel.com/resource/14013159310","14013159310")</f>
      </nc>
    </rcc>
    <rcc rId="0" sId="2">
      <nc r="B408">
        <f>HYPERLINK("https://hsdes.intel.com/resource/14013159319","14013159319")</f>
      </nc>
    </rcc>
    <rcc rId="0" sId="2">
      <nc r="B409">
        <f>HYPERLINK("https://hsdes.intel.com/resource/14013159323","14013159323")</f>
      </nc>
    </rcc>
    <rcc rId="0" sId="2">
      <nc r="B410">
        <f>HYPERLINK("https://hsdes.intel.com/resource/14013159340","14013159340")</f>
      </nc>
    </rcc>
    <rcc rId="0" sId="2">
      <nc r="B411">
        <f>HYPERLINK("https://hsdes.intel.com/resource/14013159344","14013159344")</f>
      </nc>
    </rcc>
    <rcc rId="0" sId="2">
      <nc r="B412">
        <f>HYPERLINK("https://hsdes.intel.com/resource/14013159349","14013159349")</f>
      </nc>
    </rcc>
    <rcc rId="0" sId="2">
      <nc r="B413">
        <f>HYPERLINK("https://hsdes.intel.com/resource/14013159351","14013159351")</f>
      </nc>
    </rcc>
    <rcc rId="0" sId="2">
      <nc r="B414">
        <f>HYPERLINK("https://hsdes.intel.com/resource/14013159413","14013159413")</f>
      </nc>
    </rcc>
    <rcc rId="0" sId="2">
      <nc r="B415">
        <f>HYPERLINK("https://hsdes.intel.com/resource/14013159419","14013159419")</f>
      </nc>
    </rcc>
    <rcc rId="0" sId="2">
      <nc r="B416">
        <f>HYPERLINK("https://hsdes.intel.com/resource/14013159421","14013159421")</f>
      </nc>
    </rcc>
    <rcc rId="0" sId="2">
      <nc r="B417">
        <f>HYPERLINK("https://hsdes.intel.com/resource/14013159423","14013159423")</f>
      </nc>
    </rcc>
    <rcc rId="0" sId="2">
      <nc r="B418">
        <f>HYPERLINK("https://hsdes.intel.com/resource/14013159431","14013159431")</f>
      </nc>
    </rcc>
    <rcc rId="0" sId="2">
      <nc r="B419">
        <f>HYPERLINK("https://hsdes.intel.com/resource/14013159441","14013159441")</f>
      </nc>
    </rcc>
    <rcc rId="0" sId="2">
      <nc r="B420">
        <f>HYPERLINK("https://hsdes.intel.com/resource/14013159443","14013159443")</f>
      </nc>
    </rcc>
    <rcc rId="0" sId="2">
      <nc r="B421">
        <f>HYPERLINK("https://hsdes.intel.com/resource/14013159450","14013159450")</f>
      </nc>
    </rcc>
    <rcc rId="0" sId="2">
      <nc r="B422">
        <f>HYPERLINK("https://hsdes.intel.com/resource/14013159453","14013159453")</f>
      </nc>
    </rcc>
    <rcc rId="0" sId="2">
      <nc r="B423">
        <f>HYPERLINK("https://hsdes.intel.com/resource/14013159460","14013159460")</f>
      </nc>
    </rcc>
    <rcc rId="0" sId="2">
      <nc r="B424">
        <f>HYPERLINK("https://hsdes.intel.com/resource/14013159478","14013159478")</f>
      </nc>
    </rcc>
    <rcc rId="0" sId="2">
      <nc r="B425">
        <f>HYPERLINK("https://hsdes.intel.com/resource/14013159482","14013159482")</f>
      </nc>
    </rcc>
    <rcc rId="0" sId="2">
      <nc r="B426">
        <f>HYPERLINK("https://hsdes.intel.com/resource/14013159493","14013159493")</f>
      </nc>
    </rcc>
    <rcc rId="0" sId="2">
      <nc r="B427">
        <f>HYPERLINK("https://hsdes.intel.com/resource/14013159498","14013159498")</f>
      </nc>
    </rcc>
    <rcc rId="0" sId="2">
      <nc r="B428">
        <f>HYPERLINK("https://hsdes.intel.com/resource/14013159500","14013159500")</f>
      </nc>
    </rcc>
    <rcc rId="0" sId="2">
      <nc r="B429">
        <f>HYPERLINK("https://hsdes.intel.com/resource/14013159503","14013159503")</f>
      </nc>
    </rcc>
    <rcc rId="0" sId="2">
      <nc r="B430">
        <f>HYPERLINK("https://hsdes.intel.com/resource/14013159505","14013159505")</f>
      </nc>
    </rcc>
    <rcc rId="0" sId="2">
      <nc r="B431">
        <f>HYPERLINK("https://hsdes.intel.com/resource/14013159507","14013159507")</f>
      </nc>
    </rcc>
    <rcc rId="0" sId="2">
      <nc r="B432">
        <f>HYPERLINK("https://hsdes.intel.com/resource/14013159519","14013159519")</f>
      </nc>
    </rcc>
    <rcc rId="0" sId="2">
      <nc r="B433">
        <f>HYPERLINK("https://hsdes.intel.com/resource/14013159554","14013159554")</f>
      </nc>
    </rcc>
    <rcc rId="0" sId="2">
      <nc r="B434">
        <f>HYPERLINK("https://hsdes.intel.com/resource/14013159581","14013159581")</f>
      </nc>
    </rcc>
    <rcc rId="0" sId="2">
      <nc r="B435">
        <f>HYPERLINK("https://hsdes.intel.com/resource/14013159584","14013159584")</f>
      </nc>
    </rcc>
    <rcc rId="0" sId="2">
      <nc r="B436">
        <f>HYPERLINK("https://hsdes.intel.com/resource/14013159587","14013159587")</f>
      </nc>
    </rcc>
    <rcc rId="0" sId="2">
      <nc r="B437">
        <f>HYPERLINK("https://hsdes.intel.com/resource/14013159601","14013159601")</f>
      </nc>
    </rcc>
    <rcc rId="0" sId="2">
      <nc r="B438">
        <f>HYPERLINK("https://hsdes.intel.com/resource/14013159637","14013159637")</f>
      </nc>
    </rcc>
    <rcc rId="0" sId="2">
      <nc r="B439">
        <f>HYPERLINK("https://hsdes.intel.com/resource/14013159644","14013159644")</f>
      </nc>
    </rcc>
    <rcc rId="0" sId="2">
      <nc r="B440">
        <f>HYPERLINK("https://hsdes.intel.com/resource/14013159645","14013159645")</f>
      </nc>
    </rcc>
    <rcc rId="0" sId="2">
      <nc r="B441">
        <f>HYPERLINK("https://hsdes.intel.com/resource/14013159647","14013159647")</f>
      </nc>
    </rcc>
    <rcc rId="0" sId="2">
      <nc r="B442">
        <f>HYPERLINK("https://hsdes.intel.com/resource/14013159649","14013159649")</f>
      </nc>
    </rcc>
    <rcc rId="0" sId="2">
      <nc r="B443">
        <f>HYPERLINK("https://hsdes.intel.com/resource/14013159652","14013159652")</f>
      </nc>
    </rcc>
    <rcc rId="0" sId="2">
      <nc r="B444">
        <f>HYPERLINK("https://hsdes.intel.com/resource/14013159654","14013159654")</f>
      </nc>
    </rcc>
    <rcc rId="0" sId="2">
      <nc r="B445">
        <f>HYPERLINK("https://hsdes.intel.com/resource/14013159662","14013159662")</f>
      </nc>
    </rcc>
    <rcc rId="0" sId="2">
      <nc r="B446">
        <f>HYPERLINK("https://hsdes.intel.com/resource/14013159664","14013159664")</f>
      </nc>
    </rcc>
    <rcc rId="0" sId="2">
      <nc r="B447">
        <f>HYPERLINK("https://hsdes.intel.com/resource/14013159682","14013159682")</f>
      </nc>
    </rcc>
    <rcc rId="0" sId="2">
      <nc r="B448">
        <f>HYPERLINK("https://hsdes.intel.com/resource/14013159696","14013159696")</f>
      </nc>
    </rcc>
    <rcc rId="0" sId="2">
      <nc r="B449">
        <f>HYPERLINK("https://hsdes.intel.com/resource/14013159700","14013159700")</f>
      </nc>
    </rcc>
    <rcc rId="0" sId="2">
      <nc r="B450">
        <f>HYPERLINK("https://hsdes.intel.com/resource/14013159702","14013159702")</f>
      </nc>
    </rcc>
    <rcc rId="0" sId="2">
      <nc r="B451">
        <f>HYPERLINK("https://hsdes.intel.com/resource/14013159709","14013159709")</f>
      </nc>
    </rcc>
    <rcc rId="0" sId="2">
      <nc r="B452">
        <f>HYPERLINK("https://hsdes.intel.com/resource/14013159714","14013159714")</f>
      </nc>
    </rcc>
    <rcc rId="0" sId="2">
      <nc r="B453">
        <f>HYPERLINK("https://hsdes.intel.com/resource/14013159726","14013159726")</f>
      </nc>
    </rcc>
    <rcc rId="0" sId="2">
      <nc r="B454">
        <f>HYPERLINK("https://hsdes.intel.com/resource/14013159812","14013159812")</f>
      </nc>
    </rcc>
    <rcc rId="0" sId="2">
      <nc r="B455">
        <f>HYPERLINK("https://hsdes.intel.com/resource/14013159844","14013159844")</f>
      </nc>
    </rcc>
    <rcc rId="0" sId="2">
      <nc r="B456">
        <f>HYPERLINK("https://hsdes.intel.com/resource/14013159852","14013159852")</f>
      </nc>
    </rcc>
    <rcc rId="0" sId="2">
      <nc r="B457">
        <f>HYPERLINK("https://hsdes.intel.com/resource/14013159858","14013159858")</f>
      </nc>
    </rcc>
    <rcc rId="0" sId="2">
      <nc r="B458">
        <f>HYPERLINK("https://hsdes.intel.com/resource/14013159862","14013159862")</f>
      </nc>
    </rcc>
    <rcc rId="0" sId="2">
      <nc r="B459">
        <f>HYPERLINK("https://hsdes.intel.com/resource/14013159864","14013159864")</f>
      </nc>
    </rcc>
    <rcc rId="0" sId="2">
      <nc r="B460">
        <f>HYPERLINK("https://hsdes.intel.com/resource/14013159868","14013159868")</f>
      </nc>
    </rcc>
    <rcc rId="0" sId="2">
      <nc r="B461">
        <f>HYPERLINK("https://hsdes.intel.com/resource/14013159870","14013159870")</f>
      </nc>
    </rcc>
    <rcc rId="0" sId="2">
      <nc r="B462">
        <f>HYPERLINK("https://hsdes.intel.com/resource/14013159872","14013159872")</f>
      </nc>
    </rcc>
    <rcc rId="0" sId="2">
      <nc r="B463">
        <f>HYPERLINK("https://hsdes.intel.com/resource/14013159874","14013159874")</f>
      </nc>
    </rcc>
    <rcc rId="0" sId="2">
      <nc r="B464">
        <f>HYPERLINK("https://hsdes.intel.com/resource/14013159876","14013159876")</f>
      </nc>
    </rcc>
    <rcc rId="0" sId="2">
      <nc r="B465">
        <f>HYPERLINK("https://hsdes.intel.com/resource/14013159881","14013159881")</f>
      </nc>
    </rcc>
    <rcc rId="0" sId="2">
      <nc r="B466">
        <f>HYPERLINK("https://hsdes.intel.com/resource/14013159884","14013159884")</f>
      </nc>
    </rcc>
    <rcc rId="0" sId="2">
      <nc r="B467">
        <f>HYPERLINK("https://hsdes.intel.com/resource/14013159887","14013159887")</f>
      </nc>
    </rcc>
    <rcc rId="0" sId="2">
      <nc r="B468">
        <f>HYPERLINK("https://hsdes.intel.com/resource/14013159889","14013159889")</f>
      </nc>
    </rcc>
    <rcc rId="0" sId="2">
      <nc r="B469">
        <f>HYPERLINK("https://hsdes.intel.com/resource/14013159897","14013159897")</f>
      </nc>
    </rcc>
    <rcc rId="0" sId="2">
      <nc r="B470">
        <f>HYPERLINK("https://hsdes.intel.com/resource/14013159899","14013159899")</f>
      </nc>
    </rcc>
    <rcc rId="0" sId="2">
      <nc r="B471">
        <f>HYPERLINK("https://hsdes.intel.com/resource/14013159904","14013159904")</f>
      </nc>
    </rcc>
    <rcc rId="0" sId="2">
      <nc r="B472">
        <f>HYPERLINK("https://hsdes.intel.com/resource/14013159907","14013159907")</f>
      </nc>
    </rcc>
    <rcc rId="0" sId="2">
      <nc r="B473">
        <f>HYPERLINK("https://hsdes.intel.com/resource/14013159909","14013159909")</f>
      </nc>
    </rcc>
    <rcc rId="0" sId="2">
      <nc r="B474">
        <f>HYPERLINK("https://hsdes.intel.com/resource/14013159912","14013159912")</f>
      </nc>
    </rcc>
    <rcc rId="0" sId="2">
      <nc r="B475">
        <f>HYPERLINK("https://hsdes.intel.com/resource/14013159914","14013159914")</f>
      </nc>
    </rcc>
    <rcc rId="0" sId="2">
      <nc r="B476">
        <f>HYPERLINK("https://hsdes.intel.com/resource/14013159917","14013159917")</f>
      </nc>
    </rcc>
    <rcc rId="0" sId="2">
      <nc r="B477">
        <f>HYPERLINK("https://hsdes.intel.com/resource/14013159920","14013159920")</f>
      </nc>
    </rcc>
    <rcc rId="0" sId="2">
      <nc r="B478">
        <f>HYPERLINK("https://hsdes.intel.com/resource/14013159923","14013159923")</f>
      </nc>
    </rcc>
    <rcc rId="0" sId="2">
      <nc r="B479">
        <f>HYPERLINK("https://hsdes.intel.com/resource/14013159925","14013159925")</f>
      </nc>
    </rcc>
    <rcc rId="0" sId="2">
      <nc r="B480">
        <f>HYPERLINK("https://hsdes.intel.com/resource/14013159928","14013159928")</f>
      </nc>
    </rcc>
    <rcc rId="0" sId="2">
      <nc r="B481">
        <f>HYPERLINK("https://hsdes.intel.com/resource/14013159934","14013159934")</f>
      </nc>
    </rcc>
    <rcc rId="0" sId="2">
      <nc r="B482">
        <f>HYPERLINK("https://hsdes.intel.com/resource/14013159936","14013159936")</f>
      </nc>
    </rcc>
    <rcc rId="0" sId="2">
      <nc r="B483">
        <f>HYPERLINK("https://hsdes.intel.com/resource/14013159940","14013159940")</f>
      </nc>
    </rcc>
    <rcc rId="0" sId="2">
      <nc r="B484">
        <f>HYPERLINK("https://hsdes.intel.com/resource/14013159952","14013159952")</f>
      </nc>
    </rcc>
    <rcc rId="0" sId="2">
      <nc r="B485">
        <f>HYPERLINK("https://hsdes.intel.com/resource/14013159954","14013159954")</f>
      </nc>
    </rcc>
    <rcc rId="0" sId="2">
      <nc r="B486">
        <f>HYPERLINK("https://hsdes.intel.com/resource/14013159961","14013159961")</f>
      </nc>
    </rcc>
    <rcc rId="0" sId="2">
      <nc r="B487">
        <f>HYPERLINK("https://hsdes.intel.com/resource/14013159965","14013159965")</f>
      </nc>
    </rcc>
    <rcc rId="0" sId="2">
      <nc r="B488">
        <f>HYPERLINK("https://hsdes.intel.com/resource/14013159967","14013159967")</f>
      </nc>
    </rcc>
    <rcc rId="0" sId="2">
      <nc r="B489">
        <f>HYPERLINK("https://hsdes.intel.com/resource/14013159969","14013159969")</f>
      </nc>
    </rcc>
    <rcc rId="0" sId="2">
      <nc r="B490">
        <f>HYPERLINK("https://hsdes.intel.com/resource/14013159971","14013159971")</f>
      </nc>
    </rcc>
    <rcc rId="0" sId="2">
      <nc r="B491">
        <f>HYPERLINK("https://hsdes.intel.com/resource/14013159973","14013159973")</f>
      </nc>
    </rcc>
    <rcc rId="0" sId="2">
      <nc r="B492">
        <f>HYPERLINK("https://hsdes.intel.com/resource/14013159979","14013159979")</f>
      </nc>
    </rcc>
    <rcc rId="0" sId="2">
      <nc r="B493">
        <f>HYPERLINK("https://hsdes.intel.com/resource/14013159982","14013159982")</f>
      </nc>
    </rcc>
    <rcc rId="0" sId="2">
      <nc r="B494">
        <f>HYPERLINK("https://hsdes.intel.com/resource/14013159985","14013159985")</f>
      </nc>
    </rcc>
    <rcc rId="0" sId="2">
      <nc r="B495">
        <f>HYPERLINK("https://hsdes.intel.com/resource/14013159987","14013159987")</f>
      </nc>
    </rcc>
    <rcc rId="0" sId="2">
      <nc r="B496">
        <f>HYPERLINK("https://hsdes.intel.com/resource/14013160002","14013160002")</f>
      </nc>
    </rcc>
    <rcc rId="0" sId="2">
      <nc r="B497">
        <f>HYPERLINK("https://hsdes.intel.com/resource/14013160006","14013160006")</f>
      </nc>
    </rcc>
    <rcc rId="0" sId="2">
      <nc r="B498">
        <f>HYPERLINK("https://hsdes.intel.com/resource/14013160009","14013160009")</f>
      </nc>
    </rcc>
    <rcc rId="0" sId="2">
      <nc r="B499">
        <f>HYPERLINK("https://hsdes.intel.com/resource/14013160011","14013160011")</f>
      </nc>
    </rcc>
    <rcc rId="0" sId="2">
      <nc r="B500">
        <f>HYPERLINK("https://hsdes.intel.com/resource/14013160014","14013160014")</f>
      </nc>
    </rcc>
    <rcc rId="0" sId="2">
      <nc r="B501">
        <f>HYPERLINK("https://hsdes.intel.com/resource/14013160018","14013160018")</f>
      </nc>
    </rcc>
    <rcc rId="0" sId="2">
      <nc r="B502">
        <f>HYPERLINK("https://hsdes.intel.com/resource/14013160020","14013160020")</f>
      </nc>
    </rcc>
    <rcc rId="0" sId="2">
      <nc r="B503">
        <f>HYPERLINK("https://hsdes.intel.com/resource/14013160022","14013160022")</f>
      </nc>
    </rcc>
    <rcc rId="0" sId="2">
      <nc r="B504">
        <f>HYPERLINK("https://hsdes.intel.com/resource/14013160024","14013160024")</f>
      </nc>
    </rcc>
    <rcc rId="0" sId="2" dxf="1">
      <nc r="B505">
        <f>HYPERLINK("https://hsdes.intel.com/resource/14013160033","14013160033")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06">
        <f>HYPERLINK("https://hsdes.intel.com/resource/14013160036","14013160036")</f>
      </nc>
    </rcc>
    <rcc rId="0" sId="2">
      <nc r="B507">
        <f>HYPERLINK("https://hsdes.intel.com/resource/14013160038","14013160038")</f>
      </nc>
    </rcc>
    <rcc rId="0" sId="2">
      <nc r="B508">
        <f>HYPERLINK("https://hsdes.intel.com/resource/14013160044","14013160044")</f>
      </nc>
    </rcc>
    <rcc rId="0" sId="2" dxf="1">
      <nc r="B509">
        <f>HYPERLINK("https://hsdes.intel.com/resource/14013160046","14013160046")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10">
        <f>HYPERLINK("https://hsdes.intel.com/resource/14013160052","14013160052")</f>
      </nc>
    </rcc>
    <rcc rId="0" sId="2">
      <nc r="B511">
        <f>HYPERLINK("https://hsdes.intel.com/resource/14013160054","14013160054")</f>
      </nc>
    </rcc>
    <rcc rId="0" sId="2">
      <nc r="B512">
        <f>HYPERLINK("https://hsdes.intel.com/resource/14013160057","14013160057")</f>
      </nc>
    </rcc>
    <rcc rId="0" sId="2">
      <nc r="B513">
        <f>HYPERLINK("https://hsdes.intel.com/resource/14013160059","14013160059")</f>
      </nc>
    </rcc>
    <rcc rId="0" sId="2">
      <nc r="B514">
        <f>HYPERLINK("https://hsdes.intel.com/resource/14013160061","14013160061")</f>
      </nc>
    </rcc>
    <rcc rId="0" sId="2">
      <nc r="B515">
        <f>HYPERLINK("https://hsdes.intel.com/resource/14013160063","14013160063")</f>
      </nc>
    </rcc>
    <rcc rId="0" sId="2">
      <nc r="B516">
        <f>HYPERLINK("https://hsdes.intel.com/resource/14013160066","14013160066")</f>
      </nc>
    </rcc>
    <rcc rId="0" sId="2">
      <nc r="B517">
        <f>HYPERLINK("https://hsdes.intel.com/resource/14013160069","14013160069")</f>
      </nc>
    </rcc>
    <rcc rId="0" sId="2">
      <nc r="B518">
        <f>HYPERLINK("https://hsdes.intel.com/resource/14013160071","14013160071")</f>
      </nc>
    </rcc>
    <rcc rId="0" sId="2">
      <nc r="B519">
        <f>HYPERLINK("https://hsdes.intel.com/resource/14013160073","14013160073")</f>
      </nc>
    </rcc>
    <rcc rId="0" sId="2">
      <nc r="B520">
        <f>HYPERLINK("https://hsdes.intel.com/resource/14013160077","14013160077")</f>
      </nc>
    </rcc>
    <rcc rId="0" sId="2">
      <nc r="B521">
        <f>HYPERLINK("https://hsdes.intel.com/resource/14013160080","14013160080")</f>
      </nc>
    </rcc>
    <rcc rId="0" sId="2">
      <nc r="B522">
        <f>HYPERLINK("https://hsdes.intel.com/resource/14013160082","14013160082")</f>
      </nc>
    </rcc>
    <rcc rId="0" sId="2">
      <nc r="B523">
        <f>HYPERLINK("https://hsdes.intel.com/resource/14013160118","14013160118")</f>
      </nc>
    </rcc>
    <rcc rId="0" sId="2">
      <nc r="B524">
        <f>HYPERLINK("https://hsdes.intel.com/resource/14013160125","14013160125")</f>
      </nc>
    </rcc>
    <rcc rId="0" sId="2">
      <nc r="B525">
        <f>HYPERLINK("https://hsdes.intel.com/resource/14013160127","14013160127")</f>
      </nc>
    </rcc>
    <rcc rId="0" sId="2">
      <nc r="B526">
        <f>HYPERLINK("https://hsdes.intel.com/resource/14013160130","14013160130")</f>
      </nc>
    </rcc>
    <rcc rId="0" sId="2">
      <nc r="B527">
        <f>HYPERLINK("https://hsdes.intel.com/resource/14013160431","14013160431")</f>
      </nc>
    </rcc>
    <rcc rId="0" sId="2">
      <nc r="B528">
        <f>HYPERLINK("https://hsdes.intel.com/resource/14013160435","14013160435")</f>
      </nc>
    </rcc>
    <rcc rId="0" sId="2">
      <nc r="B529">
        <f>HYPERLINK("https://hsdes.intel.com/resource/14013160456","14013160456")</f>
      </nc>
    </rcc>
    <rcc rId="0" sId="2">
      <nc r="B530">
        <f>HYPERLINK("https://hsdes.intel.com/resource/14013160507","14013160507")</f>
      </nc>
    </rcc>
    <rcc rId="0" sId="2">
      <nc r="B531">
        <f>HYPERLINK("https://hsdes.intel.com/resource/14013160511","14013160511")</f>
      </nc>
    </rcc>
    <rcc rId="0" sId="2">
      <nc r="B532">
        <f>HYPERLINK("https://hsdes.intel.com/resource/14013160517","14013160517")</f>
      </nc>
    </rcc>
    <rcc rId="0" sId="2">
      <nc r="B533">
        <f>HYPERLINK("https://hsdes.intel.com/resource/14013160580","14013160580")</f>
      </nc>
    </rcc>
    <rcc rId="0" sId="2">
      <nc r="B534">
        <f>HYPERLINK("https://hsdes.intel.com/resource/14013160596","14013160596")</f>
      </nc>
    </rcc>
    <rcc rId="0" sId="2">
      <nc r="B535">
        <f>HYPERLINK("https://hsdes.intel.com/resource/14013160602","14013160602")</f>
      </nc>
    </rcc>
    <rcc rId="0" sId="2">
      <nc r="B536">
        <f>HYPERLINK("https://hsdes.intel.com/resource/14013160612","14013160612")</f>
      </nc>
    </rcc>
    <rcc rId="0" sId="2">
      <nc r="B537">
        <f>HYPERLINK("https://hsdes.intel.com/resource/14013160618","14013160618")</f>
      </nc>
    </rcc>
    <rcc rId="0" sId="2">
      <nc r="B538">
        <f>HYPERLINK("https://hsdes.intel.com/resource/14013160634","14013160634")</f>
      </nc>
    </rcc>
    <rcc rId="0" sId="2">
      <nc r="B539">
        <f>HYPERLINK("https://hsdes.intel.com/resource/14013160644","14013160644")</f>
      </nc>
    </rcc>
    <rcc rId="0" sId="2">
      <nc r="B540">
        <f>HYPERLINK("https://hsdes.intel.com/resource/14013160649","14013160649")</f>
      </nc>
    </rcc>
    <rcc rId="0" sId="2">
      <nc r="B541">
        <f>HYPERLINK("https://hsdes.intel.com/resource/14013160650","14013160650")</f>
      </nc>
    </rcc>
    <rcc rId="0" sId="2">
      <nc r="B542">
        <f>HYPERLINK("https://hsdes.intel.com/resource/14013160651","14013160651")</f>
      </nc>
    </rcc>
    <rcc rId="0" sId="2">
      <nc r="B543">
        <f>HYPERLINK("https://hsdes.intel.com/resource/14013160652","14013160652")</f>
      </nc>
    </rcc>
    <rcc rId="0" sId="2">
      <nc r="B544">
        <f>HYPERLINK("https://hsdes.intel.com/resource/14013160653","14013160653")</f>
      </nc>
    </rcc>
    <rcc rId="0" sId="2">
      <nc r="B545">
        <f>HYPERLINK("https://hsdes.intel.com/resource/14013160654","14013160654")</f>
      </nc>
    </rcc>
    <rcc rId="0" sId="2">
      <nc r="B546">
        <f>HYPERLINK("https://hsdes.intel.com/resource/14013160655","14013160655")</f>
      </nc>
    </rcc>
    <rcc rId="0" sId="2">
      <nc r="B547">
        <f>HYPERLINK("https://hsdes.intel.com/resource/14013160659","14013160659")</f>
      </nc>
    </rcc>
    <rcc rId="0" sId="2">
      <nc r="B548">
        <f>HYPERLINK("https://hsdes.intel.com/resource/14013160660","14013160660")</f>
      </nc>
    </rcc>
    <rcc rId="0" sId="2">
      <nc r="B549">
        <f>HYPERLINK("https://hsdes.intel.com/resource/14013160677","14013160677")</f>
      </nc>
    </rcc>
    <rcc rId="0" sId="2">
      <nc r="B550">
        <f>HYPERLINK("https://hsdes.intel.com/resource/14013160679","14013160679")</f>
      </nc>
    </rcc>
    <rcc rId="0" sId="2">
      <nc r="B551">
        <f>HYPERLINK("https://hsdes.intel.com/resource/14013160682","14013160682")</f>
      </nc>
    </rcc>
    <rcc rId="0" sId="2">
      <nc r="B552">
        <f>HYPERLINK("https://hsdes.intel.com/resource/14013160683","14013160683")</f>
      </nc>
    </rcc>
    <rcc rId="0" sId="2">
      <nc r="B553">
        <f>HYPERLINK("https://hsdes.intel.com/resource/14013160687","14013160687")</f>
      </nc>
    </rcc>
    <rcc rId="0" sId="2">
      <nc r="B554">
        <f>HYPERLINK("https://hsdes.intel.com/resource/14013160688","14013160688")</f>
      </nc>
    </rcc>
    <rcc rId="0" sId="2">
      <nc r="B555">
        <f>HYPERLINK("https://hsdes.intel.com/resource/14013160691","14013160691")</f>
      </nc>
    </rcc>
    <rcc rId="0" sId="2">
      <nc r="B556">
        <f>HYPERLINK("https://hsdes.intel.com/resource/14013160703","14013160703")</f>
      </nc>
    </rcc>
    <rcc rId="0" sId="2">
      <nc r="B557">
        <f>HYPERLINK("https://hsdes.intel.com/resource/14013160714","14013160714")</f>
      </nc>
    </rcc>
    <rcc rId="0" sId="2">
      <nc r="B558">
        <f>HYPERLINK("https://hsdes.intel.com/resource/14013160716","14013160716")</f>
      </nc>
    </rcc>
    <rcc rId="0" sId="2">
      <nc r="B559">
        <f>HYPERLINK("https://hsdes.intel.com/resource/14013160718","14013160718")</f>
      </nc>
    </rcc>
    <rcc rId="0" sId="2">
      <nc r="B560">
        <f>HYPERLINK("https://hsdes.intel.com/resource/14013160721","14013160721")</f>
      </nc>
    </rcc>
    <rcc rId="0" sId="2">
      <nc r="B561">
        <f>HYPERLINK("https://hsdes.intel.com/resource/14013160722","14013160722")</f>
      </nc>
    </rcc>
    <rcc rId="0" sId="2">
      <nc r="B562">
        <f>HYPERLINK("https://hsdes.intel.com/resource/14013160723","14013160723")</f>
      </nc>
    </rcc>
    <rcc rId="0" sId="2">
      <nc r="B563">
        <f>HYPERLINK("https://hsdes.intel.com/resource/14013160725","14013160725")</f>
      </nc>
    </rcc>
    <rcc rId="0" sId="2">
      <nc r="B564">
        <f>HYPERLINK("https://hsdes.intel.com/resource/14013160726","14013160726")</f>
      </nc>
    </rcc>
    <rcc rId="0" sId="2">
      <nc r="B565">
        <f>HYPERLINK("https://hsdes.intel.com/resource/14013160728","14013160728")</f>
      </nc>
    </rcc>
    <rcc rId="0" sId="2">
      <nc r="B566">
        <f>HYPERLINK("https://hsdes.intel.com/resource/14013160747","14013160747")</f>
      </nc>
    </rcc>
    <rcc rId="0" sId="2">
      <nc r="B567">
        <f>HYPERLINK("https://hsdes.intel.com/resource/14013160750","14013160750")</f>
      </nc>
    </rcc>
    <rcc rId="0" sId="2">
      <nc r="B568">
        <f>HYPERLINK("https://hsdes.intel.com/resource/14013160762","14013160762")</f>
      </nc>
    </rcc>
    <rcc rId="0" sId="2">
      <nc r="B569">
        <f>HYPERLINK("https://hsdes.intel.com/resource/14013160804","14013160804")</f>
      </nc>
    </rcc>
    <rcc rId="0" sId="2">
      <nc r="B570">
        <f>HYPERLINK("https://hsdes.intel.com/resource/14013160825","14013160825")</f>
      </nc>
    </rcc>
    <rcc rId="0" sId="2">
      <nc r="B571">
        <f>HYPERLINK("https://hsdes.intel.com/resource/14013160828","14013160828")</f>
      </nc>
    </rcc>
    <rcc rId="0" sId="2">
      <nc r="B572">
        <f>HYPERLINK("https://hsdes.intel.com/resource/14013160845","14013160845")</f>
      </nc>
    </rcc>
    <rcc rId="0" sId="2">
      <nc r="B573">
        <f>HYPERLINK("https://hsdes.intel.com/resource/14013160847","14013160847")</f>
      </nc>
    </rcc>
    <rcc rId="0" sId="2">
      <nc r="B574">
        <f>HYPERLINK("https://hsdes.intel.com/resource/14013160873","14013160873")</f>
      </nc>
    </rcc>
    <rcc rId="0" sId="2">
      <nc r="B575">
        <f>HYPERLINK("https://hsdes.intel.com/resource/14013160917","14013160917")</f>
      </nc>
    </rcc>
    <rcc rId="0" sId="2">
      <nc r="B576">
        <f>HYPERLINK("https://hsdes.intel.com/resource/14013160956","14013160956")</f>
      </nc>
    </rcc>
    <rcc rId="0" sId="2">
      <nc r="B577">
        <f>HYPERLINK("https://hsdes.intel.com/resource/14013160965","14013160965")</f>
      </nc>
    </rcc>
    <rcc rId="0" sId="2">
      <nc r="B578">
        <f>HYPERLINK("https://hsdes.intel.com/resource/14013160973","14013160973")</f>
      </nc>
    </rcc>
    <rcc rId="0" sId="2">
      <nc r="B579">
        <f>HYPERLINK("https://hsdes.intel.com/resource/14013160979","14013160979")</f>
      </nc>
    </rcc>
    <rcc rId="0" sId="2">
      <nc r="B580">
        <f>HYPERLINK("https://hsdes.intel.com/resource/14013161002","14013161002")</f>
      </nc>
    </rcc>
    <rcc rId="0" sId="2">
      <nc r="B581">
        <f>HYPERLINK("https://hsdes.intel.com/resource/14013161009","14013161009")</f>
      </nc>
    </rcc>
    <rcc rId="0" sId="2">
      <nc r="B582">
        <f>HYPERLINK("https://hsdes.intel.com/resource/14013161019","14013161019")</f>
      </nc>
    </rcc>
    <rcc rId="0" sId="2">
      <nc r="B583">
        <f>HYPERLINK("https://hsdes.intel.com/resource/14013161024","14013161024")</f>
      </nc>
    </rcc>
    <rcc rId="0" sId="2">
      <nc r="B584">
        <f>HYPERLINK("https://hsdes.intel.com/resource/14013161080","14013161080")</f>
      </nc>
    </rcc>
    <rcc rId="0" sId="2">
      <nc r="B585">
        <f>HYPERLINK("https://hsdes.intel.com/resource/14013161121","14013161121")</f>
      </nc>
    </rcc>
    <rcc rId="0" sId="2">
      <nc r="B586">
        <f>HYPERLINK("https://hsdes.intel.com/resource/14013161173","14013161173")</f>
      </nc>
    </rcc>
    <rcc rId="0" sId="2">
      <nc r="B587">
        <f>HYPERLINK("https://hsdes.intel.com/resource/14013161190","14013161190")</f>
      </nc>
    </rcc>
    <rcc rId="0" sId="2">
      <nc r="B588">
        <f>HYPERLINK("https://hsdes.intel.com/resource/14013161207","14013161207")</f>
      </nc>
    </rcc>
    <rcc rId="0" sId="2">
      <nc r="B589">
        <f>HYPERLINK("https://hsdes.intel.com/resource/14013161281","14013161281")</f>
      </nc>
    </rcc>
    <rcc rId="0" sId="2">
      <nc r="B590">
        <f>HYPERLINK("https://hsdes.intel.com/resource/14013161283","14013161283")</f>
      </nc>
    </rcc>
    <rcc rId="0" sId="2">
      <nc r="B591">
        <f>HYPERLINK("https://hsdes.intel.com/resource/14013161291","14013161291")</f>
      </nc>
    </rcc>
    <rcc rId="0" sId="2">
      <nc r="B592">
        <f>HYPERLINK("https://hsdes.intel.com/resource/14013161293","14013161293")</f>
      </nc>
    </rcc>
    <rcc rId="0" sId="2">
      <nc r="B593">
        <f>HYPERLINK("https://hsdes.intel.com/resource/14013161298","14013161298")</f>
      </nc>
    </rcc>
    <rcc rId="0" sId="2">
      <nc r="B594">
        <f>HYPERLINK("https://hsdes.intel.com/resource/14013161320","14013161320")</f>
      </nc>
    </rcc>
    <rcc rId="0" sId="2">
      <nc r="B595">
        <f>HYPERLINK("https://hsdes.intel.com/resource/14013161363","14013161363")</f>
      </nc>
    </rcc>
    <rcc rId="0" sId="2">
      <nc r="B596">
        <f>HYPERLINK("https://hsdes.intel.com/resource/14013161368","14013161368")</f>
      </nc>
    </rcc>
    <rcc rId="0" sId="2">
      <nc r="B597">
        <f>HYPERLINK("https://hsdes.intel.com/resource/14013161425","14013161425")</f>
      </nc>
    </rcc>
    <rcc rId="0" sId="2">
      <nc r="B598">
        <f>HYPERLINK("https://hsdes.intel.com/resource/14013161426","14013161426")</f>
      </nc>
    </rcc>
    <rcc rId="0" sId="2">
      <nc r="B599">
        <f>HYPERLINK("https://hsdes.intel.com/resource/14013161430","14013161430")</f>
      </nc>
    </rcc>
    <rcc rId="0" sId="2">
      <nc r="B600">
        <f>HYPERLINK("https://hsdes.intel.com/resource/14013161435","14013161435")</f>
      </nc>
    </rcc>
    <rcc rId="0" sId="2">
      <nc r="B601">
        <f>HYPERLINK("https://hsdes.intel.com/resource/14013161439","14013161439")</f>
      </nc>
    </rcc>
    <rcc rId="0" sId="2">
      <nc r="B602">
        <f>HYPERLINK("https://hsdes.intel.com/resource/14013161442","14013161442")</f>
      </nc>
    </rcc>
    <rcc rId="0" sId="2">
      <nc r="B603">
        <f>HYPERLINK("https://hsdes.intel.com/resource/14013161443","14013161443")</f>
      </nc>
    </rcc>
    <rcc rId="0" sId="2">
      <nc r="B604">
        <f>HYPERLINK("https://hsdes.intel.com/resource/14013161444","14013161444")</f>
      </nc>
    </rcc>
    <rcc rId="0" sId="2">
      <nc r="B605">
        <f>HYPERLINK("https://hsdes.intel.com/resource/14013161491","14013161491")</f>
      </nc>
    </rcc>
    <rcc rId="0" sId="2">
      <nc r="B606">
        <f>HYPERLINK("https://hsdes.intel.com/resource/14013161527","14013161527")</f>
      </nc>
    </rcc>
    <rcc rId="0" sId="2">
      <nc r="B607">
        <f>HYPERLINK("https://hsdes.intel.com/resource/14013161560","14013161560")</f>
      </nc>
    </rcc>
    <rcc rId="0" sId="2">
      <nc r="B608">
        <f>HYPERLINK("https://hsdes.intel.com/resource/14013161588","14013161588")</f>
      </nc>
    </rcc>
    <rcc rId="0" sId="2">
      <nc r="B609">
        <f>HYPERLINK("https://hsdes.intel.com/resource/14013161591","14013161591")</f>
      </nc>
    </rcc>
    <rcc rId="0" sId="2">
      <nc r="B610">
        <f>HYPERLINK("https://hsdes.intel.com/resource/14013161593","14013161593")</f>
      </nc>
    </rcc>
    <rcc rId="0" sId="2">
      <nc r="B611">
        <f>HYPERLINK("https://hsdes.intel.com/resource/14013161594","14013161594")</f>
      </nc>
    </rcc>
    <rcc rId="0" sId="2">
      <nc r="B612">
        <f>HYPERLINK("https://hsdes.intel.com/resource/14013161603","14013161603")</f>
      </nc>
    </rcc>
    <rcc rId="0" sId="2">
      <nc r="B613">
        <f>HYPERLINK("https://hsdes.intel.com/resource/14013161605","14013161605")</f>
      </nc>
    </rcc>
    <rcc rId="0" sId="2">
      <nc r="B614">
        <f>HYPERLINK("https://hsdes.intel.com/resource/14013161624","14013161624")</f>
      </nc>
    </rcc>
    <rcc rId="0" sId="2">
      <nc r="B615">
        <f>HYPERLINK("https://hsdes.intel.com/resource/14013161628","14013161628")</f>
      </nc>
    </rcc>
    <rcc rId="0" sId="2">
      <nc r="B616">
        <f>HYPERLINK("https://hsdes.intel.com/resource/14013161635","14013161635")</f>
      </nc>
    </rcc>
    <rcc rId="0" sId="2">
      <nc r="B617">
        <f>HYPERLINK("https://hsdes.intel.com/resource/14013161649","14013161649")</f>
      </nc>
    </rcc>
    <rcc rId="0" sId="2">
      <nc r="B618">
        <f>HYPERLINK("https://hsdes.intel.com/resource/14013161657","14013161657")</f>
      </nc>
    </rcc>
    <rcc rId="0" sId="2">
      <nc r="B619">
        <f>HYPERLINK("https://hsdes.intel.com/resource/14013161663","14013161663")</f>
      </nc>
    </rcc>
    <rcc rId="0" sId="2">
      <nc r="B620">
        <f>HYPERLINK("https://hsdes.intel.com/resource/14013161698","14013161698")</f>
      </nc>
    </rcc>
    <rcc rId="0" sId="2">
      <nc r="B621">
        <f>HYPERLINK("https://hsdes.intel.com/resource/14013161700","14013161700")</f>
      </nc>
    </rcc>
    <rcc rId="0" sId="2">
      <nc r="B622">
        <f>HYPERLINK("https://hsdes.intel.com/resource/14013161706","14013161706")</f>
      </nc>
    </rcc>
    <rcc rId="0" sId="2">
      <nc r="B623">
        <f>HYPERLINK("https://hsdes.intel.com/resource/14013161721","14013161721")</f>
      </nc>
    </rcc>
    <rcc rId="0" sId="2">
      <nc r="B624">
        <f>HYPERLINK("https://hsdes.intel.com/resource/14013161732","14013161732")</f>
      </nc>
    </rcc>
    <rcc rId="0" sId="2">
      <nc r="B625">
        <f>HYPERLINK("https://hsdes.intel.com/resource/14013161866","14013161866")</f>
      </nc>
    </rcc>
    <rcc rId="0" sId="2">
      <nc r="B626">
        <f>HYPERLINK("https://hsdes.intel.com/resource/14013161901","14013161901")</f>
      </nc>
    </rcc>
    <rcc rId="0" sId="2">
      <nc r="B627">
        <f>HYPERLINK("https://hsdes.intel.com/resource/14013161905","14013161905")</f>
      </nc>
    </rcc>
    <rcc rId="0" sId="2">
      <nc r="B628">
        <f>HYPERLINK("https://hsdes.intel.com/resource/14013161928","14013161928")</f>
      </nc>
    </rcc>
    <rcc rId="0" sId="2">
      <nc r="B629">
        <f>HYPERLINK("https://hsdes.intel.com/resource/14013161937","14013161937")</f>
      </nc>
    </rcc>
    <rcc rId="0" sId="2">
      <nc r="B630">
        <f>HYPERLINK("https://hsdes.intel.com/resource/14013161981","14013161981")</f>
      </nc>
    </rcc>
    <rcc rId="0" sId="2">
      <nc r="B631">
        <f>HYPERLINK("https://hsdes.intel.com/resource/14013161997","14013161997")</f>
      </nc>
    </rcc>
    <rcc rId="0" sId="2">
      <nc r="B632">
        <f>HYPERLINK("https://hsdes.intel.com/resource/14013162008","14013162008")</f>
      </nc>
    </rcc>
    <rcc rId="0" sId="2">
      <nc r="B633">
        <f>HYPERLINK("https://hsdes.intel.com/resource/14013162045","14013162045")</f>
      </nc>
    </rcc>
    <rcc rId="0" sId="2">
      <nc r="B634">
        <f>HYPERLINK("https://hsdes.intel.com/resource/14013162048","14013162048")</f>
      </nc>
    </rcc>
    <rcc rId="0" sId="2">
      <nc r="B635">
        <f>HYPERLINK("https://hsdes.intel.com/resource/14013162068","14013162068")</f>
      </nc>
    </rcc>
    <rcc rId="0" sId="2">
      <nc r="B636">
        <f>HYPERLINK("https://hsdes.intel.com/resource/14013162071","14013162071")</f>
      </nc>
    </rcc>
    <rcc rId="0" sId="2">
      <nc r="B637">
        <f>HYPERLINK("https://hsdes.intel.com/resource/14013162075","14013162075")</f>
      </nc>
    </rcc>
    <rcc rId="0" sId="2">
      <nc r="B638">
        <f>HYPERLINK("https://hsdes.intel.com/resource/14013162078","14013162078")</f>
      </nc>
    </rcc>
    <rcc rId="0" sId="2">
      <nc r="B639">
        <f>HYPERLINK("https://hsdes.intel.com/resource/14013162084","14013162084")</f>
      </nc>
    </rcc>
    <rcc rId="0" sId="2">
      <nc r="B640">
        <f>HYPERLINK("https://hsdes.intel.com/resource/14013162087","14013162087")</f>
      </nc>
    </rcc>
    <rcc rId="0" sId="2">
      <nc r="B641">
        <f>HYPERLINK("https://hsdes.intel.com/resource/14013162369","14013162369")</f>
      </nc>
    </rcc>
    <rcc rId="0" sId="2">
      <nc r="B642">
        <f>HYPERLINK("https://hsdes.intel.com/resource/14013162374","14013162374")</f>
      </nc>
    </rcc>
    <rcc rId="0" sId="2">
      <nc r="B643">
        <f>HYPERLINK("https://hsdes.intel.com/resource/14013162379","14013162379")</f>
      </nc>
    </rcc>
    <rcc rId="0" sId="2">
      <nc r="B644">
        <f>HYPERLINK("https://hsdes.intel.com/resource/14013162425","14013162425")</f>
      </nc>
    </rcc>
    <rcc rId="0" sId="2">
      <nc r="B645">
        <f>HYPERLINK("https://hsdes.intel.com/resource/14013162427","14013162427")</f>
      </nc>
    </rcc>
    <rcc rId="0" sId="2">
      <nc r="B646">
        <f>HYPERLINK("https://hsdes.intel.com/resource/14013162436","14013162436")</f>
      </nc>
    </rcc>
    <rcc rId="0" sId="2">
      <nc r="B647">
        <f>HYPERLINK("https://hsdes.intel.com/resource/14013162443","14013162443")</f>
      </nc>
    </rcc>
    <rcc rId="0" sId="2">
      <nc r="B648">
        <f>HYPERLINK("https://hsdes.intel.com/resource/14013162522","14013162522")</f>
      </nc>
    </rcc>
    <rcc rId="0" sId="2">
      <nc r="B649">
        <f>HYPERLINK("https://hsdes.intel.com/resource/14013162568","14013162568")</f>
      </nc>
    </rcc>
    <rcc rId="0" sId="2">
      <nc r="B650">
        <f>HYPERLINK("https://hsdes.intel.com/resource/14013162580","14013162580")</f>
      </nc>
    </rcc>
    <rcc rId="0" sId="2">
      <nc r="B651">
        <f>HYPERLINK("https://hsdes.intel.com/resource/14013162583","14013162583")</f>
      </nc>
    </rcc>
    <rcc rId="0" sId="2">
      <nc r="B652">
        <f>HYPERLINK("https://hsdes.intel.com/resource/14013162766","14013162766")</f>
      </nc>
    </rcc>
    <rcc rId="0" sId="2">
      <nc r="B653">
        <f>HYPERLINK("https://hsdes.intel.com/resource/14013162768","14013162768")</f>
      </nc>
    </rcc>
    <rcc rId="0" sId="2">
      <nc r="B654">
        <f>HYPERLINK("https://hsdes.intel.com/resource/14013162773","14013162773")</f>
      </nc>
    </rcc>
    <rcc rId="0" sId="2">
      <nc r="B655">
        <f>HYPERLINK("https://hsdes.intel.com/resource/14013162777","14013162777")</f>
      </nc>
    </rcc>
    <rcc rId="0" sId="2">
      <nc r="B656">
        <f>HYPERLINK("https://hsdes.intel.com/resource/14013162780","14013162780")</f>
      </nc>
    </rcc>
    <rcc rId="0" sId="2">
      <nc r="B657">
        <f>HYPERLINK("https://hsdes.intel.com/resource/14013162786","14013162786")</f>
      </nc>
    </rcc>
    <rcc rId="0" sId="2">
      <nc r="B658">
        <f>HYPERLINK("https://hsdes.intel.com/resource/14013162791","14013162791")</f>
      </nc>
    </rcc>
    <rcc rId="0" sId="2">
      <nc r="B659">
        <f>HYPERLINK("https://hsdes.intel.com/resource/14013162806","14013162806")</f>
      </nc>
    </rcc>
    <rcc rId="0" sId="2">
      <nc r="B660">
        <f>HYPERLINK("https://hsdes.intel.com/resource/14013162831","14013162831")</f>
      </nc>
    </rcc>
    <rcc rId="0" sId="2">
      <nc r="B661">
        <f>HYPERLINK("https://hsdes.intel.com/resource/14013162835","14013162835")</f>
      </nc>
    </rcc>
    <rcc rId="0" sId="2">
      <nc r="B662">
        <f>HYPERLINK("https://hsdes.intel.com/resource/14013162840","14013162840")</f>
      </nc>
    </rcc>
    <rcc rId="0" sId="2">
      <nc r="B663">
        <f>HYPERLINK("https://hsdes.intel.com/resource/14013162849","14013162849")</f>
      </nc>
    </rcc>
    <rcc rId="0" sId="2">
      <nc r="B664">
        <f>HYPERLINK("https://hsdes.intel.com/resource/14013162864","14013162864")</f>
      </nc>
    </rcc>
    <rcc rId="0" sId="2">
      <nc r="B665">
        <f>HYPERLINK("https://hsdes.intel.com/resource/14013162897","14013162897")</f>
      </nc>
    </rcc>
    <rcc rId="0" sId="2">
      <nc r="B666">
        <f>HYPERLINK("https://hsdes.intel.com/resource/14013162900","14013162900")</f>
      </nc>
    </rcc>
    <rcc rId="0" sId="2">
      <nc r="B667">
        <f>HYPERLINK("https://hsdes.intel.com/resource/14013162903","14013162903")</f>
      </nc>
    </rcc>
    <rcc rId="0" sId="2">
      <nc r="B668">
        <f>HYPERLINK("https://hsdes.intel.com/resource/14013162907","14013162907")</f>
      </nc>
    </rcc>
    <rcc rId="0" sId="2">
      <nc r="B669">
        <f>HYPERLINK("https://hsdes.intel.com/resource/14013162911","14013162911")</f>
      </nc>
    </rcc>
    <rcc rId="0" sId="2">
      <nc r="B670">
        <f>HYPERLINK("https://hsdes.intel.com/resource/14013162916","14013162916")</f>
      </nc>
    </rcc>
    <rcc rId="0" sId="2">
      <nc r="B671">
        <f>HYPERLINK("https://hsdes.intel.com/resource/14013162920","14013162920")</f>
      </nc>
    </rcc>
    <rcc rId="0" sId="2">
      <nc r="B672">
        <f>HYPERLINK("https://hsdes.intel.com/resource/14013162925","14013162925")</f>
      </nc>
    </rcc>
    <rcc rId="0" sId="2">
      <nc r="B673">
        <f>HYPERLINK("https://hsdes.intel.com/resource/14013162937","14013162937")</f>
      </nc>
    </rcc>
    <rcc rId="0" sId="2">
      <nc r="B674">
        <f>HYPERLINK("https://hsdes.intel.com/resource/14013162948","14013162948")</f>
      </nc>
    </rcc>
    <rcc rId="0" sId="2">
      <nc r="B675">
        <f>HYPERLINK("https://hsdes.intel.com/resource/14013162960","14013162960")</f>
      </nc>
    </rcc>
    <rcc rId="0" sId="2">
      <nc r="B676">
        <f>HYPERLINK("https://hsdes.intel.com/resource/14013162967","14013162967")</f>
      </nc>
    </rcc>
    <rcc rId="0" sId="2">
      <nc r="B677">
        <f>HYPERLINK("https://hsdes.intel.com/resource/14013162974","14013162974")</f>
      </nc>
    </rcc>
    <rcc rId="0" sId="2">
      <nc r="B678">
        <f>HYPERLINK("https://hsdes.intel.com/resource/14013162987","14013162987")</f>
      </nc>
    </rcc>
    <rcc rId="0" sId="2">
      <nc r="B679">
        <f>HYPERLINK("https://hsdes.intel.com/resource/14013163001","14013163001")</f>
      </nc>
    </rcc>
    <rcc rId="0" sId="2">
      <nc r="B680">
        <f>HYPERLINK("https://hsdes.intel.com/resource/14013163003","14013163003")</f>
      </nc>
    </rcc>
    <rcc rId="0" sId="2">
      <nc r="B681">
        <f>HYPERLINK("https://hsdes.intel.com/resource/14013163089","14013163089")</f>
      </nc>
    </rcc>
    <rcc rId="0" sId="2">
      <nc r="B682">
        <f>HYPERLINK("https://hsdes.intel.com/resource/14013163114","14013163114")</f>
      </nc>
    </rcc>
    <rcc rId="0" sId="2">
      <nc r="B683">
        <f>HYPERLINK("https://hsdes.intel.com/resource/14013163118","14013163118")</f>
      </nc>
    </rcc>
    <rcc rId="0" sId="2">
      <nc r="B684">
        <f>HYPERLINK("https://hsdes.intel.com/resource/14013163171","14013163171")</f>
      </nc>
    </rcc>
    <rcc rId="0" sId="2">
      <nc r="B685">
        <f>HYPERLINK("https://hsdes.intel.com/resource/14013163195","14013163195")</f>
      </nc>
    </rcc>
    <rcc rId="0" sId="2">
      <nc r="B686">
        <f>HYPERLINK("https://hsdes.intel.com/resource/14013163205","14013163205")</f>
      </nc>
    </rcc>
    <rcc rId="0" sId="2">
      <nc r="B687">
        <f>HYPERLINK("https://hsdes.intel.com/resource/14013163208","14013163208")</f>
      </nc>
    </rcc>
    <rcc rId="0" sId="2">
      <nc r="B688">
        <f>HYPERLINK("https://hsdes.intel.com/resource/14013163220","14013163220")</f>
      </nc>
    </rcc>
    <rcc rId="0" sId="2">
      <nc r="B689">
        <f>HYPERLINK("https://hsdes.intel.com/resource/14013163239","14013163239")</f>
      </nc>
    </rcc>
    <rcc rId="0" sId="2">
      <nc r="B690">
        <f>HYPERLINK("https://hsdes.intel.com/resource/14013163245","14013163245")</f>
      </nc>
    </rcc>
    <rcc rId="0" sId="2">
      <nc r="B691">
        <f>HYPERLINK("https://hsdes.intel.com/resource/14013163258","14013163258")</f>
      </nc>
    </rcc>
    <rcc rId="0" sId="2">
      <nc r="B692">
        <f>HYPERLINK("https://hsdes.intel.com/resource/14013163267","14013163267")</f>
      </nc>
    </rcc>
    <rcc rId="0" sId="2">
      <nc r="B693">
        <f>HYPERLINK("https://hsdes.intel.com/resource/14013163275","14013163275")</f>
      </nc>
    </rcc>
    <rcc rId="0" sId="2">
      <nc r="B694">
        <f>HYPERLINK("https://hsdes.intel.com/resource/14013163296","14013163296")</f>
      </nc>
    </rcc>
    <rcc rId="0" sId="2">
      <nc r="B695">
        <f>HYPERLINK("https://hsdes.intel.com/resource/14013163306","14013163306")</f>
      </nc>
    </rcc>
    <rcc rId="0" sId="2">
      <nc r="B696">
        <f>HYPERLINK("https://hsdes.intel.com/resource/14013163319","14013163319")</f>
      </nc>
    </rcc>
    <rcc rId="0" sId="2">
      <nc r="B697">
        <f>HYPERLINK("https://hsdes.intel.com/resource/14013163363","14013163363")</f>
      </nc>
    </rcc>
    <rcc rId="0" sId="2">
      <nc r="B698">
        <f>HYPERLINK("https://hsdes.intel.com/resource/14013163375","14013163375")</f>
      </nc>
    </rcc>
    <rcc rId="0" sId="2">
      <nc r="B699">
        <f>HYPERLINK("https://hsdes.intel.com/resource/14013163408","14013163408")</f>
      </nc>
    </rcc>
    <rcc rId="0" sId="2">
      <nc r="B700">
        <f>HYPERLINK("https://hsdes.intel.com/resource/14013163421","14013163421")</f>
      </nc>
    </rcc>
    <rcc rId="0" sId="2">
      <nc r="B701">
        <f>HYPERLINK("https://hsdes.intel.com/resource/14013163456","14013163456")</f>
      </nc>
    </rcc>
    <rcc rId="0" sId="2">
      <nc r="B702">
        <f>HYPERLINK("https://hsdes.intel.com/resource/14013163459","14013163459")</f>
      </nc>
    </rcc>
    <rcc rId="0" sId="2">
      <nc r="B703">
        <f>HYPERLINK("https://hsdes.intel.com/resource/14013163478","14013163478")</f>
      </nc>
    </rcc>
    <rcc rId="0" sId="2">
      <nc r="B704">
        <f>HYPERLINK("https://hsdes.intel.com/resource/14013163540","14013163540")</f>
      </nc>
    </rcc>
    <rcc rId="0" sId="2">
      <nc r="B705">
        <f>HYPERLINK("https://hsdes.intel.com/resource/14013163653","14013163653")</f>
      </nc>
    </rcc>
    <rcc rId="0" sId="2">
      <nc r="B706">
        <f>HYPERLINK("https://hsdes.intel.com/resource/14013163665","14013163665")</f>
      </nc>
    </rcc>
    <rcc rId="0" sId="2">
      <nc r="B707">
        <f>HYPERLINK("https://hsdes.intel.com/resource/14013163784","14013163784")</f>
      </nc>
    </rcc>
    <rcc rId="0" sId="2">
      <nc r="B708">
        <f>HYPERLINK("https://hsdes.intel.com/resource/14013163811","14013163811")</f>
      </nc>
    </rcc>
    <rcc rId="0" sId="2">
      <nc r="B709">
        <f>HYPERLINK("https://hsdes.intel.com/resource/14013163914","14013163914")</f>
      </nc>
    </rcc>
    <rcc rId="0" sId="2">
      <nc r="B710">
        <f>HYPERLINK("https://hsdes.intel.com/resource/14013163924","14013163924")</f>
      </nc>
    </rcc>
    <rcc rId="0" sId="2">
      <nc r="B711">
        <f>HYPERLINK("https://hsdes.intel.com/resource/14013163939","14013163939")</f>
      </nc>
    </rcc>
    <rcc rId="0" sId="2">
      <nc r="B712">
        <f>HYPERLINK("https://hsdes.intel.com/resource/14013163952","14013163952")</f>
      </nc>
    </rcc>
    <rcc rId="0" sId="2">
      <nc r="B713">
        <f>HYPERLINK("https://hsdes.intel.com/resource/14013163970","14013163970")</f>
      </nc>
    </rcc>
    <rcc rId="0" sId="2">
      <nc r="B714">
        <f>HYPERLINK("https://hsdes.intel.com/resource/14013164076","14013164076")</f>
      </nc>
    </rcc>
    <rcc rId="0" sId="2">
      <nc r="B715">
        <f>HYPERLINK("https://hsdes.intel.com/resource/14013164099","14013164099")</f>
      </nc>
    </rcc>
    <rcc rId="0" sId="2">
      <nc r="B716">
        <f>HYPERLINK("https://hsdes.intel.com/resource/14013164150","14013164150")</f>
      </nc>
    </rcc>
    <rcc rId="0" sId="2">
      <nc r="B717">
        <f>HYPERLINK("https://hsdes.intel.com/resource/14013164188","14013164188")</f>
      </nc>
    </rcc>
    <rcc rId="0" sId="2">
      <nc r="B718">
        <f>HYPERLINK("https://hsdes.intel.com/resource/14013164275","14013164275")</f>
      </nc>
    </rcc>
    <rcc rId="0" sId="2">
      <nc r="B719">
        <f>HYPERLINK("https://hsdes.intel.com/resource/14013164390","14013164390")</f>
      </nc>
    </rcc>
    <rcc rId="0" sId="2">
      <nc r="B720">
        <f>HYPERLINK("https://hsdes.intel.com/resource/14013164736","14013164736")</f>
      </nc>
    </rcc>
    <rcc rId="0" sId="2">
      <nc r="B721">
        <f>HYPERLINK("https://hsdes.intel.com/resource/14013165066","14013165066")</f>
      </nc>
    </rcc>
    <rcc rId="0" sId="2">
      <nc r="B722">
        <f>HYPERLINK("https://hsdes.intel.com/resource/14013165131","14013165131")</f>
      </nc>
    </rcc>
    <rcc rId="0" sId="2">
      <nc r="B723">
        <f>HYPERLINK("https://hsdes.intel.com/resource/14013165152","14013165152")</f>
      </nc>
    </rcc>
    <rcc rId="0" sId="2">
      <nc r="B724">
        <f>HYPERLINK("https://hsdes.intel.com/resource/14013165178","14013165178")</f>
      </nc>
    </rcc>
    <rcc rId="0" sId="2">
      <nc r="B725">
        <f>HYPERLINK("https://hsdes.intel.com/resource/14013165184","14013165184")</f>
      </nc>
    </rcc>
    <rcc rId="0" sId="2">
      <nc r="B726">
        <f>HYPERLINK("https://hsdes.intel.com/resource/14013165195","14013165195")</f>
      </nc>
    </rcc>
    <rcc rId="0" sId="2" dxf="1">
      <nc r="B727">
        <f>HYPERLINK("https://hsdes.intel.com/resource/14013165215","14013165215")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28">
        <f>HYPERLINK("https://hsdes.intel.com/resource/14013165220","14013165220")</f>
      </nc>
    </rcc>
    <rcc rId="0" sId="2">
      <nc r="B729">
        <f>HYPERLINK("https://hsdes.intel.com/resource/14013165230","14013165230")</f>
      </nc>
    </rcc>
    <rcc rId="0" sId="2">
      <nc r="B730">
        <f>HYPERLINK("https://hsdes.intel.com/resource/14013165239","14013165239")</f>
      </nc>
    </rcc>
    <rcc rId="0" sId="2">
      <nc r="B731">
        <f>HYPERLINK("https://hsdes.intel.com/resource/14013165248","14013165248")</f>
      </nc>
    </rcc>
    <rcc rId="0" sId="2">
      <nc r="B732">
        <f>HYPERLINK("https://hsdes.intel.com/resource/14013165251","14013165251")</f>
      </nc>
    </rcc>
    <rcc rId="0" sId="2">
      <nc r="B733">
        <f>HYPERLINK("https://hsdes.intel.com/resource/14013165266","14013165266")</f>
      </nc>
    </rcc>
    <rcc rId="0" sId="2">
      <nc r="B734">
        <f>HYPERLINK("https://hsdes.intel.com/resource/14013165268","14013165268")</f>
      </nc>
    </rcc>
    <rcc rId="0" sId="2">
      <nc r="B735">
        <f>HYPERLINK("https://hsdes.intel.com/resource/14013165277","14013165277")</f>
      </nc>
    </rcc>
    <rcc rId="0" sId="2">
      <nc r="B736">
        <f>HYPERLINK("https://hsdes.intel.com/resource/14013165279","14013165279")</f>
      </nc>
    </rcc>
    <rcc rId="0" sId="2">
      <nc r="B737">
        <f>HYPERLINK("https://hsdes.intel.com/resource/14013165283","14013165283")</f>
      </nc>
    </rcc>
    <rcc rId="0" sId="2">
      <nc r="B738">
        <f>HYPERLINK("https://hsdes.intel.com/resource/14013165285","14013165285")</f>
      </nc>
    </rcc>
    <rcc rId="0" sId="2">
      <nc r="B739">
        <f>HYPERLINK("https://hsdes.intel.com/resource/14013165383","14013165383")</f>
      </nc>
    </rcc>
    <rcc rId="0" sId="2" dxf="1">
      <nc r="B740">
        <f>HYPERLINK("https://hsdes.intel.com/resource/14013165391","14013165391")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41">
        <f>HYPERLINK("https://hsdes.intel.com/resource/14013165397","14013165397")</f>
      </nc>
    </rcc>
    <rcc rId="0" sId="2">
      <nc r="B742">
        <f>HYPERLINK("https://hsdes.intel.com/resource/14013165401","14013165401")</f>
      </nc>
    </rcc>
    <rcc rId="0" sId="2">
      <nc r="B743">
        <f>HYPERLINK("https://hsdes.intel.com/resource/14013165406","14013165406")</f>
      </nc>
    </rcc>
    <rcc rId="0" sId="2">
      <nc r="B744">
        <f>HYPERLINK("https://hsdes.intel.com/resource/14013165413","14013165413")</f>
      </nc>
    </rcc>
    <rcc rId="0" sId="2">
      <nc r="B745">
        <f>HYPERLINK("https://hsdes.intel.com/resource/14013165418","14013165418")</f>
      </nc>
    </rcc>
    <rcc rId="0" sId="2">
      <nc r="B746">
        <f>HYPERLINK("https://hsdes.intel.com/resource/14013165427","14013165427")</f>
      </nc>
    </rcc>
    <rcc rId="0" sId="2">
      <nc r="B747">
        <f>HYPERLINK("https://hsdes.intel.com/resource/14013165430","14013165430")</f>
      </nc>
    </rcc>
    <rcc rId="0" sId="2">
      <nc r="B748">
        <f>HYPERLINK("https://hsdes.intel.com/resource/14013165431","14013165431")</f>
      </nc>
    </rcc>
    <rcc rId="0" sId="2">
      <nc r="B749">
        <f>HYPERLINK("https://hsdes.intel.com/resource/14013165436","14013165436")</f>
      </nc>
    </rcc>
    <rcc rId="0" sId="2">
      <nc r="B750">
        <f>HYPERLINK("https://hsdes.intel.com/resource/14013165438","14013165438")</f>
      </nc>
    </rcc>
    <rcc rId="0" sId="2">
      <nc r="B751">
        <f>HYPERLINK("https://hsdes.intel.com/resource/14013165440","14013165440")</f>
      </nc>
    </rcc>
    <rcc rId="0" sId="2">
      <nc r="B752">
        <f>HYPERLINK("https://hsdes.intel.com/resource/14013165443","14013165443")</f>
      </nc>
    </rcc>
    <rcc rId="0" sId="2">
      <nc r="B753">
        <f>HYPERLINK("https://hsdes.intel.com/resource/14013165445","14013165445")</f>
      </nc>
    </rcc>
    <rcc rId="0" sId="2">
      <nc r="B754">
        <f>HYPERLINK("https://hsdes.intel.com/resource/14013165449","14013165449")</f>
      </nc>
    </rcc>
    <rcc rId="0" sId="2">
      <nc r="B755">
        <f>HYPERLINK("https://hsdes.intel.com/resource/14013165473","14013165473")</f>
      </nc>
    </rcc>
    <rcc rId="0" sId="2">
      <nc r="B756">
        <f>HYPERLINK("https://hsdes.intel.com/resource/14013165476","14013165476")</f>
      </nc>
    </rcc>
    <rcc rId="0" sId="2">
      <nc r="B757">
        <f>HYPERLINK("https://hsdes.intel.com/resource/14013165480","14013165480")</f>
      </nc>
    </rcc>
    <rcc rId="0" sId="2">
      <nc r="B758">
        <f>HYPERLINK("https://hsdes.intel.com/resource/14013165511","14013165511")</f>
      </nc>
    </rcc>
    <rcc rId="0" sId="2">
      <nc r="B759">
        <f>HYPERLINK("https://hsdes.intel.com/resource/14013165533","14013165533")</f>
      </nc>
    </rcc>
    <rcc rId="0" sId="2">
      <nc r="B760">
        <f>HYPERLINK("https://hsdes.intel.com/resource/14013165539","14013165539")</f>
      </nc>
    </rcc>
    <rcc rId="0" sId="2">
      <nc r="B761">
        <f>HYPERLINK("https://hsdes.intel.com/resource/14013165547","14013165547")</f>
      </nc>
    </rcc>
    <rcc rId="0" sId="2" dxf="1">
      <nc r="B762">
        <f>HYPERLINK("https://hsdes.intel.com/resource/14013165558","14013165558")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63">
        <f>HYPERLINK("https://hsdes.intel.com/resource/14013165601","14013165601")</f>
      </nc>
    </rcc>
    <rcc rId="0" sId="2">
      <nc r="B764">
        <f>HYPERLINK("https://hsdes.intel.com/resource/14013165602","14013165602")</f>
      </nc>
    </rcc>
    <rcc rId="0" sId="2">
      <nc r="B765">
        <f>HYPERLINK("https://hsdes.intel.com/resource/14013165633","14013165633")</f>
      </nc>
    </rcc>
    <rcc rId="0" sId="2">
      <nc r="B766">
        <f>HYPERLINK("https://hsdes.intel.com/resource/14013165985","14013165985")</f>
      </nc>
    </rcc>
    <rcc rId="0" sId="2">
      <nc r="B767">
        <f>HYPERLINK("https://hsdes.intel.com/resource/14013166261","14013166261")</f>
      </nc>
    </rcc>
    <rcc rId="0" sId="2">
      <nc r="B768">
        <f>HYPERLINK("https://hsdes.intel.com/resource/14013166631","14013166631")</f>
      </nc>
    </rcc>
    <rcc rId="0" sId="2">
      <nc r="B769">
        <f>HYPERLINK("https://hsdes.intel.com/resource/14013166640","14013166640")</f>
      </nc>
    </rcc>
    <rcc rId="0" sId="2">
      <nc r="B770">
        <f>HYPERLINK("https://hsdes.intel.com/resource/14013166642","14013166642")</f>
      </nc>
    </rcc>
    <rcc rId="0" sId="2">
      <nc r="B771">
        <f>HYPERLINK("https://hsdes.intel.com/resource/14013166665","14013166665")</f>
      </nc>
    </rcc>
    <rcc rId="0" sId="2">
      <nc r="B772">
        <f>HYPERLINK("https://hsdes.intel.com/resource/14013166925","14013166925")</f>
      </nc>
    </rcc>
    <rcc rId="0" sId="2">
      <nc r="B773">
        <f>HYPERLINK("https://hsdes.intel.com/resource/14013166930","14013166930")</f>
      </nc>
    </rcc>
    <rcc rId="0" sId="2">
      <nc r="B774">
        <f>HYPERLINK("https://hsdes.intel.com/resource/14013166935","14013166935")</f>
      </nc>
    </rcc>
    <rcc rId="0" sId="2">
      <nc r="B775">
        <f>HYPERLINK("https://hsdes.intel.com/resource/14013166939","14013166939")</f>
      </nc>
    </rcc>
    <rcc rId="0" sId="2">
      <nc r="B776">
        <f>HYPERLINK("https://hsdes.intel.com/resource/14013166943","14013166943")</f>
      </nc>
    </rcc>
    <rcc rId="0" sId="2">
      <nc r="B777">
        <f>HYPERLINK("https://hsdes.intel.com/resource/14013166951","14013166951")</f>
      </nc>
    </rcc>
    <rcc rId="0" sId="2">
      <nc r="B778">
        <f>HYPERLINK("https://hsdes.intel.com/resource/14013166957","14013166957")</f>
      </nc>
    </rcc>
    <rcc rId="0" sId="2">
      <nc r="B779">
        <f>HYPERLINK("https://hsdes.intel.com/resource/14013166966","14013166966")</f>
      </nc>
    </rcc>
    <rcc rId="0" sId="2">
      <nc r="B780">
        <f>HYPERLINK("https://hsdes.intel.com/resource/14013166973","14013166973")</f>
      </nc>
    </rcc>
    <rcc rId="0" sId="2">
      <nc r="B781">
        <f>HYPERLINK("https://hsdes.intel.com/resource/14013166980","14013166980")</f>
      </nc>
    </rcc>
    <rcc rId="0" sId="2">
      <nc r="B782">
        <f>HYPERLINK("https://hsdes.intel.com/resource/14013166986","14013166986")</f>
      </nc>
    </rcc>
    <rcc rId="0" sId="2">
      <nc r="B783">
        <f>HYPERLINK("https://hsdes.intel.com/resource/14013166995","14013166995")</f>
      </nc>
    </rcc>
    <rcc rId="0" sId="2">
      <nc r="B784">
        <f>HYPERLINK("https://hsdes.intel.com/resource/14013167005","14013167005")</f>
      </nc>
    </rcc>
    <rcc rId="0" sId="2" dxf="1">
      <nc r="B785">
        <f>HYPERLINK("https://hsdes.intel.com/resource/14013167008","14013167008")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86">
        <f>HYPERLINK("https://hsdes.intel.com/resource/14013167011","14013167011")</f>
      </nc>
    </rcc>
    <rcc rId="0" sId="2" dxf="1">
      <nc r="B787">
        <f>HYPERLINK("https://hsdes.intel.com/resource/14013167036","14013167036")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88">
        <f>HYPERLINK("https://hsdes.intel.com/resource/14013167043","14013167043")</f>
      </nc>
    </rcc>
    <rcc rId="0" sId="2">
      <nc r="B789">
        <f>HYPERLINK("https://hsdes.intel.com/resource/14013167054","14013167054")</f>
      </nc>
    </rcc>
    <rcc rId="0" sId="2">
      <nc r="B790">
        <f>HYPERLINK("https://hsdes.intel.com/resource/14013167061","14013167061")</f>
      </nc>
    </rcc>
    <rcc rId="0" sId="2">
      <nc r="B791">
        <f>HYPERLINK("https://hsdes.intel.com/resource/14013167069","14013167069")</f>
      </nc>
    </rcc>
    <rcc rId="0" sId="2">
      <nc r="B792">
        <f>HYPERLINK("https://hsdes.intel.com/resource/14013167072","14013167072")</f>
      </nc>
    </rcc>
    <rcc rId="0" sId="2">
      <nc r="B793">
        <f>HYPERLINK("https://hsdes.intel.com/resource/14013167084","14013167084")</f>
      </nc>
    </rcc>
    <rcc rId="0" sId="2" dxf="1">
      <nc r="B794">
        <f>HYPERLINK("https://hsdes.intel.com/resource/14013167236","14013167236")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95">
        <f>HYPERLINK("https://hsdes.intel.com/resource/14013167252","14013167252")</f>
      </nc>
    </rcc>
    <rcc rId="0" sId="2">
      <nc r="B796">
        <f>HYPERLINK("https://hsdes.intel.com/resource/14013167560","14013167560")</f>
      </nc>
    </rcc>
    <rcc rId="0" sId="2">
      <nc r="B797">
        <f>HYPERLINK("https://hsdes.intel.com/resource/14013167586","14013167586")</f>
      </nc>
    </rcc>
    <rcc rId="0" sId="2">
      <nc r="B798">
        <f>HYPERLINK("https://hsdes.intel.com/resource/14013167606","14013167606")</f>
      </nc>
    </rcc>
    <rcc rId="0" sId="2">
      <nc r="B799">
        <f>HYPERLINK("https://hsdes.intel.com/resource/14013168136","14013168136")</f>
      </nc>
    </rcc>
    <rcc rId="0" sId="2">
      <nc r="B800">
        <f>HYPERLINK("https://hsdes.intel.com/resource/14013168332","14013168332")</f>
      </nc>
    </rcc>
    <rcc rId="0" sId="2">
      <nc r="B801">
        <f>HYPERLINK("https://hsdes.intel.com/resource/14013168337","14013168337")</f>
      </nc>
    </rcc>
    <rcc rId="0" sId="2">
      <nc r="B802">
        <f>HYPERLINK("https://hsdes.intel.com/resource/14013168340","14013168340")</f>
      </nc>
    </rcc>
    <rcc rId="0" sId="2">
      <nc r="B803">
        <f>HYPERLINK("https://hsdes.intel.com/resource/14013168343","14013168343")</f>
      </nc>
    </rcc>
    <rcc rId="0" sId="2">
      <nc r="B804">
        <f>HYPERLINK("https://hsdes.intel.com/resource/14013168346","14013168346")</f>
      </nc>
    </rcc>
    <rcc rId="0" sId="2">
      <nc r="B805">
        <f>HYPERLINK("https://hsdes.intel.com/resource/14013168352","14013168352")</f>
      </nc>
    </rcc>
    <rcc rId="0" sId="2">
      <nc r="B806">
        <f>HYPERLINK("https://hsdes.intel.com/resource/14013168358","14013168358")</f>
      </nc>
    </rcc>
    <rcc rId="0" sId="2">
      <nc r="B807">
        <f>HYPERLINK("https://hsdes.intel.com/resource/14013168366","14013168366")</f>
      </nc>
    </rcc>
    <rcc rId="0" sId="2">
      <nc r="B808">
        <f>HYPERLINK("https://hsdes.intel.com/resource/14013168370","14013168370")</f>
      </nc>
    </rcc>
    <rcc rId="0" sId="2">
      <nc r="B809">
        <f>HYPERLINK("https://hsdes.intel.com/resource/14013168420","14013168420")</f>
      </nc>
    </rcc>
    <rcc rId="0" sId="2">
      <nc r="B810">
        <f>HYPERLINK("https://hsdes.intel.com/resource/14013168467","14013168467")</f>
      </nc>
    </rcc>
    <rcc rId="0" sId="2">
      <nc r="B811">
        <f>HYPERLINK("https://hsdes.intel.com/resource/14013168473","14013168473")</f>
      </nc>
    </rcc>
    <rcc rId="0" sId="2">
      <nc r="B812">
        <f>HYPERLINK("https://hsdes.intel.com/resource/14013168646","14013168646")</f>
      </nc>
    </rcc>
    <rcc rId="0" sId="2">
      <nc r="B813">
        <f>HYPERLINK("https://hsdes.intel.com/resource/14013168655","14013168655")</f>
      </nc>
    </rcc>
    <rcc rId="0" sId="2">
      <nc r="B814">
        <f>HYPERLINK("https://hsdes.intel.com/resource/14013168683","14013168683")</f>
      </nc>
    </rcc>
    <rcc rId="0" sId="2">
      <nc r="B815">
        <f>HYPERLINK("https://hsdes.intel.com/resource/14013168778","14013168778")</f>
      </nc>
    </rcc>
    <rcc rId="0" sId="2">
      <nc r="B816">
        <f>HYPERLINK("https://hsdes.intel.com/resource/14013168780","14013168780")</f>
      </nc>
    </rcc>
    <rcc rId="0" sId="2">
      <nc r="B817">
        <f>HYPERLINK("https://hsdes.intel.com/resource/14013168804","14013168804")</f>
      </nc>
    </rcc>
    <rcc rId="0" sId="2">
      <nc r="B818">
        <f>HYPERLINK("https://hsdes.intel.com/resource/14013168849","14013168849")</f>
      </nc>
    </rcc>
    <rcc rId="0" sId="2">
      <nc r="B819">
        <f>HYPERLINK("https://hsdes.intel.com/resource/14013168853","14013168853")</f>
      </nc>
    </rcc>
    <rcc rId="0" sId="2">
      <nc r="B820">
        <f>HYPERLINK("https://hsdes.intel.com/resource/14013168857","14013168857")</f>
      </nc>
    </rcc>
    <rcc rId="0" sId="2">
      <nc r="B821">
        <f>HYPERLINK("https://hsdes.intel.com/resource/14013168861","14013168861")</f>
      </nc>
    </rcc>
    <rcc rId="0" sId="2">
      <nc r="B822">
        <f>HYPERLINK("https://hsdes.intel.com/resource/14013168995","14013168995")</f>
      </nc>
    </rcc>
    <rcc rId="0" sId="2">
      <nc r="B823">
        <f>HYPERLINK("https://hsdes.intel.com/resource/14013169011","14013169011")</f>
      </nc>
    </rcc>
    <rcc rId="0" sId="2">
      <nc r="B824">
        <f>HYPERLINK("https://hsdes.intel.com/resource/14013169014","14013169014")</f>
      </nc>
    </rcc>
    <rcc rId="0" sId="2">
      <nc r="B825">
        <f>HYPERLINK("https://hsdes.intel.com/resource/14013169069","14013169069")</f>
      </nc>
    </rcc>
    <rcc rId="0" sId="2">
      <nc r="B826">
        <f>HYPERLINK("https://hsdes.intel.com/resource/14013169083","14013169083")</f>
      </nc>
    </rcc>
    <rcc rId="0" sId="2">
      <nc r="B827">
        <f>HYPERLINK("https://hsdes.intel.com/resource/14013169091","14013169091")</f>
      </nc>
    </rcc>
    <rcc rId="0" sId="2">
      <nc r="B828">
        <f>HYPERLINK("https://hsdes.intel.com/resource/14013169094","14013169094")</f>
      </nc>
    </rcc>
    <rcc rId="0" sId="2">
      <nc r="B829">
        <f>HYPERLINK("https://hsdes.intel.com/resource/14013169103","14013169103")</f>
      </nc>
    </rcc>
    <rcc rId="0" sId="2">
      <nc r="B830">
        <f>HYPERLINK("https://hsdes.intel.com/resource/14013169135","14013169135")</f>
      </nc>
    </rcc>
    <rcc rId="0" sId="2">
      <nc r="B831">
        <f>HYPERLINK("https://hsdes.intel.com/resource/14013169159","14013169159")</f>
      </nc>
    </rcc>
    <rcc rId="0" sId="2">
      <nc r="B832">
        <f>HYPERLINK("https://hsdes.intel.com/resource/14013172845","14013172845")</f>
      </nc>
    </rcc>
    <rcc rId="0" sId="2" dxf="1">
      <nc r="B833">
        <f>HYPERLINK("https://hsdes.intel.com/resource/14013172847","14013172847")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34">
        <f>HYPERLINK("https://hsdes.intel.com/resource/14013172891","14013172891")</f>
      </nc>
    </rcc>
    <rcc rId="0" sId="2">
      <nc r="B835">
        <f>HYPERLINK("https://hsdes.intel.com/resource/14013172897","14013172897")</f>
      </nc>
    </rcc>
    <rcc rId="0" sId="2">
      <nc r="B836">
        <f>HYPERLINK("https://hsdes.intel.com/resource/14013172927","14013172927")</f>
      </nc>
    </rcc>
    <rcc rId="0" sId="2">
      <nc r="B837">
        <f>HYPERLINK("https://hsdes.intel.com/resource/14013172936","14013172936")</f>
      </nc>
    </rcc>
    <rcc rId="0" sId="2">
      <nc r="B838">
        <f>HYPERLINK("https://hsdes.intel.com/resource/14013172944","14013172944")</f>
      </nc>
    </rcc>
    <rcc rId="0" sId="2">
      <nc r="B839">
        <f>HYPERLINK("https://hsdes.intel.com/resource/14013173003","14013173003")</f>
      </nc>
    </rcc>
    <rcc rId="0" sId="2">
      <nc r="B840">
        <f>HYPERLINK("https://hsdes.intel.com/resource/14013173005","14013173005")</f>
      </nc>
    </rcc>
    <rcc rId="0" sId="2">
      <nc r="B841">
        <f>HYPERLINK("https://hsdes.intel.com/resource/14013173007","14013173007")</f>
      </nc>
    </rcc>
    <rcc rId="0" sId="2">
      <nc r="B842">
        <f>HYPERLINK("https://hsdes.intel.com/resource/14013173013","14013173013")</f>
      </nc>
    </rcc>
    <rcc rId="0" sId="2">
      <nc r="B843">
        <f>HYPERLINK("https://hsdes.intel.com/resource/14013173086","14013173086")</f>
      </nc>
    </rcc>
    <rcc rId="0" sId="2">
      <nc r="B844">
        <f>HYPERLINK("https://hsdes.intel.com/resource/14013173089","14013173089")</f>
      </nc>
    </rcc>
    <rcc rId="0" sId="2">
      <nc r="B845">
        <f>HYPERLINK("https://hsdes.intel.com/resource/14013173102","14013173102")</f>
      </nc>
    </rcc>
    <rcc rId="0" sId="2">
      <nc r="B846">
        <f>HYPERLINK("https://hsdes.intel.com/resource/14013173126","14013173126")</f>
      </nc>
    </rcc>
    <rcc rId="0" sId="2">
      <nc r="B847">
        <f>HYPERLINK("https://hsdes.intel.com/resource/14013173153","14013173153")</f>
      </nc>
    </rcc>
    <rcc rId="0" sId="2">
      <nc r="B848">
        <f>HYPERLINK("https://hsdes.intel.com/resource/14013173168","14013173168")</f>
      </nc>
    </rcc>
    <rcc rId="0" sId="2">
      <nc r="B849">
        <f>HYPERLINK("https://hsdes.intel.com/resource/14013173170","14013173170")</f>
      </nc>
    </rcc>
    <rcc rId="0" sId="2">
      <nc r="B850">
        <f>HYPERLINK("https://hsdes.intel.com/resource/14013173171","14013173171")</f>
      </nc>
    </rcc>
    <rcc rId="0" sId="2">
      <nc r="B851">
        <f>HYPERLINK("https://hsdes.intel.com/resource/14013173207","14013173207")</f>
      </nc>
    </rcc>
    <rcc rId="0" sId="2">
      <nc r="B852">
        <f>HYPERLINK("https://hsdes.intel.com/resource/14013173241","14013173241")</f>
      </nc>
    </rcc>
    <rcc rId="0" sId="2">
      <nc r="B853">
        <f>HYPERLINK("https://hsdes.intel.com/resource/14013173246","14013173246")</f>
      </nc>
    </rcc>
    <rcc rId="0" sId="2">
      <nc r="B854">
        <f>HYPERLINK("https://hsdes.intel.com/resource/14013173261","14013173261")</f>
      </nc>
    </rcc>
    <rcc rId="0" sId="2">
      <nc r="B855">
        <f>HYPERLINK("https://hsdes.intel.com/resource/14013173264","14013173264")</f>
      </nc>
    </rcc>
    <rcc rId="0" sId="2">
      <nc r="B856">
        <f>HYPERLINK("https://hsdes.intel.com/resource/14013173272","14013173272")</f>
      </nc>
    </rcc>
    <rcc rId="0" sId="2">
      <nc r="B857">
        <f>HYPERLINK("https://hsdes.intel.com/resource/14013173276","14013173276")</f>
      </nc>
    </rcc>
    <rcc rId="0" sId="2">
      <nc r="B858">
        <f>HYPERLINK("https://hsdes.intel.com/resource/14013173292","14013173292")</f>
      </nc>
    </rcc>
    <rcc rId="0" sId="2">
      <nc r="B859">
        <f>HYPERLINK("https://hsdes.intel.com/resource/14013173956","14013173956")</f>
      </nc>
    </rcc>
    <rcc rId="0" sId="2">
      <nc r="B860">
        <f>HYPERLINK("https://hsdes.intel.com/resource/14013173962","14013173962")</f>
      </nc>
    </rcc>
    <rcc rId="0" sId="2">
      <nc r="B861">
        <f>HYPERLINK("https://hsdes.intel.com/resource/14013173972","14013173972")</f>
      </nc>
    </rcc>
    <rcc rId="0" sId="2">
      <nc r="B862">
        <f>HYPERLINK("https://hsdes.intel.com/resource/14013173981","14013173981")</f>
      </nc>
    </rcc>
    <rcc rId="0" sId="2">
      <nc r="B863">
        <f>HYPERLINK("https://hsdes.intel.com/resource/14013173986","14013173986")</f>
      </nc>
    </rcc>
    <rcc rId="0" sId="2">
      <nc r="B864">
        <f>HYPERLINK("https://hsdes.intel.com/resource/14013174002","14013174002")</f>
      </nc>
    </rcc>
    <rcc rId="0" sId="2">
      <nc r="B865">
        <f>HYPERLINK("https://hsdes.intel.com/resource/14013174004","14013174004")</f>
      </nc>
    </rcc>
    <rcc rId="0" sId="2">
      <nc r="B866">
        <f>HYPERLINK("https://hsdes.intel.com/resource/14013174007","14013174007")</f>
      </nc>
    </rcc>
    <rcc rId="0" sId="2">
      <nc r="B867">
        <f>HYPERLINK("https://hsdes.intel.com/resource/14013174027","14013174027")</f>
      </nc>
    </rcc>
    <rcc rId="0" sId="2">
      <nc r="B868">
        <f>HYPERLINK("https://hsdes.intel.com/resource/14013174046","14013174046")</f>
      </nc>
    </rcc>
    <rcc rId="0" sId="2">
      <nc r="B869">
        <f>HYPERLINK("https://hsdes.intel.com/resource/14013174087","14013174087")</f>
      </nc>
    </rcc>
    <rcc rId="0" sId="2">
      <nc r="B870">
        <f>HYPERLINK("https://hsdes.intel.com/resource/14013174091","14013174091")</f>
      </nc>
    </rcc>
    <rcc rId="0" sId="2">
      <nc r="B871">
        <f>HYPERLINK("https://hsdes.intel.com/resource/14013174094","14013174094")</f>
      </nc>
    </rcc>
    <rcc rId="0" sId="2">
      <nc r="B872">
        <f>HYPERLINK("https://hsdes.intel.com/resource/14013174108","14013174108")</f>
      </nc>
    </rcc>
    <rcc rId="0" sId="2">
      <nc r="B873">
        <f>HYPERLINK("https://hsdes.intel.com/resource/14013174147","14013174147")</f>
      </nc>
    </rcc>
    <rcc rId="0" sId="2">
      <nc r="B874">
        <f>HYPERLINK("https://hsdes.intel.com/resource/14013174186","14013174186")</f>
      </nc>
    </rcc>
    <rcc rId="0" sId="2">
      <nc r="B875">
        <f>HYPERLINK("https://hsdes.intel.com/resource/14013174262","14013174262")</f>
      </nc>
    </rcc>
    <rcc rId="0" sId="2">
      <nc r="B876">
        <f>HYPERLINK("https://hsdes.intel.com/resource/14013174288","14013174288")</f>
      </nc>
    </rcc>
    <rcc rId="0" sId="2">
      <nc r="B877">
        <f>HYPERLINK("https://hsdes.intel.com/resource/14013174349","14013174349")</f>
      </nc>
    </rcc>
    <rcc rId="0" sId="2">
      <nc r="B878">
        <f>HYPERLINK("https://hsdes.intel.com/resource/14013174392","14013174392")</f>
      </nc>
    </rcc>
    <rcc rId="0" sId="2">
      <nc r="B879">
        <f>HYPERLINK("https://hsdes.intel.com/resource/14013174396","14013174396")</f>
      </nc>
    </rcc>
    <rcc rId="0" sId="2">
      <nc r="B880">
        <f>HYPERLINK("https://hsdes.intel.com/resource/14013174406","14013174406")</f>
      </nc>
    </rcc>
    <rcc rId="0" sId="2">
      <nc r="B881">
        <f>HYPERLINK("https://hsdes.intel.com/resource/14013174424","14013174424")</f>
      </nc>
    </rcc>
    <rcc rId="0" sId="2">
      <nc r="B882">
        <f>HYPERLINK("https://hsdes.intel.com/resource/14013174432","14013174432")</f>
      </nc>
    </rcc>
    <rcc rId="0" sId="2">
      <nc r="B883">
        <f>HYPERLINK("https://hsdes.intel.com/resource/14013174439","14013174439")</f>
      </nc>
    </rcc>
    <rcc rId="0" sId="2">
      <nc r="B884">
        <f>HYPERLINK("https://hsdes.intel.com/resource/14013174442","14013174442")</f>
      </nc>
    </rcc>
    <rcc rId="0" sId="2">
      <nc r="B885">
        <f>HYPERLINK("https://hsdes.intel.com/resource/14013174486","14013174486")</f>
      </nc>
    </rcc>
    <rcc rId="0" sId="2">
      <nc r="B886">
        <f>HYPERLINK("https://hsdes.intel.com/resource/14013174491","14013174491")</f>
      </nc>
    </rcc>
    <rcc rId="0" sId="2">
      <nc r="B887">
        <f>HYPERLINK("https://hsdes.intel.com/resource/14013174555","14013174555")</f>
      </nc>
    </rcc>
    <rcc rId="0" sId="2">
      <nc r="B888">
        <f>HYPERLINK("https://hsdes.intel.com/resource/14013174569","14013174569")</f>
      </nc>
    </rcc>
    <rcc rId="0" sId="2">
      <nc r="B889">
        <f>HYPERLINK("https://hsdes.intel.com/resource/14013174609","14013174609")</f>
      </nc>
    </rcc>
    <rcc rId="0" sId="2">
      <nc r="B890">
        <f>HYPERLINK("https://hsdes.intel.com/resource/14013174650","14013174650")</f>
      </nc>
    </rcc>
    <rcc rId="0" sId="2">
      <nc r="B891">
        <f>HYPERLINK("https://hsdes.intel.com/resource/14013174656","14013174656")</f>
      </nc>
    </rcc>
    <rcc rId="0" sId="2">
      <nc r="B892">
        <f>HYPERLINK("https://hsdes.intel.com/resource/14013174674","14013174674")</f>
      </nc>
    </rcc>
    <rcc rId="0" sId="2">
      <nc r="B893">
        <f>HYPERLINK("https://hsdes.intel.com/resource/14013174680","14013174680")</f>
      </nc>
    </rcc>
    <rcc rId="0" sId="2">
      <nc r="B894">
        <f>HYPERLINK("https://hsdes.intel.com/resource/14013174724","14013174724")</f>
      </nc>
    </rcc>
    <rcc rId="0" sId="2">
      <nc r="B895">
        <f>HYPERLINK("https://hsdes.intel.com/resource/14013174729","14013174729")</f>
      </nc>
    </rcc>
    <rcc rId="0" sId="2">
      <nc r="B896">
        <f>HYPERLINK("https://hsdes.intel.com/resource/14013174739","14013174739")</f>
      </nc>
    </rcc>
    <rcc rId="0" sId="2">
      <nc r="B897">
        <f>HYPERLINK("https://hsdes.intel.com/resource/14013174791","14013174791")</f>
      </nc>
    </rcc>
    <rcc rId="0" sId="2">
      <nc r="B898">
        <f>HYPERLINK("https://hsdes.intel.com/resource/14013174800","14013174800")</f>
      </nc>
    </rcc>
    <rcc rId="0" sId="2">
      <nc r="B899">
        <f>HYPERLINK("https://hsdes.intel.com/resource/14013174821","14013174821")</f>
      </nc>
    </rcc>
    <rcc rId="0" sId="2">
      <nc r="B900">
        <f>HYPERLINK("https://hsdes.intel.com/resource/14013174825","14013174825")</f>
      </nc>
    </rcc>
    <rcc rId="0" sId="2">
      <nc r="B901">
        <f>HYPERLINK("https://hsdes.intel.com/resource/14013174827","14013174827")</f>
      </nc>
    </rcc>
    <rcc rId="0" sId="2">
      <nc r="B902">
        <f>HYPERLINK("https://hsdes.intel.com/resource/14013174829","14013174829")</f>
      </nc>
    </rcc>
    <rcc rId="0" sId="2">
      <nc r="B903">
        <f>HYPERLINK("https://hsdes.intel.com/resource/14013174831","14013174831")</f>
      </nc>
    </rcc>
    <rcc rId="0" sId="2">
      <nc r="B904">
        <f>HYPERLINK("https://hsdes.intel.com/resource/14013174835","14013174835")</f>
      </nc>
    </rcc>
    <rcc rId="0" sId="2">
      <nc r="B905">
        <f>HYPERLINK("https://hsdes.intel.com/resource/14013174839","14013174839")</f>
      </nc>
    </rcc>
    <rcc rId="0" sId="2">
      <nc r="B906">
        <f>HYPERLINK("https://hsdes.intel.com/resource/14013174841","14013174841")</f>
      </nc>
    </rcc>
    <rcc rId="0" sId="2">
      <nc r="B907">
        <f>HYPERLINK("https://hsdes.intel.com/resource/14013174843","14013174843")</f>
      </nc>
    </rcc>
    <rcc rId="0" sId="2">
      <nc r="B908">
        <f>HYPERLINK("https://hsdes.intel.com/resource/14013174856","14013174856")</f>
      </nc>
    </rcc>
    <rcc rId="0" sId="2">
      <nc r="B909">
        <f>HYPERLINK("https://hsdes.intel.com/resource/14013175199","14013175199")</f>
      </nc>
    </rcc>
    <rcc rId="0" sId="2">
      <nc r="B910">
        <f>HYPERLINK("https://hsdes.intel.com/resource/14013175301","14013175301")</f>
      </nc>
    </rcc>
    <rcc rId="0" sId="2">
      <nc r="B911">
        <f>HYPERLINK("https://hsdes.intel.com/resource/14013175303","14013175303")</f>
      </nc>
    </rcc>
    <rcc rId="0" sId="2">
      <nc r="B912">
        <f>HYPERLINK("https://hsdes.intel.com/resource/14013175419","14013175419")</f>
      </nc>
    </rcc>
    <rcc rId="0" sId="2">
      <nc r="B913">
        <f>HYPERLINK("https://hsdes.intel.com/resource/14013175425","14013175425")</f>
      </nc>
    </rcc>
    <rcc rId="0" sId="2">
      <nc r="B914">
        <f>HYPERLINK("https://hsdes.intel.com/resource/14013175611","14013175611")</f>
      </nc>
    </rcc>
    <rcc rId="0" sId="2">
      <nc r="B915">
        <f>HYPERLINK("https://hsdes.intel.com/resource/14013175622","14013175622")</f>
      </nc>
    </rcc>
    <rcc rId="0" sId="2">
      <nc r="B916">
        <f>HYPERLINK("https://hsdes.intel.com/resource/14013175625","14013175625")</f>
      </nc>
    </rcc>
    <rcc rId="0" sId="2">
      <nc r="B917">
        <f>HYPERLINK("https://hsdes.intel.com/resource/14013175631","14013175631")</f>
      </nc>
    </rcc>
    <rcc rId="0" sId="2">
      <nc r="B918">
        <f>HYPERLINK("https://hsdes.intel.com/resource/14013175635","14013175635")</f>
      </nc>
    </rcc>
    <rcc rId="0" sId="2">
      <nc r="B919">
        <f>HYPERLINK("https://hsdes.intel.com/resource/14013175664","14013175664")</f>
      </nc>
    </rcc>
    <rcc rId="0" sId="2">
      <nc r="B920">
        <f>HYPERLINK("https://hsdes.intel.com/resource/14013175666","14013175666")</f>
      </nc>
    </rcc>
    <rcc rId="0" sId="2">
      <nc r="B921">
        <f>HYPERLINK("https://hsdes.intel.com/resource/14013175673","14013175673")</f>
      </nc>
    </rcc>
    <rcc rId="0" sId="2">
      <nc r="B922">
        <f>HYPERLINK("https://hsdes.intel.com/resource/14013175709","14013175709")</f>
      </nc>
    </rcc>
    <rcc rId="0" sId="2">
      <nc r="B923">
        <f>HYPERLINK("https://hsdes.intel.com/resource/14013175715","14013175715")</f>
      </nc>
    </rcc>
    <rcc rId="0" sId="2">
      <nc r="B924">
        <f>HYPERLINK("https://hsdes.intel.com/resource/14013175718","14013175718")</f>
      </nc>
    </rcc>
    <rcc rId="0" sId="2">
      <nc r="B925">
        <f>HYPERLINK("https://hsdes.intel.com/resource/14013175721","14013175721")</f>
      </nc>
    </rcc>
    <rcc rId="0" sId="2">
      <nc r="B926">
        <f>HYPERLINK("https://hsdes.intel.com/resource/14013175734","14013175734")</f>
      </nc>
    </rcc>
    <rcc rId="0" sId="2">
      <nc r="B927">
        <f>HYPERLINK("https://hsdes.intel.com/resource/14013175746","14013175746")</f>
      </nc>
    </rcc>
    <rcc rId="0" sId="2">
      <nc r="B928">
        <f>HYPERLINK("https://hsdes.intel.com/resource/14013175756","14013175756")</f>
      </nc>
    </rcc>
    <rcc rId="0" sId="2">
      <nc r="B929">
        <f>HYPERLINK("https://hsdes.intel.com/resource/14013175764","14013175764")</f>
      </nc>
    </rcc>
    <rcc rId="0" sId="2">
      <nc r="B930">
        <f>HYPERLINK("https://hsdes.intel.com/resource/14013175768","14013175768")</f>
      </nc>
    </rcc>
    <rcc rId="0" sId="2">
      <nc r="B931">
        <f>HYPERLINK("https://hsdes.intel.com/resource/14013175770","14013175770")</f>
      </nc>
    </rcc>
    <rcc rId="0" sId="2">
      <nc r="B932">
        <f>HYPERLINK("https://hsdes.intel.com/resource/14013175775","14013175775")</f>
      </nc>
    </rcc>
    <rcc rId="0" sId="2">
      <nc r="B933">
        <f>HYPERLINK("https://hsdes.intel.com/resource/14013175782","14013175782")</f>
      </nc>
    </rcc>
    <rcc rId="0" sId="2">
      <nc r="B934">
        <f>HYPERLINK("https://hsdes.intel.com/resource/14013175832","14013175832")</f>
      </nc>
    </rcc>
    <rcc rId="0" sId="2">
      <nc r="B935">
        <f>HYPERLINK("https://hsdes.intel.com/resource/14013175838","14013175838")</f>
      </nc>
    </rcc>
    <rcc rId="0" sId="2">
      <nc r="B936">
        <f>HYPERLINK("https://hsdes.intel.com/resource/14013175842","14013175842")</f>
      </nc>
    </rcc>
    <rcc rId="0" sId="2">
      <nc r="B937">
        <f>HYPERLINK("https://hsdes.intel.com/resource/14013175866","14013175866")</f>
      </nc>
    </rcc>
    <rcc rId="0" sId="2">
      <nc r="B938">
        <f>HYPERLINK("https://hsdes.intel.com/resource/14013175871","14013175871")</f>
      </nc>
    </rcc>
    <rcc rId="0" sId="2">
      <nc r="B939">
        <f>HYPERLINK("https://hsdes.intel.com/resource/14013175888","14013175888")</f>
      </nc>
    </rcc>
    <rcc rId="0" sId="2">
      <nc r="B940">
        <f>HYPERLINK("https://hsdes.intel.com/resource/14013175911","14013175911")</f>
      </nc>
    </rcc>
    <rcc rId="0" sId="2">
      <nc r="B941">
        <f>HYPERLINK("https://hsdes.intel.com/resource/14013175921","14013175921")</f>
      </nc>
    </rcc>
    <rcc rId="0" sId="2">
      <nc r="B942">
        <f>HYPERLINK("https://hsdes.intel.com/resource/14013175930","14013175930")</f>
      </nc>
    </rcc>
    <rcc rId="0" sId="2">
      <nc r="B943">
        <f>HYPERLINK("https://hsdes.intel.com/resource/14013175942","14013175942")</f>
      </nc>
    </rcc>
    <rcc rId="0" sId="2">
      <nc r="B944">
        <f>HYPERLINK("https://hsdes.intel.com/resource/14013175946","14013175946")</f>
      </nc>
    </rcc>
    <rcc rId="0" sId="2">
      <nc r="B945">
        <f>HYPERLINK("https://hsdes.intel.com/resource/14013175948","14013175948")</f>
      </nc>
    </rcc>
    <rcc rId="0" sId="2">
      <nc r="B946">
        <f>HYPERLINK("https://hsdes.intel.com/resource/14013175953","14013175953")</f>
      </nc>
    </rcc>
    <rcc rId="0" sId="2">
      <nc r="B947">
        <f>HYPERLINK("https://hsdes.intel.com/resource/14013175956","14013175956")</f>
      </nc>
    </rcc>
    <rcc rId="0" sId="2">
      <nc r="B948">
        <f>HYPERLINK("https://hsdes.intel.com/resource/14013176019","14013176019")</f>
      </nc>
    </rcc>
    <rcc rId="0" sId="2">
      <nc r="B949">
        <f>HYPERLINK("https://hsdes.intel.com/resource/14013176023","14013176023")</f>
      </nc>
    </rcc>
    <rcc rId="0" sId="2">
      <nc r="B950">
        <f>HYPERLINK("https://hsdes.intel.com/resource/14013176026","14013176026")</f>
      </nc>
    </rcc>
    <rcc rId="0" sId="2">
      <nc r="B951">
        <f>HYPERLINK("https://hsdes.intel.com/resource/14013176036","14013176036")</f>
      </nc>
    </rcc>
    <rcc rId="0" sId="2">
      <nc r="B952">
        <f>HYPERLINK("https://hsdes.intel.com/resource/14013176039","14013176039")</f>
      </nc>
    </rcc>
    <rcc rId="0" sId="2">
      <nc r="B953">
        <f>HYPERLINK("https://hsdes.intel.com/resource/14013176048","14013176048")</f>
      </nc>
    </rcc>
    <rcc rId="0" sId="2">
      <nc r="B954">
        <f>HYPERLINK("https://hsdes.intel.com/resource/14013176053","14013176053")</f>
      </nc>
    </rcc>
    <rcc rId="0" sId="2">
      <nc r="B955">
        <f>HYPERLINK("https://hsdes.intel.com/resource/14013176063","14013176063")</f>
      </nc>
    </rcc>
    <rcc rId="0" sId="2">
      <nc r="B956">
        <f>HYPERLINK("https://hsdes.intel.com/resource/14013176084","14013176084")</f>
      </nc>
    </rcc>
    <rcc rId="0" sId="2">
      <nc r="B957">
        <f>HYPERLINK("https://hsdes.intel.com/resource/14013176088","14013176088")</f>
      </nc>
    </rcc>
    <rcc rId="0" sId="2">
      <nc r="B958">
        <f>HYPERLINK("https://hsdes.intel.com/resource/14013176103","14013176103")</f>
      </nc>
    </rcc>
    <rcc rId="0" sId="2">
      <nc r="B959">
        <f>HYPERLINK("https://hsdes.intel.com/resource/14013176106","14013176106")</f>
      </nc>
    </rcc>
    <rcc rId="0" sId="2">
      <nc r="B960">
        <f>HYPERLINK("https://hsdes.intel.com/resource/14013176145","14013176145")</f>
      </nc>
    </rcc>
    <rcc rId="0" sId="2">
      <nc r="B961">
        <f>HYPERLINK("https://hsdes.intel.com/resource/14013176160","14013176160")</f>
      </nc>
    </rcc>
    <rcc rId="0" sId="2">
      <nc r="B962">
        <f>HYPERLINK("https://hsdes.intel.com/resource/14013176172","14013176172")</f>
      </nc>
    </rcc>
    <rcc rId="0" sId="2">
      <nc r="B963">
        <f>HYPERLINK("https://hsdes.intel.com/resource/14013176205","14013176205")</f>
      </nc>
    </rcc>
    <rcc rId="0" sId="2">
      <nc r="B964">
        <f>HYPERLINK("https://hsdes.intel.com/resource/14013176209","14013176209")</f>
      </nc>
    </rcc>
    <rcc rId="0" sId="2">
      <nc r="B965">
        <f>HYPERLINK("https://hsdes.intel.com/resource/14013176217","14013176217")</f>
      </nc>
    </rcc>
    <rcc rId="0" sId="2">
      <nc r="B966">
        <f>HYPERLINK("https://hsdes.intel.com/resource/14013176237","14013176237")</f>
      </nc>
    </rcc>
    <rcc rId="0" sId="2">
      <nc r="B967">
        <f>HYPERLINK("https://hsdes.intel.com/resource/14013176259","14013176259")</f>
      </nc>
    </rcc>
    <rcc rId="0" sId="2">
      <nc r="B968">
        <f>HYPERLINK("https://hsdes.intel.com/resource/14013176269","14013176269")</f>
      </nc>
    </rcc>
    <rcc rId="0" sId="2">
      <nc r="B969">
        <f>HYPERLINK("https://hsdes.intel.com/resource/14013176273","14013176273")</f>
      </nc>
    </rcc>
    <rcc rId="0" sId="2">
      <nc r="B970">
        <f>HYPERLINK("https://hsdes.intel.com/resource/14013176285","14013176285")</f>
      </nc>
    </rcc>
    <rcc rId="0" sId="2">
      <nc r="B971">
        <f>HYPERLINK("https://hsdes.intel.com/resource/14013176305","14013176305")</f>
      </nc>
    </rcc>
    <rcc rId="0" sId="2">
      <nc r="B972">
        <f>HYPERLINK("https://hsdes.intel.com/resource/14013176338","14013176338")</f>
      </nc>
    </rcc>
    <rcc rId="0" sId="2">
      <nc r="B973">
        <f>HYPERLINK("https://hsdes.intel.com/resource/14013176358","14013176358")</f>
      </nc>
    </rcc>
    <rcc rId="0" sId="2">
      <nc r="B974">
        <f>HYPERLINK("https://hsdes.intel.com/resource/14013176373","14013176373")</f>
      </nc>
    </rcc>
    <rcc rId="0" sId="2">
      <nc r="B975">
        <f>HYPERLINK("https://hsdes.intel.com/resource/14013176393","14013176393")</f>
      </nc>
    </rcc>
    <rcc rId="0" sId="2">
      <nc r="B976">
        <f>HYPERLINK("https://hsdes.intel.com/resource/14013176417","14013176417")</f>
      </nc>
    </rcc>
    <rcc rId="0" sId="2">
      <nc r="B977">
        <f>HYPERLINK("https://hsdes.intel.com/resource/14013176423","14013176423")</f>
      </nc>
    </rcc>
    <rcc rId="0" sId="2">
      <nc r="B978">
        <f>HYPERLINK("https://hsdes.intel.com/resource/14013176439","14013176439")</f>
      </nc>
    </rcc>
    <rcc rId="0" sId="2">
      <nc r="B979">
        <f>HYPERLINK("https://hsdes.intel.com/resource/14013176445","14013176445")</f>
      </nc>
    </rcc>
    <rcc rId="0" sId="2">
      <nc r="B980">
        <f>HYPERLINK("https://hsdes.intel.com/resource/14013176448","14013176448")</f>
      </nc>
    </rcc>
    <rcc rId="0" sId="2">
      <nc r="B981">
        <f>HYPERLINK("https://hsdes.intel.com/resource/14013176478","14013176478")</f>
      </nc>
    </rcc>
    <rcc rId="0" sId="2">
      <nc r="B982">
        <f>HYPERLINK("https://hsdes.intel.com/resource/14013176485","14013176485")</f>
      </nc>
    </rcc>
    <rcc rId="0" sId="2">
      <nc r="B983">
        <f>HYPERLINK("https://hsdes.intel.com/resource/14013176487","14013176487")</f>
      </nc>
    </rcc>
    <rcc rId="0" sId="2">
      <nc r="B984">
        <f>HYPERLINK("https://hsdes.intel.com/resource/14013176503","14013176503")</f>
      </nc>
    </rcc>
    <rcc rId="0" sId="2">
      <nc r="B985">
        <f>HYPERLINK("https://hsdes.intel.com/resource/14013176534","14013176534")</f>
      </nc>
    </rcc>
    <rcc rId="0" sId="2">
      <nc r="B986">
        <f>HYPERLINK("https://hsdes.intel.com/resource/14013176544","14013176544")</f>
      </nc>
    </rcc>
    <rcc rId="0" sId="2">
      <nc r="B987">
        <f>HYPERLINK("https://hsdes.intel.com/resource/14013176661","14013176661")</f>
      </nc>
    </rcc>
    <rcc rId="0" sId="2">
      <nc r="B988">
        <f>HYPERLINK("https://hsdes.intel.com/resource/14013176669","14013176669")</f>
      </nc>
    </rcc>
    <rcc rId="0" sId="2">
      <nc r="B989">
        <f>HYPERLINK("https://hsdes.intel.com/resource/14013176721","14013176721")</f>
      </nc>
    </rcc>
    <rcc rId="0" sId="2">
      <nc r="B990">
        <f>HYPERLINK("https://hsdes.intel.com/resource/14013176731","14013176731")</f>
      </nc>
    </rcc>
    <rcc rId="0" sId="2">
      <nc r="B991">
        <f>HYPERLINK("https://hsdes.intel.com/resource/14013176742","14013176742")</f>
      </nc>
    </rcc>
    <rcc rId="0" sId="2">
      <nc r="B992">
        <f>HYPERLINK("https://hsdes.intel.com/resource/14013176745","14013176745")</f>
      </nc>
    </rcc>
    <rcc rId="0" sId="2">
      <nc r="B993">
        <f>HYPERLINK("https://hsdes.intel.com/resource/14013176752","14013176752")</f>
      </nc>
    </rcc>
    <rcc rId="0" sId="2">
      <nc r="B994">
        <f>HYPERLINK("https://hsdes.intel.com/resource/14013176782","14013176782")</f>
      </nc>
    </rcc>
    <rcc rId="0" sId="2">
      <nc r="B995">
        <f>HYPERLINK("https://hsdes.intel.com/resource/14013176807","14013176807")</f>
      </nc>
    </rcc>
    <rcc rId="0" sId="2">
      <nc r="B996">
        <f>HYPERLINK("https://hsdes.intel.com/resource/14013176813","14013176813")</f>
      </nc>
    </rcc>
    <rcc rId="0" sId="2">
      <nc r="B997">
        <f>HYPERLINK("https://hsdes.intel.com/resource/14013176851","14013176851")</f>
      </nc>
    </rcc>
    <rcc rId="0" sId="2">
      <nc r="B998">
        <f>HYPERLINK("https://hsdes.intel.com/resource/14013176879","14013176879")</f>
      </nc>
    </rcc>
    <rcc rId="0" sId="2">
      <nc r="B999">
        <f>HYPERLINK("https://hsdes.intel.com/resource/14013176882","14013176882")</f>
      </nc>
    </rcc>
    <rcc rId="0" sId="2">
      <nc r="B1000">
        <f>HYPERLINK("https://hsdes.intel.com/resource/14013176896","14013176896")</f>
      </nc>
    </rcc>
    <rcc rId="0" sId="2">
      <nc r="B1001">
        <f>HYPERLINK("https://hsdes.intel.com/resource/14013176898","14013176898")</f>
      </nc>
    </rcc>
    <rcc rId="0" sId="2">
      <nc r="B1002">
        <f>HYPERLINK("https://hsdes.intel.com/resource/14013176901","14013176901")</f>
      </nc>
    </rcc>
    <rcc rId="0" sId="2">
      <nc r="B1003">
        <f>HYPERLINK("https://hsdes.intel.com/resource/14013176907","14013176907")</f>
      </nc>
    </rcc>
    <rcc rId="0" sId="2">
      <nc r="B1004">
        <f>HYPERLINK("https://hsdes.intel.com/resource/14013176909","14013176909")</f>
      </nc>
    </rcc>
    <rcc rId="0" sId="2">
      <nc r="B1005">
        <f>HYPERLINK("https://hsdes.intel.com/resource/14013176960","14013176960")</f>
      </nc>
    </rcc>
    <rcc rId="0" sId="2">
      <nc r="B1006">
        <f>HYPERLINK("https://hsdes.intel.com/resource/14013176978","14013176978")</f>
      </nc>
    </rcc>
    <rcc rId="0" sId="2">
      <nc r="B1007">
        <f>HYPERLINK("https://hsdes.intel.com/resource/14013177001","14013177001")</f>
      </nc>
    </rcc>
    <rcc rId="0" sId="2">
      <nc r="B1008">
        <f>HYPERLINK("https://hsdes.intel.com/resource/14013177010","14013177010")</f>
      </nc>
    </rcc>
    <rcc rId="0" sId="2">
      <nc r="B1009">
        <f>HYPERLINK("https://hsdes.intel.com/resource/14013177012","14013177012")</f>
      </nc>
    </rcc>
    <rcc rId="0" sId="2" dxf="1">
      <nc r="B1010">
        <f>HYPERLINK("https://hsdes.intel.com/resource/14013177040","14013177040")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11">
        <f>HYPERLINK("https://hsdes.intel.com/resource/14013177044","14013177044")</f>
      </nc>
    </rcc>
    <rcc rId="0" sId="2">
      <nc r="B1012">
        <f>HYPERLINK("https://hsdes.intel.com/resource/14013177048","14013177048")</f>
      </nc>
    </rcc>
    <rcc rId="0" sId="2">
      <nc r="B1013">
        <f>HYPERLINK("https://hsdes.intel.com/resource/14013177055","14013177055")</f>
      </nc>
    </rcc>
    <rcc rId="0" sId="2">
      <nc r="B1014">
        <f>HYPERLINK("https://hsdes.intel.com/resource/14013177122","14013177122")</f>
      </nc>
    </rcc>
    <rcc rId="0" sId="2">
      <nc r="B1015">
        <f>HYPERLINK("https://hsdes.intel.com/resource/14013177245","14013177245")</f>
      </nc>
    </rcc>
    <rcc rId="0" sId="2">
      <nc r="B1016">
        <f>HYPERLINK("https://hsdes.intel.com/resource/14013177326","14013177326")</f>
      </nc>
    </rcc>
    <rcc rId="0" sId="2">
      <nc r="B1017">
        <f>HYPERLINK("https://hsdes.intel.com/resource/14013177328","14013177328")</f>
      </nc>
    </rcc>
    <rcc rId="0" sId="2">
      <nc r="B1018">
        <f>HYPERLINK("https://hsdes.intel.com/resource/14013177386","14013177386")</f>
      </nc>
    </rcc>
    <rcc rId="0" sId="2">
      <nc r="B1019">
        <f>HYPERLINK("https://hsdes.intel.com/resource/14013177627","14013177627")</f>
      </nc>
    </rcc>
    <rcc rId="0" sId="2">
      <nc r="B1020">
        <f>HYPERLINK("https://hsdes.intel.com/resource/14013177684","14013177684")</f>
      </nc>
    </rcc>
    <rcc rId="0" sId="2">
      <nc r="B1021">
        <f>HYPERLINK("https://hsdes.intel.com/resource/14013177730","14013177730")</f>
      </nc>
    </rcc>
    <rcc rId="0" sId="2">
      <nc r="B1022">
        <f>HYPERLINK("https://hsdes.intel.com/resource/14013177780","14013177780")</f>
      </nc>
    </rcc>
    <rcc rId="0" sId="2">
      <nc r="B1023">
        <f>HYPERLINK("https://hsdes.intel.com/resource/14013177804","14013177804")</f>
      </nc>
    </rcc>
    <rcc rId="0" sId="2">
      <nc r="B1024">
        <f>HYPERLINK("https://hsdes.intel.com/resource/14013177806","14013177806")</f>
      </nc>
    </rcc>
    <rcc rId="0" sId="2">
      <nc r="B1025">
        <f>HYPERLINK("https://hsdes.intel.com/resource/14013177808","14013177808")</f>
      </nc>
    </rcc>
    <rcc rId="0" sId="2">
      <nc r="B1026">
        <f>HYPERLINK("https://hsdes.intel.com/resource/14013177811","14013177811")</f>
      </nc>
    </rcc>
    <rcc rId="0" sId="2">
      <nc r="B1027">
        <f>HYPERLINK("https://hsdes.intel.com/resource/14013177813","14013177813")</f>
      </nc>
    </rcc>
    <rcc rId="0" sId="2">
      <nc r="B1028">
        <f>HYPERLINK("https://hsdes.intel.com/resource/14013177820","14013177820")</f>
      </nc>
    </rcc>
    <rcc rId="0" sId="2">
      <nc r="B1029">
        <f>HYPERLINK("https://hsdes.intel.com/resource/14013177822","14013177822")</f>
      </nc>
    </rcc>
    <rcc rId="0" sId="2">
      <nc r="B1030">
        <f>HYPERLINK("https://hsdes.intel.com/resource/14013177838","14013177838")</f>
      </nc>
    </rcc>
    <rcc rId="0" sId="2">
      <nc r="B1031">
        <f>HYPERLINK("https://hsdes.intel.com/resource/14013177842","14013177842")</f>
      </nc>
    </rcc>
    <rcc rId="0" sId="2">
      <nc r="B1032">
        <f>HYPERLINK("https://hsdes.intel.com/resource/14013177862","14013177862")</f>
      </nc>
    </rcc>
    <rcc rId="0" sId="2">
      <nc r="B1033">
        <f>HYPERLINK("https://hsdes.intel.com/resource/14013177873","14013177873")</f>
      </nc>
    </rcc>
    <rcc rId="0" sId="2">
      <nc r="B1034">
        <f>HYPERLINK("https://hsdes.intel.com/resource/14013177887","14013177887")</f>
      </nc>
    </rcc>
    <rcc rId="0" sId="2">
      <nc r="B1035">
        <f>HYPERLINK("https://hsdes.intel.com/resource/14013177905","14013177905")</f>
      </nc>
    </rcc>
    <rcc rId="0" sId="2">
      <nc r="B1036">
        <f>HYPERLINK("https://hsdes.intel.com/resource/14013177912","14013177912")</f>
      </nc>
    </rcc>
    <rcc rId="0" sId="2">
      <nc r="B1037">
        <f>HYPERLINK("https://hsdes.intel.com/resource/14013177951","14013177951")</f>
      </nc>
    </rcc>
    <rcc rId="0" sId="2">
      <nc r="B1038">
        <f>HYPERLINK("https://hsdes.intel.com/resource/14013178016","14013178016")</f>
      </nc>
    </rcc>
    <rcc rId="0" sId="2">
      <nc r="B1039">
        <f>HYPERLINK("https://hsdes.intel.com/resource/14013178034","14013178034")</f>
      </nc>
    </rcc>
    <rcc rId="0" sId="2">
      <nc r="B1040">
        <f>HYPERLINK("https://hsdes.intel.com/resource/14013178043","14013178043")</f>
      </nc>
    </rcc>
    <rcc rId="0" sId="2">
      <nc r="B1041">
        <f>HYPERLINK("https://hsdes.intel.com/resource/14013178072","14013178072")</f>
      </nc>
    </rcc>
    <rcc rId="0" sId="2">
      <nc r="B1042">
        <f>HYPERLINK("https://hsdes.intel.com/resource/14013178162","14013178162")</f>
      </nc>
    </rcc>
    <rcc rId="0" sId="2">
      <nc r="B1043">
        <f>HYPERLINK("https://hsdes.intel.com/resource/14013178197","14013178197")</f>
      </nc>
    </rcc>
    <rcc rId="0" sId="2">
      <nc r="B1044">
        <f>HYPERLINK("https://hsdes.intel.com/resource/14013178206","14013178206")</f>
      </nc>
    </rcc>
    <rcc rId="0" sId="2">
      <nc r="B1045">
        <f>HYPERLINK("https://hsdes.intel.com/resource/14013178209","14013178209")</f>
      </nc>
    </rcc>
    <rcc rId="0" sId="2">
      <nc r="B1046">
        <f>HYPERLINK("https://hsdes.intel.com/resource/14013178238","14013178238")</f>
      </nc>
    </rcc>
    <rcc rId="0" sId="2">
      <nc r="B1047">
        <f>HYPERLINK("https://hsdes.intel.com/resource/14013178242","14013178242")</f>
      </nc>
    </rcc>
    <rcc rId="0" sId="2">
      <nc r="B1048">
        <f>HYPERLINK("https://hsdes.intel.com/resource/14013178267","14013178267")</f>
      </nc>
    </rcc>
    <rcc rId="0" sId="2">
      <nc r="B1049">
        <f>HYPERLINK("https://hsdes.intel.com/resource/14013178278","14013178278")</f>
      </nc>
    </rcc>
    <rcc rId="0" sId="2">
      <nc r="B1050">
        <f>HYPERLINK("https://hsdes.intel.com/resource/14013178302","14013178302")</f>
      </nc>
    </rcc>
    <rcc rId="0" sId="2">
      <nc r="B1051">
        <f>HYPERLINK("https://hsdes.intel.com/resource/14013178315","14013178315")</f>
      </nc>
    </rcc>
    <rcc rId="0" sId="2">
      <nc r="B1052">
        <f>HYPERLINK("https://hsdes.intel.com/resource/14013178333","14013178333")</f>
      </nc>
    </rcc>
    <rcc rId="0" sId="2">
      <nc r="B1053">
        <f>HYPERLINK("https://hsdes.intel.com/resource/14013178349","14013178349")</f>
      </nc>
    </rcc>
    <rcc rId="0" sId="2">
      <nc r="B1054">
        <f>HYPERLINK("https://hsdes.intel.com/resource/14013178354","14013178354")</f>
      </nc>
    </rcc>
    <rcc rId="0" sId="2">
      <nc r="B1055">
        <f>HYPERLINK("https://hsdes.intel.com/resource/14013178355","14013178355")</f>
      </nc>
    </rcc>
    <rcc rId="0" sId="2">
      <nc r="B1056">
        <f>HYPERLINK("https://hsdes.intel.com/resource/14013178358","14013178358")</f>
      </nc>
    </rcc>
    <rcc rId="0" sId="2">
      <nc r="B1057">
        <f>HYPERLINK("https://hsdes.intel.com/resource/14013178394","14013178394")</f>
      </nc>
    </rcc>
    <rcc rId="0" sId="2">
      <nc r="B1058">
        <f>HYPERLINK("https://hsdes.intel.com/resource/14013178491","14013178491")</f>
      </nc>
    </rcc>
    <rcc rId="0" sId="2">
      <nc r="B1059">
        <f>HYPERLINK("https://hsdes.intel.com/resource/14013178746","14013178746")</f>
      </nc>
    </rcc>
    <rcc rId="0" sId="2">
      <nc r="B1060">
        <f>HYPERLINK("https://hsdes.intel.com/resource/14013178749","14013178749")</f>
      </nc>
    </rcc>
    <rcc rId="0" sId="2">
      <nc r="B1061">
        <f>HYPERLINK("https://hsdes.intel.com/resource/14013178755","14013178755")</f>
      </nc>
    </rcc>
    <rcc rId="0" sId="2">
      <nc r="B1062">
        <f>HYPERLINK("https://hsdes.intel.com/resource/14013178760","14013178760")</f>
      </nc>
    </rcc>
    <rcc rId="0" sId="2">
      <nc r="B1063">
        <f>HYPERLINK("https://hsdes.intel.com/resource/14013178799","14013178799")</f>
      </nc>
    </rcc>
    <rcc rId="0" sId="2">
      <nc r="B1064">
        <f>HYPERLINK("https://hsdes.intel.com/resource/14013178831","14013178831")</f>
      </nc>
    </rcc>
    <rcc rId="0" sId="2">
      <nc r="B1065">
        <f>HYPERLINK("https://hsdes.intel.com/resource/14013178866","14013178866")</f>
      </nc>
    </rcc>
    <rcc rId="0" sId="2">
      <nc r="B1066">
        <f>HYPERLINK("https://hsdes.intel.com/resource/14013178883","14013178883")</f>
      </nc>
    </rcc>
    <rcc rId="0" sId="2">
      <nc r="B1067">
        <f>HYPERLINK("https://hsdes.intel.com/resource/14013178885","14013178885")</f>
      </nc>
    </rcc>
    <rcc rId="0" sId="2" dxf="1">
      <nc r="B1068">
        <f>HYPERLINK("https://hsdes.intel.com/resource/14013178901","14013178901")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69">
        <f>HYPERLINK("https://hsdes.intel.com/resource/14013178908","14013178908")</f>
      </nc>
    </rcc>
    <rcc rId="0" sId="2">
      <nc r="B1070">
        <f>HYPERLINK("https://hsdes.intel.com/resource/14013178916","14013178916")</f>
      </nc>
    </rcc>
    <rcc rId="0" sId="2">
      <nc r="B1071">
        <f>HYPERLINK("https://hsdes.intel.com/resource/14013178922","14013178922")</f>
      </nc>
    </rcc>
    <rcc rId="0" sId="2">
      <nc r="B1072">
        <f>HYPERLINK("https://hsdes.intel.com/resource/14013178927","14013178927")</f>
      </nc>
    </rcc>
    <rcc rId="0" sId="2">
      <nc r="B1073">
        <f>HYPERLINK("https://hsdes.intel.com/resource/14013178949","14013178949")</f>
      </nc>
    </rcc>
    <rcc rId="0" sId="2">
      <nc r="B1074">
        <f>HYPERLINK("https://hsdes.intel.com/resource/14013178954","14013178954")</f>
      </nc>
    </rcc>
    <rcc rId="0" sId="2">
      <nc r="B1075">
        <f>HYPERLINK("https://hsdes.intel.com/resource/14013178960","14013178960")</f>
      </nc>
    </rcc>
    <rcc rId="0" sId="2">
      <nc r="B1076">
        <f>HYPERLINK("https://hsdes.intel.com/resource/14013178963","14013178963")</f>
      </nc>
    </rcc>
    <rcc rId="0" sId="2">
      <nc r="B1077">
        <f>HYPERLINK("https://hsdes.intel.com/resource/14013179007","14013179007")</f>
      </nc>
    </rcc>
    <rcc rId="0" sId="2">
      <nc r="B1078">
        <f>HYPERLINK("https://hsdes.intel.com/resource/14013179011","14013179011")</f>
      </nc>
    </rcc>
    <rcc rId="0" sId="2">
      <nc r="B1079">
        <f>HYPERLINK("https://hsdes.intel.com/resource/14013179039","14013179039")</f>
      </nc>
    </rcc>
    <rcc rId="0" sId="2">
      <nc r="B1080">
        <f>HYPERLINK("https://hsdes.intel.com/resource/14013179044","14013179044")</f>
      </nc>
    </rcc>
    <rcc rId="0" sId="2">
      <nc r="B1081">
        <f>HYPERLINK("https://hsdes.intel.com/resource/14013179046","14013179046")</f>
      </nc>
    </rcc>
    <rcc rId="0" sId="2">
      <nc r="B1082">
        <f>HYPERLINK("https://hsdes.intel.com/resource/14013179066","14013179066")</f>
      </nc>
    </rcc>
    <rcc rId="0" sId="2">
      <nc r="B1083">
        <f>HYPERLINK("https://hsdes.intel.com/resource/14013179076","14013179076")</f>
      </nc>
    </rcc>
    <rcc rId="0" sId="2">
      <nc r="B1084">
        <f>HYPERLINK("https://hsdes.intel.com/resource/14013179078","14013179078")</f>
      </nc>
    </rcc>
    <rcc rId="0" sId="2">
      <nc r="B1085">
        <f>HYPERLINK("https://hsdes.intel.com/resource/14013179082","14013179082")</f>
      </nc>
    </rcc>
    <rcc rId="0" sId="2">
      <nc r="B1086">
        <f>HYPERLINK("https://hsdes.intel.com/resource/14013179088","14013179088")</f>
      </nc>
    </rcc>
    <rcc rId="0" sId="2">
      <nc r="B1087">
        <f>HYPERLINK("https://hsdes.intel.com/resource/14013179099","14013179099")</f>
      </nc>
    </rcc>
    <rcc rId="0" sId="2">
      <nc r="B1088">
        <f>HYPERLINK("https://hsdes.intel.com/resource/14013179126","14013179126")</f>
      </nc>
    </rcc>
    <rcc rId="0" sId="2">
      <nc r="B1089">
        <f>HYPERLINK("https://hsdes.intel.com/resource/14013179135","14013179135")</f>
      </nc>
    </rcc>
    <rcc rId="0" sId="2">
      <nc r="B1090">
        <f>HYPERLINK("https://hsdes.intel.com/resource/14013179011","14013179011")</f>
      </nc>
    </rcc>
    <rcc rId="0" sId="2">
      <nc r="B1091">
        <f>HYPERLINK("https://hsdes.intel.com/resource/14013179158","14013179158")</f>
      </nc>
    </rcc>
    <rcc rId="0" sId="2">
      <nc r="B1092">
        <f>HYPERLINK("https://hsdes.intel.com/resource/14013179160","14013179160")</f>
      </nc>
    </rcc>
    <rcc rId="0" sId="2">
      <nc r="B1093">
        <f>HYPERLINK("https://hsdes.intel.com/resource/14013179182","14013179182")</f>
      </nc>
    </rcc>
    <rcc rId="0" sId="2">
      <nc r="B1094">
        <f>HYPERLINK("https://hsdes.intel.com/resource/14013179187","14013179187")</f>
      </nc>
    </rcc>
    <rcc rId="0" sId="2">
      <nc r="B1095">
        <f>HYPERLINK("https://hsdes.intel.com/resource/14013179188","14013179188")</f>
      </nc>
    </rcc>
    <rcc rId="0" sId="2">
      <nc r="B1096">
        <f>HYPERLINK("https://hsdes.intel.com/resource/14013179190","14013179190")</f>
      </nc>
    </rcc>
    <rcc rId="0" sId="2">
      <nc r="B1097">
        <f>HYPERLINK("https://hsdes.intel.com/resource/14013179192","14013179192")</f>
      </nc>
    </rcc>
    <rcc rId="0" sId="2">
      <nc r="B1098">
        <f>HYPERLINK("https://hsdes.intel.com/resource/14013179194","14013179194")</f>
      </nc>
    </rcc>
    <rcc rId="0" sId="2">
      <nc r="B1099">
        <f>HYPERLINK("https://hsdes.intel.com/resource/14013179201","14013179201")</f>
      </nc>
    </rcc>
    <rcc rId="0" sId="2">
      <nc r="B1100">
        <f>HYPERLINK("https://hsdes.intel.com/resource/14013179352","14013179352")</f>
      </nc>
    </rcc>
    <rcc rId="0" sId="2">
      <nc r="B1101">
        <f>HYPERLINK("https://hsdes.intel.com/resource/14013179362","14013179362")</f>
      </nc>
    </rcc>
    <rcc rId="0" sId="2">
      <nc r="B1102">
        <f>HYPERLINK("https://hsdes.intel.com/resource/14013179366","14013179366")</f>
      </nc>
    </rcc>
    <rcc rId="0" sId="2">
      <nc r="B1103">
        <f>HYPERLINK("https://hsdes.intel.com/resource/14013179370","14013179370")</f>
      </nc>
    </rcc>
    <rcc rId="0" sId="2">
      <nc r="B1104">
        <f>HYPERLINK("https://hsdes.intel.com/resource/14013179385","14013179385")</f>
      </nc>
    </rcc>
    <rcc rId="0" sId="2">
      <nc r="B1105">
        <f>HYPERLINK("https://hsdes.intel.com/resource/14013179407","14013179407")</f>
      </nc>
    </rcc>
    <rcc rId="0" sId="2">
      <nc r="B1106">
        <f>HYPERLINK("https://hsdes.intel.com/resource/14013179427","14013179427")</f>
      </nc>
    </rcc>
    <rcc rId="0" sId="2">
      <nc r="B1107">
        <f>HYPERLINK("https://hsdes.intel.com/resource/14013179431","14013179431")</f>
      </nc>
    </rcc>
    <rcc rId="0" sId="2">
      <nc r="B1108">
        <f>HYPERLINK("https://hsdes.intel.com/resource/14013179580","14013179580")</f>
      </nc>
    </rcc>
    <rcc rId="0" sId="2">
      <nc r="B1109">
        <f>HYPERLINK("https://hsdes.intel.com/resource/14013179691","14013179691")</f>
      </nc>
    </rcc>
    <rcc rId="0" sId="2">
      <nc r="B1110">
        <f>HYPERLINK("https://hsdes.intel.com/resource/14013179692","14013179692")</f>
      </nc>
    </rcc>
    <rcc rId="0" sId="2">
      <nc r="B1111">
        <f>HYPERLINK("https://hsdes.intel.com/resource/14013179698","14013179698")</f>
      </nc>
    </rcc>
    <rcc rId="0" sId="2">
      <nc r="B1112">
        <f>HYPERLINK("https://hsdes.intel.com/resource/14013179754","14013179754")</f>
      </nc>
    </rcc>
    <rcc rId="0" sId="2">
      <nc r="B1113">
        <f>HYPERLINK("https://hsdes.intel.com/resource/14013179861","14013179861")</f>
      </nc>
    </rcc>
    <rcc rId="0" sId="2">
      <nc r="B1114">
        <f>HYPERLINK("https://hsdes.intel.com/resource/14013179902","14013179902")</f>
      </nc>
    </rcc>
    <rcc rId="0" sId="2">
      <nc r="B1115">
        <f>HYPERLINK("https://hsdes.intel.com/resource/14013179993","14013179993")</f>
      </nc>
    </rcc>
    <rcc rId="0" sId="2">
      <nc r="B1116">
        <f>HYPERLINK("https://hsdes.intel.com/resource/14013179998","14013179998")</f>
      </nc>
    </rcc>
    <rcc rId="0" sId="2">
      <nc r="B1117">
        <f>HYPERLINK("https://hsdes.intel.com/resource/14013180187","14013180187")</f>
      </nc>
    </rcc>
    <rcc rId="0" sId="2">
      <nc r="B1118">
        <f>HYPERLINK("https://hsdes.intel.com/resource/14013180190","14013180190")</f>
      </nc>
    </rcc>
    <rcc rId="0" sId="2">
      <nc r="B1119">
        <f>HYPERLINK("https://hsdes.intel.com/resource/14013180191","14013180191")</f>
      </nc>
    </rcc>
    <rcc rId="0" sId="2">
      <nc r="B1120">
        <f>HYPERLINK("https://hsdes.intel.com/resource/14013180193","14013180193")</f>
      </nc>
    </rcc>
    <rcc rId="0" sId="2">
      <nc r="B1121">
        <f>HYPERLINK("https://hsdes.intel.com/resource/14013180197","14013180197")</f>
      </nc>
    </rcc>
    <rcc rId="0" sId="2">
      <nc r="B1122">
        <f>HYPERLINK("https://hsdes.intel.com/resource/14013180214","14013180214")</f>
      </nc>
    </rcc>
    <rcc rId="0" sId="2">
      <nc r="B1123">
        <f>HYPERLINK("https://hsdes.intel.com/resource/14013180217","14013180217")</f>
      </nc>
    </rcc>
    <rcc rId="0" sId="2">
      <nc r="B1124">
        <f>HYPERLINK("https://hsdes.intel.com/resource/14013180228","14013180228")</f>
      </nc>
    </rcc>
    <rcc rId="0" sId="2">
      <nc r="B1125">
        <f>HYPERLINK("https://hsdes.intel.com/resource/14013180236","14013180236")</f>
      </nc>
    </rcc>
    <rcc rId="0" sId="2">
      <nc r="B1126">
        <f>HYPERLINK("https://hsdes.intel.com/resource/14013180239","14013180239")</f>
      </nc>
    </rcc>
    <rcc rId="0" sId="2">
      <nc r="B1127">
        <f>HYPERLINK("https://hsdes.intel.com/resource/14013180248","14013180248")</f>
      </nc>
    </rcc>
    <rcc rId="0" sId="2">
      <nc r="B1128">
        <f>HYPERLINK("https://hsdes.intel.com/resource/14013180286","14013180286")</f>
      </nc>
    </rcc>
    <rcc rId="0" sId="2">
      <nc r="B1129">
        <f>HYPERLINK("https://hsdes.intel.com/resource/14013180355","14013180355")</f>
      </nc>
    </rcc>
    <rcc rId="0" sId="2">
      <nc r="B1130">
        <f>HYPERLINK("https://hsdes.intel.com/resource/14013184048","14013184048")</f>
      </nc>
    </rcc>
    <rcc rId="0" sId="2">
      <nc r="B1131">
        <f>HYPERLINK("https://hsdes.intel.com/resource/14013184052","14013184052")</f>
      </nc>
    </rcc>
    <rcc rId="0" sId="2">
      <nc r="B1132">
        <f>HYPERLINK("https://hsdes.intel.com/resource/14013184070","14013184070")</f>
      </nc>
    </rcc>
    <rcc rId="0" sId="2">
      <nc r="B1133">
        <f>HYPERLINK("https://hsdes.intel.com/resource/14013184074","14013184074")</f>
      </nc>
    </rcc>
    <rcc rId="0" sId="2">
      <nc r="B1134">
        <f>HYPERLINK("https://hsdes.intel.com/resource/14013184079","14013184079")</f>
      </nc>
    </rcc>
    <rcc rId="0" sId="2">
      <nc r="B1135">
        <f>HYPERLINK("https://hsdes.intel.com/resource/14013184081","14013184081")</f>
      </nc>
    </rcc>
    <rcc rId="0" sId="2">
      <nc r="B1136">
        <f>HYPERLINK("https://hsdes.intel.com/resource/14013184549","14013184549")</f>
      </nc>
    </rcc>
    <rcc rId="0" sId="2">
      <nc r="B1137">
        <f>HYPERLINK("https://hsdes.intel.com/resource/14013184882","14013184882")</f>
      </nc>
    </rcc>
    <rcc rId="0" sId="2">
      <nc r="B1138">
        <f>HYPERLINK("https://hsdes.intel.com/resource/14013184884","14013184884")</f>
      </nc>
    </rcc>
    <rcc rId="0" sId="2">
      <nc r="B1139">
        <f>HYPERLINK("https://hsdes.intel.com/resource/14013184885","14013184885")</f>
      </nc>
    </rcc>
    <rcc rId="0" sId="2">
      <nc r="B1140">
        <f>HYPERLINK("https://hsdes.intel.com/resource/14013184886","14013184886")</f>
      </nc>
    </rcc>
    <rcc rId="0" sId="2">
      <nc r="B1141">
        <f>HYPERLINK("https://hsdes.intel.com/resource/14013184965","14013184965")</f>
      </nc>
    </rcc>
    <rcc rId="0" sId="2">
      <nc r="B1142">
        <f>HYPERLINK("https://hsdes.intel.com/resource/14013185088","14013185088")</f>
      </nc>
    </rcc>
    <rcc rId="0" sId="2">
      <nc r="B1143">
        <f>HYPERLINK("https://hsdes.intel.com/resource/14013185094","14013185094")</f>
      </nc>
    </rcc>
    <rcc rId="0" sId="2">
      <nc r="B1144">
        <f>HYPERLINK("https://hsdes.intel.com/resource/14013185096","14013185096")</f>
      </nc>
    </rcc>
    <rcc rId="0" sId="2">
      <nc r="B1145">
        <f>HYPERLINK("https://hsdes.intel.com/resource/14013185098","14013185098")</f>
      </nc>
    </rcc>
    <rcc rId="0" sId="2">
      <nc r="B1146">
        <f>HYPERLINK("https://hsdes.intel.com/resource/14013185100","14013185100")</f>
      </nc>
    </rcc>
    <rcc rId="0" sId="2">
      <nc r="B1147">
        <f>HYPERLINK("https://hsdes.intel.com/resource/14013185197","14013185197")</f>
      </nc>
    </rcc>
    <rcc rId="0" sId="2">
      <nc r="B1148">
        <f>HYPERLINK("https://hsdes.intel.com/resource/14013185495","14013185495")</f>
      </nc>
    </rcc>
    <rcc rId="0" sId="2">
      <nc r="B1149">
        <f>HYPERLINK("https://hsdes.intel.com/resource/14013185512","14013185512")</f>
      </nc>
    </rcc>
    <rcc rId="0" sId="2">
      <nc r="B1150">
        <f>HYPERLINK("https://hsdes.intel.com/resource/14013185587","14013185587")</f>
      </nc>
    </rcc>
    <rcc rId="0" sId="2">
      <nc r="B1151">
        <f>HYPERLINK("https://hsdes.intel.com/resource/14013185636","14013185636")</f>
      </nc>
    </rcc>
    <rcc rId="0" sId="2">
      <nc r="B1152">
        <f>HYPERLINK("https://hsdes.intel.com/resource/14013185653","14013185653")</f>
      </nc>
    </rcc>
    <rcc rId="0" sId="2">
      <nc r="B1153">
        <f>HYPERLINK("https://hsdes.intel.com/resource/14013185659","14013185659")</f>
      </nc>
    </rcc>
    <rcc rId="0" sId="2">
      <nc r="B1154">
        <f>HYPERLINK("https://hsdes.intel.com/resource/14013185661","14013185661")</f>
      </nc>
    </rcc>
    <rcc rId="0" sId="2">
      <nc r="B1155">
        <f>HYPERLINK("https://hsdes.intel.com/resource/14013185672","14013185672")</f>
      </nc>
    </rcc>
    <rcc rId="0" sId="2">
      <nc r="B1156">
        <f>HYPERLINK("https://hsdes.intel.com/resource/14013185674","14013185674")</f>
      </nc>
    </rcc>
    <rcc rId="0" sId="2">
      <nc r="B1157">
        <f>HYPERLINK("https://hsdes.intel.com/resource/14013185716","14013185716")</f>
      </nc>
    </rcc>
    <rcc rId="0" sId="2" dxf="1">
      <nc r="B1158">
        <v>14013185802</v>
      </nc>
      <ndxf>
        <font>
          <sz val="9"/>
          <color rgb="FF5B5FC7"/>
          <name val="Segoe UI"/>
          <family val="2"/>
          <scheme val="none"/>
        </font>
        <alignment vertical="center"/>
        <border outline="0">
          <left style="medium">
            <color rgb="FFD1D1D1"/>
          </left>
          <right style="medium">
            <color rgb="FFD1D1D1"/>
          </right>
          <top style="medium">
            <color rgb="FFD1D1D1"/>
          </top>
          <bottom style="medium">
            <color rgb="FFD1D1D1"/>
          </bottom>
        </border>
      </ndxf>
    </rcc>
    <rcc rId="0" sId="2">
      <nc r="B1159">
        <f>HYPERLINK("https://hsdes.intel.com/resource/14013185848","14013185848")</f>
      </nc>
    </rcc>
    <rcc rId="0" sId="2">
      <nc r="B1160">
        <f>HYPERLINK("https://hsdes.intel.com/resource/14013188164","14013188164")</f>
      </nc>
    </rcc>
    <rcc rId="0" sId="2">
      <nc r="B1161">
        <f>HYPERLINK("https://hsdes.intel.com/resource/16012598575","16012598575")</f>
      </nc>
    </rcc>
    <rcc rId="0" sId="2">
      <nc r="B1162">
        <f>HYPERLINK("https://hsdes.intel.com/resource/16012652787","16012652787")</f>
      </nc>
    </rcc>
    <rcc rId="0" sId="2">
      <nc r="B1163">
        <f>HYPERLINK("https://hsdes.intel.com/resource/16012796102","16012796102")</f>
      </nc>
    </rcc>
    <rcc rId="0" sId="2">
      <nc r="B1164">
        <f>HYPERLINK("https://hsdes.intel.com/resource/16012845469","16012845469")</f>
      </nc>
    </rcc>
    <rcc rId="0" sId="2">
      <nc r="B1165">
        <f>HYPERLINK("https://hsdes.intel.com/resource/16012878689","16012878689")</f>
      </nc>
    </rcc>
    <rcc rId="0" sId="2">
      <nc r="B1166">
        <f>HYPERLINK("https://hsdes.intel.com/resource/16013020534","16013020534")</f>
      </nc>
    </rcc>
    <rcc rId="0" sId="2">
      <nc r="B1167">
        <f>HYPERLINK("https://hsdes.intel.com/resource/16013029245","16013029245")</f>
      </nc>
    </rcc>
    <rcc rId="0" sId="2">
      <nc r="B1168">
        <f>HYPERLINK("https://hsdes.intel.com/resource/16013044817","16013044817")</f>
      </nc>
    </rcc>
    <rcc rId="0" sId="2">
      <nc r="B1169">
        <f>HYPERLINK("https://hsdes.intel.com/resource/16013162806","16013162806")</f>
      </nc>
    </rcc>
    <rcc rId="0" sId="2">
      <nc r="B1170">
        <f>HYPERLINK("https://hsdes.intel.com/resource/16013169992","16013169992")</f>
      </nc>
    </rcc>
    <rcc rId="0" sId="2">
      <nc r="B1171">
        <f>HYPERLINK("https://hsdes.intel.com/resource/16013177946","16013177946")</f>
      </nc>
    </rcc>
    <rcc rId="0" sId="2">
      <nc r="B1172">
        <f>HYPERLINK("https://hsdes.intel.com/resource/16013178306","16013178306")</f>
      </nc>
    </rcc>
    <rcc rId="0" sId="2">
      <nc r="B1173">
        <f>HYPERLINK("https://hsdes.intel.com/resource/16013185250","16013185250")</f>
      </nc>
    </rcc>
    <rcc rId="0" sId="2">
      <nc r="B1174">
        <f>HYPERLINK("https://hsdes.intel.com/resource/16013191780","16013191780")</f>
      </nc>
    </rcc>
    <rcc rId="0" sId="2">
      <nc r="B1175">
        <f>HYPERLINK("https://hsdes.intel.com/resource/16013191789","16013191789")</f>
      </nc>
    </rcc>
    <rcc rId="0" sId="2">
      <nc r="B1176">
        <f>HYPERLINK("https://hsdes.intel.com/resource/16013240669","16013240669")</f>
      </nc>
    </rcc>
    <rcc rId="0" sId="2">
      <nc r="B1177">
        <f>HYPERLINK("https://hsdes.intel.com/resource/16013241572","16013241572")</f>
      </nc>
    </rcc>
    <rcc rId="0" sId="2">
      <nc r="B1178">
        <f>HYPERLINK("https://hsdes.intel.com/resource/16013286725","16013286725")</f>
      </nc>
    </rcc>
    <rcc rId="0" sId="2">
      <nc r="B1179">
        <f>HYPERLINK("https://hsdes.intel.com/resource/16013286895","16013286895")</f>
      </nc>
    </rcc>
    <rcc rId="0" sId="2" dxf="1">
      <nc r="B1180">
        <f>HYPERLINK("https://hsdes.intel.com/resource/16013287117","16013287117")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81">
        <f>HYPERLINK("https://hsdes.intel.com/resource/16013305578","16013305578")</f>
      </nc>
    </rcc>
    <rcc rId="0" sId="2">
      <nc r="B1182">
        <f>HYPERLINK("https://hsdes.intel.com/resource/16013626053","16013626053")</f>
      </nc>
    </rcc>
    <rcc rId="0" sId="2">
      <nc r="B1183">
        <f>HYPERLINK("https://hsdes.intel.com/resource/16013691380","16013691380")</f>
      </nc>
    </rcc>
    <rcc rId="0" sId="2">
      <nc r="B1184">
        <f>HYPERLINK("https://hsdes.intel.com/resource/16013696484","16013696484")</f>
      </nc>
    </rcc>
    <rcc rId="0" sId="2">
      <nc r="B1185">
        <f>HYPERLINK("https://hsdes.intel.com/resource/16013697915","16013697915")</f>
      </nc>
    </rcc>
    <rcc rId="0" sId="2">
      <nc r="B1186">
        <f>HYPERLINK("https://hsdes.intel.com/resource/16013698260","16013698260")</f>
      </nc>
    </rcc>
    <rcc rId="0" sId="2">
      <nc r="B1187">
        <f>HYPERLINK("https://hsdes.intel.com/resource/16013699710","16013699710")</f>
      </nc>
    </rcc>
    <rcc rId="0" sId="2">
      <nc r="B1188">
        <f>HYPERLINK("https://hsdes.intel.com/resource/16013700594","16013700594")</f>
      </nc>
    </rcc>
    <rcc rId="0" sId="2">
      <nc r="B1189">
        <f>HYPERLINK("https://hsdes.intel.com/resource/16013700981","16013700981")</f>
      </nc>
    </rcc>
    <rcc rId="0" sId="2">
      <nc r="B1190">
        <f>HYPERLINK("https://hsdes.intel.com/resource/16013701110","16013701110")</f>
      </nc>
    </rcc>
    <rcc rId="0" sId="2">
      <nc r="B1191">
        <f>HYPERLINK("https://hsdes.intel.com/resource/16013701830","16013701830")</f>
      </nc>
    </rcc>
    <rcc rId="0" sId="2">
      <nc r="B1192">
        <f>HYPERLINK("https://hsdes.intel.com/resource/16013702245","16013702245")</f>
      </nc>
    </rcc>
    <rcc rId="0" sId="2">
      <nc r="B1193">
        <f>HYPERLINK("https://hsdes.intel.com/resource/16013702337","16013702337")</f>
      </nc>
    </rcc>
    <rcc rId="0" sId="2">
      <nc r="B1194">
        <f>HYPERLINK("https://hsdes.intel.com/resource/16013702493","16013702493")</f>
      </nc>
    </rcc>
    <rcc rId="0" sId="2">
      <nc r="B1195">
        <f>HYPERLINK("https://hsdes.intel.com/resource/16013871767","16013871767")</f>
      </nc>
    </rcc>
    <rcc rId="0" sId="2">
      <nc r="B1196">
        <f>HYPERLINK("https://hsdes.intel.com/resource/16014185861","16014185861")</f>
      </nc>
    </rcc>
    <rcc rId="0" sId="2">
      <nc r="B1197">
        <f>HYPERLINK("https://hsdes.intel.com/resource/16014193686","16014193686")</f>
      </nc>
    </rcc>
    <rcc rId="0" sId="2">
      <nc r="B1198">
        <f>HYPERLINK("https://hsdes.intel.com/resource/16014193951","16014193951")</f>
      </nc>
    </rcc>
    <rcc rId="0" sId="2">
      <nc r="B1199">
        <f>HYPERLINK("https://hsdes.intel.com/resource/16014195660","16014195660")</f>
      </nc>
    </rcc>
    <rcc rId="0" sId="2">
      <nc r="B1200">
        <f>HYPERLINK("https://hsdes.intel.com/resource/16014195667","16014195667")</f>
      </nc>
    </rcc>
    <rcc rId="0" sId="2">
      <nc r="B1201">
        <f>HYPERLINK("https://hsdes.intel.com/resource/16014195680","16014195680")</f>
      </nc>
    </rcc>
    <rcc rId="0" sId="2">
      <nc r="B1202">
        <f>HYPERLINK("https://hsdes.intel.com/resource/16014195699","16014195699")</f>
      </nc>
    </rcc>
    <rcc rId="0" sId="2">
      <nc r="B1203">
        <f>HYPERLINK("https://hsdes.intel.com/resource/16014195710","16014195710")</f>
      </nc>
    </rcc>
    <rcc rId="0" sId="2">
      <nc r="B1204">
        <f>HYPERLINK("https://hsdes.intel.com/resource/16014195743","16014195743")</f>
      </nc>
    </rcc>
    <rcc rId="0" sId="2">
      <nc r="B1205">
        <f>HYPERLINK("https://hsdes.intel.com/resource/16014195796","16014195796")</f>
      </nc>
    </rcc>
    <rcc rId="0" sId="2">
      <nc r="B1206">
        <f>HYPERLINK("https://hsdes.intel.com/resource/16014195873","16014195873")</f>
      </nc>
    </rcc>
    <rcc rId="0" sId="2">
      <nc r="B1207">
        <f>HYPERLINK("https://hsdes.intel.com/resource/16014195880","16014195880")</f>
      </nc>
    </rcc>
    <rcc rId="0" sId="2">
      <nc r="B1208">
        <f>HYPERLINK("https://hsdes.intel.com/resource/16014195895","16014195895")</f>
      </nc>
    </rcc>
    <rcc rId="0" sId="2">
      <nc r="B1209">
        <f>HYPERLINK("https://hsdes.intel.com/resource/16014206075","16014206075")</f>
      </nc>
    </rcc>
    <rcc rId="0" sId="2">
      <nc r="B1210">
        <f>HYPERLINK("https://hsdes.intel.com/resource/16014206248","16014206248")</f>
      </nc>
    </rcc>
    <rcc rId="0" sId="2">
      <nc r="B1211">
        <f>HYPERLINK("https://hsdes.intel.com/resource/16014206609","16014206609")</f>
      </nc>
    </rcc>
    <rcc rId="0" sId="2">
      <nc r="B1212">
        <f>HYPERLINK("https://hsdes.intel.com/resource/16014212976","16014212976")</f>
      </nc>
    </rcc>
    <rcc rId="0" sId="2">
      <nc r="B1213">
        <f>HYPERLINK("https://hsdes.intel.com/resource/16014217885","16014217885")</f>
      </nc>
    </rcc>
    <rcc rId="0" sId="2">
      <nc r="B1214">
        <f>HYPERLINK("https://hsdes.intel.com/resource/16014218143","16014218143")</f>
      </nc>
    </rcc>
    <rcc rId="0" sId="2">
      <nc r="B1215">
        <f>HYPERLINK("https://hsdes.intel.com/resource/16014267496","16014267496")</f>
      </nc>
    </rcc>
    <rcc rId="0" sId="2">
      <nc r="B1216">
        <f>HYPERLINK("https://hsdes.intel.com/resource/16014268151","16014268151")</f>
      </nc>
    </rcc>
    <rcc rId="0" sId="2">
      <nc r="B1217">
        <f>HYPERLINK("https://hsdes.intel.com/resource/16014268343","16014268343")</f>
      </nc>
    </rcc>
    <rcc rId="0" sId="2">
      <nc r="B1218">
        <f>HYPERLINK("https://hsdes.intel.com/resource/16014268794","16014268794")</f>
      </nc>
    </rcc>
    <rcc rId="0" sId="2">
      <nc r="B1219">
        <f>HYPERLINK("https://hsdes.intel.com/resource/16014269361","16014269361")</f>
      </nc>
    </rcc>
    <rcc rId="0" sId="2">
      <nc r="B1220">
        <f>HYPERLINK("https://hsdes.intel.com/resource/16014434357","16014434357")</f>
      </nc>
    </rcc>
    <rcc rId="0" sId="2">
      <nc r="B1221">
        <f>HYPERLINK("https://hsdes.intel.com/resource/16014434758","16014434758")</f>
      </nc>
    </rcc>
    <rcc rId="0" sId="2">
      <nc r="B1222">
        <f>HYPERLINK("https://hsdes.intel.com/resource/16014452298","16014452298")</f>
      </nc>
    </rcc>
    <rcc rId="0" sId="2">
      <nc r="B1223">
        <f>HYPERLINK("https://hsdes.intel.com/resource/16014452382","16014452382")</f>
      </nc>
    </rcc>
    <rcc rId="0" sId="2">
      <nc r="B1224">
        <f>HYPERLINK("https://hsdes.intel.com/resource/16014452525","16014452525")</f>
      </nc>
    </rcc>
    <rcc rId="0" sId="2">
      <nc r="B1225">
        <f>HYPERLINK("https://hsdes.intel.com/resource/16014459216","16014459216")</f>
      </nc>
    </rcc>
    <rcc rId="0" sId="2">
      <nc r="B1226">
        <f>HYPERLINK("https://hsdes.intel.com/resource/16014459496","16014459496")</f>
      </nc>
    </rcc>
    <rcc rId="0" sId="2">
      <nc r="B1227">
        <f>HYPERLINK("https://hsdes.intel.com/resource/16014501311","16014501311")</f>
      </nc>
    </rcc>
    <rcc rId="0" sId="2">
      <nc r="B1228">
        <f>HYPERLINK("https://hsdes.intel.com/resource/16015014979","16015014979")</f>
      </nc>
    </rcc>
    <rcc rId="0" sId="2">
      <nc r="B1229">
        <f>HYPERLINK("https://hsdes.intel.com/resource/22011834241","22011834241")</f>
      </nc>
    </rcc>
    <rcc rId="0" sId="2">
      <nc r="B1230">
        <f>HYPERLINK("https://hsdes.intel.com/resource/22011834247","22011834247")</f>
      </nc>
    </rcc>
    <rcc rId="0" sId="2">
      <nc r="B1231">
        <f>HYPERLINK("https://hsdes.intel.com/resource/22011834254","22011834254")</f>
      </nc>
    </rcc>
    <rcc rId="0" sId="2">
      <nc r="B1232">
        <f>HYPERLINK("https://hsdes.intel.com/resource/22011834261","22011834261")</f>
      </nc>
    </rcc>
    <rcc rId="0" sId="2">
      <nc r="B1233">
        <f>HYPERLINK("https://hsdes.intel.com/resource/22011834267","22011834267")</f>
      </nc>
    </rcc>
    <rcc rId="0" sId="2">
      <nc r="B1234">
        <f>HYPERLINK("https://hsdes.intel.com/resource/22011834277","22011834277")</f>
      </nc>
    </rcc>
    <rcc rId="0" sId="2">
      <nc r="B1235">
        <f>HYPERLINK("https://hsdes.intel.com/resource/22011834363","22011834363")</f>
      </nc>
    </rcc>
    <rcc rId="0" sId="2">
      <nc r="B1236">
        <f>HYPERLINK("https://hsdes.intel.com/resource/22011834371","22011834371")</f>
      </nc>
    </rcc>
    <rcc rId="0" sId="2">
      <nc r="B1237">
        <f>HYPERLINK("https://hsdes.intel.com/resource/22011834384","22011834384")</f>
      </nc>
    </rcc>
    <rcc rId="0" sId="2">
      <nc r="B1238">
        <f>HYPERLINK("https://hsdes.intel.com/resource/22011834386","22011834386")</f>
      </nc>
    </rcc>
    <rcc rId="0" sId="2">
      <nc r="B1239">
        <f>HYPERLINK("https://hsdes.intel.com/resource/22011834390","22011834390")</f>
      </nc>
    </rcc>
    <rcc rId="0" sId="2">
      <nc r="B1240">
        <f>HYPERLINK("https://hsdes.intel.com/resource/22011834418","22011834418")</f>
      </nc>
    </rcc>
    <rcc rId="0" sId="2">
      <nc r="B1241">
        <f>HYPERLINK("https://hsdes.intel.com/resource/22011834422","22011834422")</f>
      </nc>
    </rcc>
    <rcc rId="0" sId="2">
      <nc r="B1242">
        <f>HYPERLINK("https://hsdes.intel.com/resource/22011834426","22011834426")</f>
      </nc>
    </rcc>
    <rcc rId="0" sId="2">
      <nc r="B1243">
        <f>HYPERLINK("https://hsdes.intel.com/resource/22011834428","22011834428")</f>
      </nc>
    </rcc>
    <rcc rId="0" sId="2">
      <nc r="B1244">
        <f>HYPERLINK("https://hsdes.intel.com/resource/22011834439","22011834439")</f>
      </nc>
    </rcc>
    <rcc rId="0" sId="2">
      <nc r="B1245">
        <f>HYPERLINK("https://hsdes.intel.com/resource/22011834442","22011834442")</f>
      </nc>
    </rcc>
    <rcc rId="0" sId="2">
      <nc r="B1246">
        <f>HYPERLINK("https://hsdes.intel.com/resource/22011834444","22011834444")</f>
      </nc>
    </rcc>
    <rcc rId="0" sId="2">
      <nc r="B1247">
        <f>HYPERLINK("https://hsdes.intel.com/resource/22011834456","22011834456")</f>
      </nc>
    </rcc>
    <rcc rId="0" sId="2">
      <nc r="B1248">
        <f>HYPERLINK("https://hsdes.intel.com/resource/22011834460","22011834460")</f>
      </nc>
    </rcc>
    <rcc rId="0" sId="2">
      <nc r="B1249">
        <f>HYPERLINK("https://hsdes.intel.com/resource/22011834465","22011834465")</f>
      </nc>
    </rcc>
    <rcc rId="0" sId="2">
      <nc r="B1250">
        <f>HYPERLINK("https://hsdes.intel.com/resource/22011834481","22011834481")</f>
      </nc>
    </rcc>
    <rcc rId="0" sId="2">
      <nc r="B1251">
        <f>HYPERLINK("https://hsdes.intel.com/resource/22011834488","22011834488")</f>
      </nc>
    </rcc>
    <rcc rId="0" sId="2">
      <nc r="B1252">
        <f>HYPERLINK("https://hsdes.intel.com/resource/22011834502","22011834502")</f>
      </nc>
    </rcc>
    <rcc rId="0" sId="2">
      <nc r="B1253">
        <f>HYPERLINK("https://hsdes.intel.com/resource/22011834525","22011834525")</f>
      </nc>
    </rcc>
    <rcc rId="0" sId="2">
      <nc r="B1254">
        <f>HYPERLINK("https://hsdes.intel.com/resource/22011834529","22011834529")</f>
      </nc>
    </rcc>
    <rcc rId="0" sId="2">
      <nc r="B1255">
        <f>HYPERLINK("https://hsdes.intel.com/resource/22011834531","22011834531")</f>
      </nc>
    </rcc>
    <rcc rId="0" sId="2">
      <nc r="B1256">
        <f>HYPERLINK("https://hsdes.intel.com/resource/22011834561","22011834561")</f>
      </nc>
    </rcc>
    <rcc rId="0" sId="2">
      <nc r="B1257">
        <f>HYPERLINK("https://hsdes.intel.com/resource/22011834579","22011834579")</f>
      </nc>
    </rcc>
    <rcc rId="0" sId="2">
      <nc r="B1258">
        <f>HYPERLINK("https://hsdes.intel.com/resource/22011834584","22011834584")</f>
      </nc>
    </rcc>
    <rcc rId="0" sId="2">
      <nc r="B1259">
        <f>HYPERLINK("https://hsdes.intel.com/resource/22011834594","22011834594")</f>
      </nc>
    </rcc>
    <rcc rId="0" sId="2">
      <nc r="B1260">
        <f>HYPERLINK("https://hsdes.intel.com/resource/22011834598","22011834598")</f>
      </nc>
    </rcc>
  </rrc>
  <rcc rId="618" sId="2">
    <oc r="B1" t="inlineStr">
      <is>
        <t>TC_Name</t>
      </is>
    </oc>
    <nc r="B1" t="inlineStr">
      <is>
        <t>TCD_Title</t>
      </is>
    </nc>
  </rcc>
  <rdn rId="0" localSheetId="2" customView="1" name="Z_12E06A24_31C0_45B4_BE44_ACA2967A410C_.wvu.FilterData" hidden="1" oldHidden="1">
    <formula>Test_Data!$A$1:$S$1260</formula>
  </rdn>
  <rcv guid="{12E06A24-31C0-45B4-BE44-ACA2967A410C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" sId="2">
    <nc r="I111" t="inlineStr">
      <is>
        <t>passed</t>
      </is>
    </nc>
  </rcc>
  <rcc rId="245" sId="2">
    <nc r="I113" t="inlineStr">
      <is>
        <t>passed</t>
      </is>
    </nc>
  </rcc>
  <rcc rId="246" sId="2">
    <nc r="I115" t="inlineStr">
      <is>
        <t>passed</t>
      </is>
    </nc>
  </rcc>
  <rcc rId="247" sId="2">
    <nc r="I117" t="inlineStr">
      <is>
        <t>passed</t>
      </is>
    </nc>
  </rcc>
  <rcc rId="248" sId="2">
    <nc r="I119" t="inlineStr">
      <is>
        <t>passed</t>
      </is>
    </nc>
  </rcc>
  <rcc rId="249" sId="2">
    <nc r="I121" t="inlineStr">
      <is>
        <t>passed</t>
      </is>
    </nc>
  </rcc>
  <rcc rId="250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3" sId="2">
    <nc r="I84" t="inlineStr">
      <is>
        <t>passed</t>
      </is>
    </nc>
  </rcc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4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5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" sId="2">
    <nc r="I1111" t="inlineStr">
      <is>
        <t>passed</t>
      </is>
    </nc>
  </rcc>
  <rfmt sheetId="2" sqref="I1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" sId="2">
    <nc r="I1123" t="inlineStr">
      <is>
        <t>passed</t>
      </is>
    </nc>
  </rcc>
  <rfmt sheetId="2" sqref="I1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">
    <nc r="I776" t="inlineStr">
      <is>
        <t>passed</t>
      </is>
    </nc>
  </rcc>
  <rfmt sheetId="2" sqref="I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" sId="2">
    <nc r="I632" t="inlineStr">
      <is>
        <t>passed</t>
      </is>
    </nc>
  </rcc>
  <rfmt sheetId="2" sqref="I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" sId="2">
    <nc r="I633" t="inlineStr">
      <is>
        <t>passed</t>
      </is>
    </nc>
  </rcc>
  <rfmt sheetId="2" sqref="I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" sId="2">
    <nc r="I634" t="inlineStr">
      <is>
        <t>passed</t>
      </is>
    </nc>
  </rcc>
  <rfmt sheetId="2" sqref="I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3" sId="2">
    <nc r="I775" t="inlineStr">
      <is>
        <t>Passed</t>
      </is>
    </nc>
  </rcc>
  <rfmt sheetId="2" sqref="I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4" sId="2">
    <oc r="K8" t="inlineStr">
      <is>
        <t>16/09/2022</t>
      </is>
    </oc>
    <nc r="K8"/>
  </rcc>
  <rcc rId="265" sId="2">
    <oc r="K16" t="inlineStr">
      <is>
        <t>16/09/2022</t>
      </is>
    </oc>
    <nc r="K16"/>
  </rcc>
  <rcc rId="266" sId="2">
    <oc r="K19" t="inlineStr">
      <is>
        <t>16/09/2022</t>
      </is>
    </oc>
    <nc r="K19"/>
  </rcc>
  <rcc rId="267" sId="2">
    <oc r="K20" t="inlineStr">
      <is>
        <t>16/09/2022</t>
      </is>
    </oc>
    <nc r="K20"/>
  </rcc>
  <rcc rId="268" sId="2">
    <oc r="K21" t="inlineStr">
      <is>
        <t>16/09/2022</t>
      </is>
    </oc>
    <nc r="K21"/>
  </rcc>
  <rcc rId="269" sId="2">
    <oc r="K23" t="inlineStr">
      <is>
        <t>16/09/2022</t>
      </is>
    </oc>
    <nc r="K23"/>
  </rcc>
  <rcc rId="270" sId="2">
    <oc r="K28" t="inlineStr">
      <is>
        <t>16/09/2022</t>
      </is>
    </oc>
    <nc r="K28"/>
  </rcc>
  <rcc rId="271" sId="2">
    <oc r="K30" t="inlineStr">
      <is>
        <t>16/09/2022</t>
      </is>
    </oc>
    <nc r="K30"/>
  </rcc>
  <rcc rId="272" sId="2">
    <oc r="K71" t="inlineStr">
      <is>
        <t>14/09/2022</t>
      </is>
    </oc>
    <nc r="K71"/>
  </rcc>
  <rcc rId="273" sId="2">
    <oc r="K73" t="inlineStr">
      <is>
        <t>14/09/2022</t>
      </is>
    </oc>
    <nc r="K73"/>
  </rcc>
  <rcc rId="274" sId="2">
    <oc r="K97" t="inlineStr">
      <is>
        <t>14/09/2022</t>
      </is>
    </oc>
    <nc r="K97"/>
  </rcc>
  <rcc rId="275" sId="2">
    <oc r="K98" t="inlineStr">
      <is>
        <t>15/09/2022</t>
      </is>
    </oc>
    <nc r="K98"/>
  </rcc>
  <rcc rId="276" sId="2">
    <oc r="K173" t="inlineStr">
      <is>
        <t>14/09/2022</t>
      </is>
    </oc>
    <nc r="K173"/>
  </rcc>
  <rcc rId="277" sId="2">
    <oc r="K187" t="inlineStr">
      <is>
        <t>14/09/2022</t>
      </is>
    </oc>
    <nc r="K187"/>
  </rcc>
  <rcc rId="278" sId="2">
    <oc r="K193" t="inlineStr">
      <is>
        <t>22/09/2022</t>
      </is>
    </oc>
    <nc r="K193"/>
  </rcc>
  <rcc rId="279" sId="2">
    <oc r="K194" t="inlineStr">
      <is>
        <t>14/09/2022</t>
      </is>
    </oc>
    <nc r="K194"/>
  </rcc>
  <rcc rId="280" sId="2">
    <oc r="K196" t="inlineStr">
      <is>
        <t>22/09/2022</t>
      </is>
    </oc>
    <nc r="K196"/>
  </rcc>
  <rcc rId="281" sId="2">
    <oc r="K215" t="inlineStr">
      <is>
        <t>22/09/2022</t>
      </is>
    </oc>
    <nc r="K215"/>
  </rcc>
  <rcc rId="282" sId="2">
    <oc r="K235" t="inlineStr">
      <is>
        <t>21/09/2022</t>
      </is>
    </oc>
    <nc r="K235"/>
  </rcc>
  <rcc rId="283" sId="2">
    <oc r="K236" t="inlineStr">
      <is>
        <t>21/09/2022</t>
      </is>
    </oc>
    <nc r="K236"/>
  </rcc>
  <rcc rId="284" sId="2">
    <oc r="K237" t="inlineStr">
      <is>
        <t>21/09/2022</t>
      </is>
    </oc>
    <nc r="K237"/>
  </rcc>
  <rcc rId="285" sId="2">
    <oc r="K238" t="inlineStr">
      <is>
        <t>21/09/2022</t>
      </is>
    </oc>
    <nc r="K238"/>
  </rcc>
  <rcc rId="286" sId="2">
    <oc r="K239" t="inlineStr">
      <is>
        <t>15/09/2022</t>
      </is>
    </oc>
    <nc r="K239"/>
  </rcc>
  <rcc rId="287" sId="2">
    <oc r="K240" t="inlineStr">
      <is>
        <t>21/09/2022</t>
      </is>
    </oc>
    <nc r="K240"/>
  </rcc>
  <rcc rId="288" sId="2">
    <oc r="K241" t="inlineStr">
      <is>
        <t>21/09/2022</t>
      </is>
    </oc>
    <nc r="K241"/>
  </rcc>
  <rcc rId="289" sId="2">
    <oc r="K244" t="inlineStr">
      <is>
        <t>21/09/2022</t>
      </is>
    </oc>
    <nc r="K244"/>
  </rcc>
  <rcc rId="290" sId="2">
    <oc r="K250" t="inlineStr">
      <is>
        <t>21/09/2022</t>
      </is>
    </oc>
    <nc r="K250"/>
  </rcc>
  <rcc rId="291" sId="2">
    <oc r="K252" t="inlineStr">
      <is>
        <t>21/09/2022</t>
      </is>
    </oc>
    <nc r="K252"/>
  </rcc>
  <rcc rId="292" sId="2">
    <oc r="K255" t="inlineStr">
      <is>
        <t>15/09/2022</t>
      </is>
    </oc>
    <nc r="K255"/>
  </rcc>
  <rcc rId="293" sId="2">
    <oc r="K261" t="inlineStr">
      <is>
        <t>22/09/2022</t>
      </is>
    </oc>
    <nc r="K261"/>
  </rcc>
  <rcc rId="294" sId="2">
    <oc r="K266" t="inlineStr">
      <is>
        <t>16/09/2022</t>
      </is>
    </oc>
    <nc r="K266"/>
  </rcc>
  <rcc rId="295" sId="2">
    <oc r="K272" t="inlineStr">
      <is>
        <t>15/09/2022</t>
      </is>
    </oc>
    <nc r="K272"/>
  </rcc>
  <rcc rId="296" sId="2">
    <oc r="K279" t="inlineStr">
      <is>
        <t>15/09/2022</t>
      </is>
    </oc>
    <nc r="K279"/>
  </rcc>
  <rcc rId="297" sId="2">
    <oc r="K280" t="inlineStr">
      <is>
        <t>15/09/2022</t>
      </is>
    </oc>
    <nc r="K280"/>
  </rcc>
  <rcc rId="298" sId="2">
    <oc r="K281" t="inlineStr">
      <is>
        <t>21/09/2022</t>
      </is>
    </oc>
    <nc r="K281"/>
  </rcc>
  <rcc rId="299" sId="2">
    <oc r="K290" t="inlineStr">
      <is>
        <t>21/09/2022</t>
      </is>
    </oc>
    <nc r="K290"/>
  </rcc>
  <rcc rId="300" sId="2">
    <oc r="K291" t="inlineStr">
      <is>
        <t>21/09/2022</t>
      </is>
    </oc>
    <nc r="K291"/>
  </rcc>
  <rcc rId="301" sId="2">
    <oc r="K298" t="inlineStr">
      <is>
        <t>14/09/2022</t>
      </is>
    </oc>
    <nc r="K298"/>
  </rcc>
  <rcc rId="302" sId="2">
    <oc r="K302" t="inlineStr">
      <is>
        <t>15/09/2022</t>
      </is>
    </oc>
    <nc r="K302"/>
  </rcc>
  <rcc rId="303" sId="2">
    <oc r="K303" t="inlineStr">
      <is>
        <t>15/09/2022</t>
      </is>
    </oc>
    <nc r="K303"/>
  </rcc>
  <rcc rId="304" sId="2">
    <oc r="K304" t="inlineStr">
      <is>
        <t>15/09/2022</t>
      </is>
    </oc>
    <nc r="K304"/>
  </rcc>
  <rcc rId="305" sId="2">
    <oc r="K305" t="inlineStr">
      <is>
        <t>15/09/2022</t>
      </is>
    </oc>
    <nc r="K305"/>
  </rcc>
  <rcc rId="306" sId="2">
    <oc r="K307" t="inlineStr">
      <is>
        <t>15/09/2022</t>
      </is>
    </oc>
    <nc r="K307"/>
  </rcc>
  <rcc rId="307" sId="2">
    <oc r="K308" t="inlineStr">
      <is>
        <t>16/09/2022</t>
      </is>
    </oc>
    <nc r="K308"/>
  </rcc>
  <rcc rId="308" sId="2">
    <oc r="K309" t="inlineStr">
      <is>
        <t>15/09/2022</t>
      </is>
    </oc>
    <nc r="K309"/>
  </rcc>
  <rcc rId="309" sId="2">
    <oc r="K310" t="inlineStr">
      <is>
        <t>22/09/2022</t>
      </is>
    </oc>
    <nc r="K310"/>
  </rcc>
  <rcc rId="310" sId="2">
    <oc r="K311" t="inlineStr">
      <is>
        <t>22/09/2022</t>
      </is>
    </oc>
    <nc r="K311"/>
  </rcc>
  <rcc rId="311" sId="2">
    <oc r="K312" t="inlineStr">
      <is>
        <t>22/09/2022</t>
      </is>
    </oc>
    <nc r="K312"/>
  </rcc>
  <rcc rId="312" sId="2">
    <oc r="K313" t="inlineStr">
      <is>
        <t>22/09/2022</t>
      </is>
    </oc>
    <nc r="K313"/>
  </rcc>
  <rcc rId="313" sId="2">
    <oc r="K315" t="inlineStr">
      <is>
        <t>14/09/2022</t>
      </is>
    </oc>
    <nc r="K315"/>
  </rcc>
  <rcc rId="314" sId="2">
    <oc r="K316" t="inlineStr">
      <is>
        <t>14/09/2022</t>
      </is>
    </oc>
    <nc r="K316"/>
  </rcc>
  <rcc rId="315" sId="2">
    <oc r="K573" t="inlineStr">
      <is>
        <t>16/09/2022</t>
      </is>
    </oc>
    <nc r="K573"/>
  </rcc>
  <rcc rId="316" sId="2">
    <oc r="K609" t="inlineStr">
      <is>
        <t>22/09/2022</t>
      </is>
    </oc>
    <nc r="K609"/>
  </rcc>
  <rcc rId="317" sId="2">
    <oc r="K615" t="inlineStr">
      <is>
        <t>14/09/2022</t>
      </is>
    </oc>
    <nc r="K615"/>
  </rcc>
  <rcc rId="318" sId="2">
    <oc r="K625" t="inlineStr">
      <is>
        <t>14/09/2022</t>
      </is>
    </oc>
    <nc r="K625"/>
  </rcc>
  <rcc rId="319" sId="2">
    <oc r="K645" t="inlineStr">
      <is>
        <t>21/09/2022</t>
      </is>
    </oc>
    <nc r="K645"/>
  </rcc>
  <rcc rId="320" sId="2">
    <oc r="K649" t="inlineStr">
      <is>
        <t>22/09/2022</t>
      </is>
    </oc>
    <nc r="K649"/>
  </rcc>
  <rcc rId="321" sId="2">
    <oc r="K708" t="inlineStr">
      <is>
        <t>21/09/2022</t>
      </is>
    </oc>
    <nc r="K708"/>
  </rcc>
  <rcc rId="322" sId="2">
    <oc r="K717" t="inlineStr">
      <is>
        <t>14/09/2022</t>
      </is>
    </oc>
    <nc r="K717"/>
  </rcc>
  <rcc rId="323" sId="2">
    <oc r="K766" t="inlineStr">
      <is>
        <t>16/09/2022</t>
      </is>
    </oc>
    <nc r="K766"/>
  </rcc>
  <rcc rId="324" sId="2">
    <oc r="K768" t="inlineStr">
      <is>
        <t>16/09/2022</t>
      </is>
    </oc>
    <nc r="K768"/>
  </rcc>
  <rcc rId="325" sId="2">
    <oc r="K769" t="inlineStr">
      <is>
        <t>16/09/2022</t>
      </is>
    </oc>
    <nc r="K769"/>
  </rcc>
  <rcc rId="326" sId="2">
    <oc r="K770" t="inlineStr">
      <is>
        <t>16/09/2022</t>
      </is>
    </oc>
    <nc r="K770"/>
  </rcc>
  <rcc rId="327" sId="2">
    <oc r="K773" t="inlineStr">
      <is>
        <t>16/09/2022</t>
      </is>
    </oc>
    <nc r="K773"/>
  </rcc>
  <rcc rId="328" sId="2">
    <oc r="K778" t="inlineStr">
      <is>
        <t>21/09/2022</t>
      </is>
    </oc>
    <nc r="K778"/>
  </rcc>
  <rcc rId="329" sId="2">
    <oc r="K779" t="inlineStr">
      <is>
        <t>21/09/2022</t>
      </is>
    </oc>
    <nc r="K779"/>
  </rcc>
  <rcc rId="330" sId="2">
    <oc r="K781" t="inlineStr">
      <is>
        <t>16/09/2022</t>
      </is>
    </oc>
    <nc r="K781"/>
  </rcc>
  <rcc rId="331" sId="2">
    <oc r="K782" t="inlineStr">
      <is>
        <t>16/09/2022</t>
      </is>
    </oc>
    <nc r="K782"/>
  </rcc>
  <rcc rId="332" sId="2">
    <oc r="K783" t="inlineStr">
      <is>
        <t>16/09/2022</t>
      </is>
    </oc>
    <nc r="K783"/>
  </rcc>
  <rcc rId="333" sId="2">
    <oc r="K786" t="inlineStr">
      <is>
        <t>16/09/2022</t>
      </is>
    </oc>
    <nc r="K786"/>
  </rcc>
  <rcc rId="334" sId="2">
    <oc r="K789" t="inlineStr">
      <is>
        <t>16/09/2022</t>
      </is>
    </oc>
    <nc r="K789"/>
  </rcc>
  <rcc rId="335" sId="2">
    <oc r="K790" t="inlineStr">
      <is>
        <t>16/09/2022</t>
      </is>
    </oc>
    <nc r="K790"/>
  </rcc>
  <rcc rId="336" sId="2">
    <oc r="K791" t="inlineStr">
      <is>
        <t>16/09/2022</t>
      </is>
    </oc>
    <nc r="K791"/>
  </rcc>
  <rcc rId="337" sId="2">
    <oc r="K794" t="inlineStr">
      <is>
        <t>21/09/2022</t>
      </is>
    </oc>
    <nc r="K794"/>
  </rcc>
  <rcc rId="338" sId="2">
    <oc r="K797" t="inlineStr">
      <is>
        <t>16/09/2022</t>
      </is>
    </oc>
    <nc r="K797"/>
  </rcc>
  <rcc rId="339" sId="2">
    <oc r="K848" t="inlineStr">
      <is>
        <t>14/09/2022</t>
      </is>
    </oc>
    <nc r="K848"/>
  </rcc>
  <rcc rId="340" sId="2">
    <oc r="K899" t="inlineStr">
      <is>
        <t>15/09/2022</t>
      </is>
    </oc>
    <nc r="K899"/>
  </rcc>
  <rcc rId="341" sId="2">
    <oc r="K900" t="inlineStr">
      <is>
        <t>15/09/2022</t>
      </is>
    </oc>
    <nc r="K900"/>
  </rcc>
  <rcc rId="342" sId="2">
    <oc r="K901" t="inlineStr">
      <is>
        <t>15/09/2022</t>
      </is>
    </oc>
    <nc r="K901"/>
  </rcc>
  <rcc rId="343" sId="2">
    <oc r="K902" t="inlineStr">
      <is>
        <t>15/09/2022</t>
      </is>
    </oc>
    <nc r="K902"/>
  </rcc>
  <rcc rId="344" sId="2">
    <oc r="K903" t="inlineStr">
      <is>
        <t>15/09/2022</t>
      </is>
    </oc>
    <nc r="K903"/>
  </rcc>
  <rcc rId="345" sId="2">
    <oc r="K904" t="inlineStr">
      <is>
        <t>15/09/2022</t>
      </is>
    </oc>
    <nc r="K904"/>
  </rcc>
  <rcc rId="346" sId="2">
    <oc r="K905" t="inlineStr">
      <is>
        <t>15/09/2022</t>
      </is>
    </oc>
    <nc r="K905"/>
  </rcc>
  <rcc rId="347" sId="2">
    <oc r="K922" t="inlineStr">
      <is>
        <t>14/09/2022</t>
      </is>
    </oc>
    <nc r="K922"/>
  </rcc>
  <rcc rId="348" sId="2">
    <oc r="K943" t="inlineStr">
      <is>
        <t>14/09/2022</t>
      </is>
    </oc>
    <nc r="K943"/>
  </rcc>
  <rcc rId="349" sId="2">
    <oc r="K1089" t="inlineStr">
      <is>
        <t>15/09/2022</t>
      </is>
    </oc>
    <nc r="K1089"/>
  </rcc>
  <rcc rId="350" sId="2">
    <oc r="K1131" t="inlineStr">
      <is>
        <t>14/09/2022</t>
      </is>
    </oc>
    <nc r="K1131"/>
  </rcc>
  <rcc rId="351" sId="2">
    <oc r="K1132" t="inlineStr">
      <is>
        <t>14/09/2022</t>
      </is>
    </oc>
    <nc r="K1132"/>
  </rcc>
  <rcc rId="352" sId="2">
    <oc r="K1133" t="inlineStr">
      <is>
        <t>14/09/2022</t>
      </is>
    </oc>
    <nc r="K1133"/>
  </rcc>
  <rcc rId="353" sId="2">
    <oc r="K1134" t="inlineStr">
      <is>
        <t>14/09/2022</t>
      </is>
    </oc>
    <nc r="K1134"/>
  </rcc>
  <rcc rId="354" sId="2">
    <oc r="K1135" t="inlineStr">
      <is>
        <t>14/09/2022</t>
      </is>
    </oc>
    <nc r="K1135"/>
  </rcc>
  <rcc rId="355" sId="2">
    <oc r="K1151" t="inlineStr">
      <is>
        <t>14/09/2022</t>
      </is>
    </oc>
    <nc r="K1151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2">
    <oc r="J1210" t="inlineStr">
      <is>
        <t>Yamini</t>
      </is>
    </oc>
    <nc r="J1210"/>
  </rcc>
  <rcc rId="358" sId="2">
    <oc r="J1211" t="inlineStr">
      <is>
        <t>Yamini</t>
      </is>
    </oc>
    <nc r="J1211"/>
  </rcc>
  <rcc rId="359" sId="2">
    <oc r="J1212" t="inlineStr">
      <is>
        <t>Yamini</t>
      </is>
    </oc>
    <nc r="J1212"/>
  </rcc>
  <rcc rId="360" sId="2">
    <oc r="J1213" t="inlineStr">
      <is>
        <t>Yamini</t>
      </is>
    </oc>
    <nc r="J1213"/>
  </rcc>
  <rcc rId="361" sId="2">
    <oc r="J1214" t="inlineStr">
      <is>
        <t>Yamini</t>
      </is>
    </oc>
    <nc r="J1214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4" sId="2">
    <nc r="I685" t="inlineStr">
      <is>
        <t>Passed</t>
      </is>
    </nc>
  </rcc>
  <rfmt sheetId="2" sqref="I6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5" sId="2">
    <nc r="I693" t="inlineStr">
      <is>
        <t>Passed</t>
      </is>
    </nc>
  </rcc>
  <rfmt sheetId="2" sqref="I6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6" sId="2">
    <nc r="I695" t="inlineStr">
      <is>
        <t>Passed</t>
      </is>
    </nc>
  </rcc>
  <rfmt sheetId="2" sqref="I6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7" sId="2">
    <nc r="I1208" t="inlineStr">
      <is>
        <t>Passed</t>
      </is>
    </nc>
  </rcc>
  <rfmt sheetId="2" sqref="I1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8" sId="2">
    <nc r="I663" t="inlineStr">
      <is>
        <t>Passed</t>
      </is>
    </nc>
  </rcc>
  <rfmt sheetId="2" sqref="I6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9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0" sId="2">
    <nc r="I661" t="inlineStr">
      <is>
        <t>Passed</t>
      </is>
    </nc>
  </rcc>
  <rfmt sheetId="2" sqref="I6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1" sId="2">
    <nc r="I662" t="inlineStr">
      <is>
        <t>Passed</t>
      </is>
    </nc>
  </rcc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2" sId="2">
    <nc r="K660" t="inlineStr">
      <is>
        <t>Verified with usb4 dock</t>
      </is>
    </nc>
  </rcc>
  <rfmt sheetId="2" sqref="K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3" sId="2">
    <nc r="K661" t="inlineStr">
      <is>
        <t>Verified with usb4 dock</t>
      </is>
    </nc>
  </rcc>
  <rcc rId="374" sId="2">
    <nc r="K662" t="inlineStr">
      <is>
        <t>Verified with usb4 dock</t>
      </is>
    </nc>
  </rcc>
  <rcc rId="375" sId="2">
    <nc r="I628" t="inlineStr">
      <is>
        <t>passed</t>
      </is>
    </nc>
  </rcc>
  <rfmt sheetId="2" sqref="I6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6" sId="2" odxf="1" dxf="1">
    <oc r="B1068">
      <f>HYPERLINK("https://hsdes.intel.com/resource/14013178901","14013178901")</f>
    </oc>
    <nc r="B1068">
      <f>HYPERLINK("https://hsdes.intel.com/resource/14013178901","14013178901")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Test_Data!$A$1:$R$1260</oldFormula>
  </rdn>
  <rcv guid="{1E461884-96AF-47A5-B94E-4763D9E86FBD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2">
    <oc r="J39" t="inlineStr">
      <is>
        <t>Mugundhan</t>
      </is>
    </oc>
    <nc r="J39" t="inlineStr">
      <is>
        <t>Ramya</t>
      </is>
    </nc>
  </rcc>
  <rcc rId="379" sId="2">
    <oc r="J75" t="inlineStr">
      <is>
        <t>Mugundhan</t>
      </is>
    </oc>
    <nc r="J75" t="inlineStr">
      <is>
        <t>Ramya</t>
      </is>
    </nc>
  </rcc>
  <rcc rId="380" sId="2">
    <oc r="J145" t="inlineStr">
      <is>
        <t>Mugundhan</t>
      </is>
    </oc>
    <nc r="J145" t="inlineStr">
      <is>
        <t>Ramya</t>
      </is>
    </nc>
  </rcc>
  <rcc rId="381" sId="2">
    <oc r="J147" t="inlineStr">
      <is>
        <t>Mugundhan</t>
      </is>
    </oc>
    <nc r="J147" t="inlineStr">
      <is>
        <t>Ramya</t>
      </is>
    </nc>
  </rcc>
  <rcc rId="382" sId="2">
    <oc r="J174" t="inlineStr">
      <is>
        <t>Mugundhan</t>
      </is>
    </oc>
    <nc r="J174" t="inlineStr">
      <is>
        <t>Ramya</t>
      </is>
    </nc>
  </rcc>
  <rcc rId="383" sId="2">
    <oc r="J179" t="inlineStr">
      <is>
        <t>Mugundhan</t>
      </is>
    </oc>
    <nc r="J179" t="inlineStr">
      <is>
        <t>Ramya</t>
      </is>
    </nc>
  </rcc>
  <rcc rId="384" sId="2">
    <oc r="J575" t="inlineStr">
      <is>
        <t>Mugundhan</t>
      </is>
    </oc>
    <nc r="J575" t="inlineStr">
      <is>
        <t>Ramya</t>
      </is>
    </nc>
  </rcc>
  <rcc rId="385" sId="2">
    <oc r="J640" t="inlineStr">
      <is>
        <t>Mugundhan</t>
      </is>
    </oc>
    <nc r="J640" t="inlineStr">
      <is>
        <t>Ramya</t>
      </is>
    </nc>
  </rcc>
  <rcc rId="386" sId="2">
    <oc r="J807" t="inlineStr">
      <is>
        <t>Mugundhan</t>
      </is>
    </oc>
    <nc r="J807" t="inlineStr">
      <is>
        <t>Ramya</t>
      </is>
    </nc>
  </rcc>
  <rcc rId="387" sId="2">
    <oc r="J831" t="inlineStr">
      <is>
        <t>Mugundhan</t>
      </is>
    </oc>
    <nc r="J831" t="inlineStr">
      <is>
        <t>Ramya</t>
      </is>
    </nc>
  </rcc>
  <rcc rId="388" sId="2">
    <oc r="J1068" t="inlineStr">
      <is>
        <t>Mugundhan</t>
      </is>
    </oc>
    <nc r="J1068" t="inlineStr">
      <is>
        <t>Ramya</t>
      </is>
    </nc>
  </rcc>
  <rcc rId="389" sId="2">
    <oc r="J1117" t="inlineStr">
      <is>
        <t>Mugundhan</t>
      </is>
    </oc>
    <nc r="J1117" t="inlineStr">
      <is>
        <t>Ramya</t>
      </is>
    </nc>
  </rcc>
  <rcc rId="390" sId="2">
    <oc r="J276" t="inlineStr">
      <is>
        <t>Muthu</t>
      </is>
    </oc>
    <nc r="J276" t="inlineStr">
      <is>
        <t>Ramya</t>
      </is>
    </nc>
  </rcc>
  <rcc rId="391" sId="2">
    <oc r="J293" t="inlineStr">
      <is>
        <t>Muthu</t>
      </is>
    </oc>
    <nc r="J293" t="inlineStr">
      <is>
        <t>Ramya</t>
      </is>
    </nc>
  </rcc>
  <rcc rId="392" sId="2">
    <oc r="J536" t="inlineStr">
      <is>
        <t>Muthu</t>
      </is>
    </oc>
    <nc r="J536" t="inlineStr">
      <is>
        <t>Ramya</t>
      </is>
    </nc>
  </rcc>
  <rcc rId="393" sId="2">
    <oc r="J623" t="inlineStr">
      <is>
        <t>Muthu</t>
      </is>
    </oc>
    <nc r="J623" t="inlineStr">
      <is>
        <t>Ramya</t>
      </is>
    </nc>
  </rcc>
  <rcc rId="394" sId="2">
    <oc r="J637" t="inlineStr">
      <is>
        <t>Muthu</t>
      </is>
    </oc>
    <nc r="J637" t="inlineStr">
      <is>
        <t>Ramya</t>
      </is>
    </nc>
  </rcc>
  <rcc rId="395" sId="2">
    <oc r="J639" t="inlineStr">
      <is>
        <t>Muthu</t>
      </is>
    </oc>
    <nc r="J639" t="inlineStr">
      <is>
        <t>Ramya</t>
      </is>
    </nc>
  </rcc>
  <rcc rId="396" sId="2">
    <oc r="J726" t="inlineStr">
      <is>
        <t>muthu</t>
      </is>
    </oc>
    <nc r="J726" t="inlineStr">
      <is>
        <t>Ramya</t>
      </is>
    </nc>
  </rcc>
  <rcc rId="397" sId="2">
    <oc r="J762" t="inlineStr">
      <is>
        <t>muthu</t>
      </is>
    </oc>
    <nc r="J762" t="inlineStr">
      <is>
        <t>Ramya</t>
      </is>
    </nc>
  </rcc>
  <rcc rId="398" sId="2">
    <oc r="J772" t="inlineStr">
      <is>
        <t>Muthu</t>
      </is>
    </oc>
    <nc r="J772" t="inlineStr">
      <is>
        <t>Ramya</t>
      </is>
    </nc>
  </rcc>
  <rcc rId="399" sId="2">
    <oc r="J774" t="inlineStr">
      <is>
        <t>Muthu</t>
      </is>
    </oc>
    <nc r="J774" t="inlineStr">
      <is>
        <t>Ramya</t>
      </is>
    </nc>
  </rcc>
  <rcc rId="400" sId="2">
    <oc r="J777" t="inlineStr">
      <is>
        <t>muthu</t>
      </is>
    </oc>
    <nc r="J777" t="inlineStr">
      <is>
        <t>Ramya</t>
      </is>
    </nc>
  </rcc>
  <rcc rId="401" sId="2">
    <oc r="J780" t="inlineStr">
      <is>
        <t>Muthu</t>
      </is>
    </oc>
    <nc r="J780" t="inlineStr">
      <is>
        <t>Ramya</t>
      </is>
    </nc>
  </rcc>
  <rcc rId="402" sId="2">
    <oc r="J784" t="inlineStr">
      <is>
        <t>Muthu</t>
      </is>
    </oc>
    <nc r="J784" t="inlineStr">
      <is>
        <t>Ramya</t>
      </is>
    </nc>
  </rcc>
  <rcc rId="403" sId="2">
    <oc r="J785" t="inlineStr">
      <is>
        <t>Muthu</t>
      </is>
    </oc>
    <nc r="J785" t="inlineStr">
      <is>
        <t>Ramya</t>
      </is>
    </nc>
  </rcc>
  <rcc rId="404" sId="2">
    <oc r="J788" t="inlineStr">
      <is>
        <t>Muthu</t>
      </is>
    </oc>
    <nc r="J788" t="inlineStr">
      <is>
        <t>Ramya</t>
      </is>
    </nc>
  </rcc>
  <rcc rId="405" sId="2">
    <oc r="J795" t="inlineStr">
      <is>
        <t>Muthu</t>
      </is>
    </oc>
    <nc r="J795" t="inlineStr">
      <is>
        <t>Ramya</t>
      </is>
    </nc>
  </rcc>
  <rcc rId="406" sId="2">
    <oc r="J832" t="inlineStr">
      <is>
        <t>muthu</t>
      </is>
    </oc>
    <nc r="J832" t="inlineStr">
      <is>
        <t>Ramya</t>
      </is>
    </nc>
  </rcc>
  <rcc rId="407" sId="2">
    <oc r="J833" t="inlineStr">
      <is>
        <t>muthu</t>
      </is>
    </oc>
    <nc r="J833" t="inlineStr">
      <is>
        <t>Ramya</t>
      </is>
    </nc>
  </rcc>
  <rcc rId="408" sId="2">
    <oc r="J855" t="inlineStr">
      <is>
        <t>Muthu</t>
      </is>
    </oc>
    <nc r="J855" t="inlineStr">
      <is>
        <t>Ramya</t>
      </is>
    </nc>
  </rcc>
  <rcc rId="409" sId="2">
    <oc r="J907" t="inlineStr">
      <is>
        <t>muthu</t>
      </is>
    </oc>
    <nc r="J907" t="inlineStr">
      <is>
        <t>Ramya</t>
      </is>
    </nc>
  </rcc>
  <rcc rId="410" sId="2">
    <oc r="J1157" t="inlineStr">
      <is>
        <t>muthu</t>
      </is>
    </oc>
    <nc r="J1157" t="inlineStr">
      <is>
        <t>Ramya</t>
      </is>
    </nc>
  </rcc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Test_Data!$A$1:$T$1260</oldFormula>
  </rdn>
  <rcv guid="{1E461884-96AF-47A5-B94E-4763D9E86FBD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2">
    <nc r="J696" t="inlineStr">
      <is>
        <t>Yamini</t>
      </is>
    </nc>
  </rcc>
  <rfmt sheetId="2" sqref="J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3" sId="2">
    <nc r="J697" t="inlineStr">
      <is>
        <t>Yamini</t>
      </is>
    </nc>
  </rcc>
  <rcc rId="414" sId="2">
    <nc r="J722" t="inlineStr">
      <is>
        <t>Yamini</t>
      </is>
    </nc>
  </rcc>
  <rcc rId="415" sId="2">
    <nc r="J1063" t="inlineStr">
      <is>
        <t>Yamini</t>
      </is>
    </nc>
  </rcc>
  <rcc rId="416" sId="2">
    <nc r="J1087" t="inlineStr">
      <is>
        <t>Yamini</t>
      </is>
    </nc>
  </rcc>
  <rcc rId="417" sId="2">
    <nc r="J1210" t="inlineStr">
      <is>
        <t>Jijina</t>
      </is>
    </nc>
  </rcc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J1211" t="inlineStr">
      <is>
        <t>Jijina</t>
      </is>
    </nc>
  </rcc>
  <rcc rId="419" sId="2">
    <nc r="J1212" t="inlineStr">
      <is>
        <t>Jijina</t>
      </is>
    </nc>
  </rcc>
  <rcc rId="420" sId="2">
    <nc r="J1213" t="inlineStr">
      <is>
        <t>Jijina</t>
      </is>
    </nc>
  </rcc>
  <rcc rId="421" sId="2">
    <nc r="J1214" t="inlineStr">
      <is>
        <t>Jijina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>
    <nc r="I777" t="inlineStr">
      <is>
        <t>passed</t>
      </is>
    </nc>
  </rcc>
  <rfmt sheetId="2" sqref="I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3" sId="2">
    <nc r="K777" t="inlineStr">
      <is>
        <t>23/09/2022</t>
      </is>
    </nc>
  </rcc>
  <rfmt sheetId="2" sqref="K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4" sId="2">
    <nc r="I780" t="inlineStr">
      <is>
        <t>passed</t>
      </is>
    </nc>
  </rcc>
  <rfmt sheetId="2" sqref="I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5" sId="2">
    <nc r="K780" t="inlineStr">
      <is>
        <t>23/09/2022</t>
      </is>
    </nc>
  </rcc>
  <rfmt sheetId="2" sqref="K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6" sId="2">
    <nc r="I774" t="inlineStr">
      <is>
        <t>Passed</t>
      </is>
    </nc>
  </rcc>
  <rfmt sheetId="2" sqref="I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7" sId="2">
    <nc r="K774" t="inlineStr">
      <is>
        <t>23/09/2022</t>
      </is>
    </nc>
  </rcc>
  <rfmt sheetId="2" sqref="K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8" sId="2">
    <nc r="I832" t="inlineStr">
      <is>
        <t>passed</t>
      </is>
    </nc>
  </rcc>
  <rfmt sheetId="2" sqref="I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9" sId="2">
    <nc r="K832" t="inlineStr">
      <is>
        <t>23/09/2022</t>
      </is>
    </nc>
  </rcc>
  <rfmt sheetId="2" sqref="K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18C6CE4B_A0DF_4D98_A8D2_4DC5297DC0FC_.wvu.FilterData" hidden="1" oldHidden="1">
    <formula>Test_Data!$A$1:$U$1260</formula>
  </rdn>
  <rcv guid="{18C6CE4B-A0DF-4D98-A8D2-4DC5297DC0F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2">
    <oc r="J145" t="inlineStr">
      <is>
        <t>Ramya</t>
      </is>
    </oc>
    <nc r="J145" t="inlineStr">
      <is>
        <t>Yamini</t>
      </is>
    </nc>
  </rcc>
  <rcc rId="432" sId="2">
    <oc r="J147" t="inlineStr">
      <is>
        <t>Ramya</t>
      </is>
    </oc>
    <nc r="J147" t="inlineStr">
      <is>
        <t>Yamini</t>
      </is>
    </nc>
  </rcc>
  <rcc rId="433" sId="2">
    <oc r="J174" t="inlineStr">
      <is>
        <t>Ramya</t>
      </is>
    </oc>
    <nc r="J174" t="inlineStr">
      <is>
        <t>Yamini</t>
      </is>
    </nc>
  </rcc>
  <rcc rId="434" sId="2">
    <oc r="J179" t="inlineStr">
      <is>
        <t>Ramya</t>
      </is>
    </oc>
    <nc r="J179" t="inlineStr">
      <is>
        <t>Yamini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7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8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9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" odxf="1" dxf="1">
    <oc r="B833">
      <f>HYPERLINK("https://hsdes.intel.com/resource/14013172847","14013172847")</f>
    </oc>
    <nc r="B833">
      <f>HYPERLINK("https://hsdes.intel.com/resource/14013172847","14013172847")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44" sId="2">
    <nc r="I833" t="inlineStr">
      <is>
        <t>passed</t>
      </is>
    </nc>
  </rcc>
  <rfmt sheetId="2" sqref="I8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2">
    <nc r="I785" t="inlineStr">
      <is>
        <t>passed</t>
      </is>
    </nc>
  </rcc>
  <rfmt sheetId="2" sqref="I7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2">
    <nc r="I784" t="inlineStr">
      <is>
        <t>passed</t>
      </is>
    </nc>
  </rcc>
  <rfmt sheetId="2" sqref="I7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2">
    <nc r="I788" t="inlineStr">
      <is>
        <t>passed</t>
      </is>
    </nc>
  </rcc>
  <rfmt sheetId="2" sqref="I7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2">
    <nc r="I726" t="inlineStr">
      <is>
        <t>Passed</t>
      </is>
    </nc>
  </rcc>
  <rfmt sheetId="2" sqref="I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2">
    <nc r="I807" t="inlineStr">
      <is>
        <t>Passed</t>
      </is>
    </nc>
  </rcc>
  <rfmt sheetId="2" sqref="I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2" odxf="1" dxf="1">
    <oc r="B785">
      <f>HYPERLINK("https://hsdes.intel.com/resource/14013167008","14013167008")</f>
    </oc>
    <nc r="B785">
      <f>HYPERLINK("https://hsdes.intel.com/resource/14013167008","14013167008")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C12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2">
    <nc r="C1265" t="inlineStr">
      <is>
        <t xml:space="preserve"> 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2">
    <nc r="I637" t="inlineStr">
      <is>
        <t>Passed</t>
      </is>
    </nc>
  </rcc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9" sId="2">
    <nc r="I639" t="inlineStr">
      <is>
        <t>passed</t>
      </is>
    </nc>
  </rcc>
  <rfmt sheetId="2" sqref="I6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I1087" t="inlineStr">
      <is>
        <t>passed</t>
      </is>
    </nc>
  </rcc>
  <rfmt sheetId="2" sqref="I10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1" sId="2">
    <nc r="I1238" t="inlineStr">
      <is>
        <t>Passed</t>
      </is>
    </nc>
  </rcc>
  <rfmt sheetId="2" sqref="I12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2" sId="2">
    <nc r="I1239" t="inlineStr">
      <is>
        <t>Passed</t>
      </is>
    </nc>
  </rcc>
  <rfmt sheetId="2" sqref="I12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3" sId="2">
    <nc r="I1255" t="inlineStr">
      <is>
        <t>Passed</t>
      </is>
    </nc>
  </rcc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2">
    <nc r="I700" t="inlineStr">
      <is>
        <t>passed</t>
      </is>
    </nc>
  </rcc>
  <rfmt sheetId="2" sqref="I7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5" sId="2">
    <nc r="I701" t="inlineStr">
      <is>
        <t>passed</t>
      </is>
    </nc>
  </rcc>
  <rfmt sheetId="2" sqref="I7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7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8" sId="2">
    <nc r="I1210" t="inlineStr">
      <is>
        <t>Passed</t>
      </is>
    </nc>
  </rcc>
  <rfmt sheetId="2" sqref="I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9" sId="2">
    <nc r="I1211" t="inlineStr">
      <is>
        <t>Passed</t>
      </is>
    </nc>
  </rcc>
  <rfmt sheetId="2" sqref="I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0" sId="2">
    <nc r="I1212" t="inlineStr">
      <is>
        <t>Passed</t>
      </is>
    </nc>
  </rcc>
  <rfmt sheetId="2" sqref="I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1" sId="2">
    <nc r="I1213" t="inlineStr">
      <is>
        <t>Passed</t>
      </is>
    </nc>
  </rcc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2" sId="2">
    <nc r="I1214" t="inlineStr">
      <is>
        <t>Passed</t>
      </is>
    </nc>
  </rcc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>
    <nc r="K197" t="inlineStr">
      <is>
        <t>verified with core isolation disabled in os</t>
      </is>
    </nc>
  </rcc>
  <rcc rId="474" sId="2">
    <nc r="K243" t="inlineStr">
      <is>
        <t>verified with core isolation disabled in os</t>
      </is>
    </nc>
  </rcc>
  <rcc rId="47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>
    <nc r="K135" t="inlineStr">
      <is>
        <t>verified with core isolation disabled in os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2">
    <nc r="I640" t="inlineStr">
      <is>
        <t>Passed</t>
      </is>
    </nc>
  </rcc>
  <rfmt sheetId="2" sqref="I6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2">
    <nc r="I1117" t="inlineStr">
      <is>
        <t>passed</t>
      </is>
    </nc>
  </rcc>
  <rfmt sheetId="2" sqref="I1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2">
    <nc r="I1157" t="inlineStr">
      <is>
        <t>Passed</t>
      </is>
    </nc>
  </rcc>
  <rfmt sheetId="2" sqref="I11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1" sId="2">
    <nc r="I907" t="inlineStr">
      <is>
        <t>Passed</t>
      </is>
    </nc>
  </rcc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odxf="1" dxf="1">
    <oc r="B762">
      <f>HYPERLINK("https://hsdes.intel.com/resource/14013165558","14013165558")</f>
    </oc>
    <nc r="B762">
      <f>HYPERLINK("https://hsdes.intel.com/resource/14013165558","14013165558")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>
    <nc r="I696" t="inlineStr">
      <is>
        <t>Passed</t>
      </is>
    </nc>
  </rcc>
  <rfmt sheetId="2" sqref="I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4" sId="2">
    <nc r="I697" t="inlineStr">
      <is>
        <t>Passed</t>
      </is>
    </nc>
  </rcc>
  <rfmt sheetId="2" sqref="I6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699" t="inlineStr">
      <is>
        <t>passed</t>
      </is>
    </nc>
  </rcc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6" sId="2">
    <nc r="I702" t="inlineStr">
      <is>
        <t>passed</t>
      </is>
    </nc>
  </rcc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2">
    <nc r="I855" t="inlineStr">
      <is>
        <t>passed</t>
      </is>
    </nc>
  </rcc>
  <rfmt sheetId="2" sqref="I8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2">
    <nc r="I681" t="inlineStr">
      <is>
        <t>passed</t>
      </is>
    </nc>
  </rcc>
  <rfmt sheetId="2" sqref="I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2">
    <nc r="I772" t="inlineStr">
      <is>
        <t>Passed</t>
      </is>
    </nc>
  </rcc>
  <rfmt sheetId="2" sqref="I7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2">
    <nc r="I762" t="inlineStr">
      <is>
        <t>Passed</t>
      </is>
    </nc>
  </rcc>
  <rfmt sheetId="2" sqref="I7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" sId="2">
    <nc r="I1068" t="inlineStr">
      <is>
        <t>passed</t>
      </is>
    </nc>
  </rcc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2">
    <nc r="I831" t="inlineStr">
      <is>
        <t>passed</t>
      </is>
    </nc>
  </rcc>
  <rfmt sheetId="2" sqref="I8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>
    <nc r="I710" t="inlineStr">
      <is>
        <t>Passed</t>
      </is>
    </nc>
  </rcc>
  <rfmt sheetId="2" sqref="I7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5" sId="2">
    <nc r="I722" t="inlineStr">
      <is>
        <t>Passed</t>
      </is>
    </nc>
  </rcc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6" sId="2">
    <nc r="I723" t="inlineStr">
      <is>
        <t>Passed</t>
      </is>
    </nc>
  </rcc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8" sId="2">
    <nc r="I1063" t="inlineStr">
      <is>
        <t>passed</t>
      </is>
    </nc>
  </rcc>
  <rfmt sheetId="2" sqref="I10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nc r="I1196" t="inlineStr">
      <is>
        <t>passed</t>
      </is>
    </nc>
  </rcc>
  <rfmt sheetId="2" sqref="I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" sId="2">
    <nc r="I1197" t="inlineStr">
      <is>
        <t>passed</t>
      </is>
    </nc>
  </rcc>
  <rcc rId="502" sId="2">
    <nc r="I1198" t="inlineStr">
      <is>
        <t>passed</t>
      </is>
    </nc>
  </rcc>
  <rcc rId="503" sId="2">
    <nc r="I1199" t="inlineStr">
      <is>
        <t>passed</t>
      </is>
    </nc>
  </rcc>
  <rcc rId="504" sId="2">
    <nc r="I1200" t="inlineStr">
      <is>
        <t>passed</t>
      </is>
    </nc>
  </rcc>
  <rcc rId="505" sId="2">
    <nc r="I1201" t="inlineStr">
      <is>
        <t>passed</t>
      </is>
    </nc>
  </rcc>
  <rcc rId="506" sId="2">
    <nc r="I1202" t="inlineStr">
      <is>
        <t>passed</t>
      </is>
    </nc>
  </rcc>
  <rcc rId="507" sId="2">
    <nc r="I1203" t="inlineStr">
      <is>
        <t>passed</t>
      </is>
    </nc>
  </rcc>
  <rcc rId="508" sId="2">
    <nc r="I1204" t="inlineStr">
      <is>
        <t>passed</t>
      </is>
    </nc>
  </rcc>
  <rcc rId="509" sId="2">
    <nc r="I1237" t="inlineStr">
      <is>
        <t>passed</t>
      </is>
    </nc>
  </rcc>
  <rcc rId="510" sId="2">
    <oc r="L1196" t="inlineStr">
      <is>
        <t>https://hsdes.intel.com/appstore/article/#/16015389779</t>
      </is>
    </oc>
    <nc r="L1196"/>
  </rcc>
  <rcc rId="511" sId="2">
    <oc r="L1197" t="inlineStr">
      <is>
        <t>https://hsdes.intel.com/appstore/article/#/16015389779</t>
      </is>
    </oc>
    <nc r="L1197"/>
  </rcc>
  <rcc rId="512" sId="2">
    <oc r="L1198" t="inlineStr">
      <is>
        <t>https://hsdes.intel.com/appstore/article/#/16015389779</t>
      </is>
    </oc>
    <nc r="L1198"/>
  </rcc>
  <rcc rId="513" sId="2">
    <oc r="L1199" t="inlineStr">
      <is>
        <t>https://hsdes.intel.com/appstore/article/#/16015389779</t>
      </is>
    </oc>
    <nc r="L1199"/>
  </rcc>
  <rcc rId="514" sId="2">
    <oc r="L1200" t="inlineStr">
      <is>
        <t>https://hsdes.intel.com/appstore/article/#/16015389779</t>
      </is>
    </oc>
    <nc r="L1200"/>
  </rcc>
  <rcc rId="515" sId="2">
    <oc r="L1202" t="inlineStr">
      <is>
        <t>https://hsdes.intel.com/appstore/article/#/16015389779</t>
      </is>
    </oc>
    <nc r="L1202"/>
  </rcc>
  <rcc rId="516" sId="2">
    <oc r="L1201" t="inlineStr">
      <is>
        <t>https://hsdes.intel.com/appstore/article/#/16015389779</t>
      </is>
    </oc>
    <nc r="L1201"/>
  </rcc>
  <rcc rId="517" sId="2">
    <oc r="L1203" t="inlineStr">
      <is>
        <t>https://hsdes.intel.com/appstore/article/#/16015389779</t>
      </is>
    </oc>
    <nc r="L1203"/>
  </rcc>
  <rcc rId="518" sId="2">
    <oc r="L1204" t="inlineStr">
      <is>
        <t>https://hsdes.intel.com/appstore/article/#/16015389779</t>
      </is>
    </oc>
    <nc r="L1204"/>
  </rcc>
  <rcc rId="519" sId="2">
    <oc r="L1237" t="inlineStr">
      <is>
        <t>https://hsdes.intel.com/appstore/article/#/16015389779</t>
      </is>
    </oc>
    <nc r="L1237"/>
  </rcc>
  <rcc rId="520" sId="2">
    <oc r="K1196" t="inlineStr">
      <is>
        <t>Mail Chain Going on</t>
      </is>
    </oc>
    <nc r="K1196" t="inlineStr">
      <is>
        <t>verfied with seagate firecuda gaming ssd</t>
      </is>
    </nc>
  </rcc>
  <rfmt sheetId="2" sqref="K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1" sId="2">
    <oc r="K1197" t="inlineStr">
      <is>
        <t>Mail Chain Going on</t>
      </is>
    </oc>
    <nc r="K1197" t="inlineStr">
      <is>
        <t>verfied with seagate firecuda gaming ssd</t>
      </is>
    </nc>
  </rcc>
  <rcc rId="522" sId="2">
    <oc r="K1198" t="inlineStr">
      <is>
        <t>Mail Chain Going on</t>
      </is>
    </oc>
    <nc r="K1198" t="inlineStr">
      <is>
        <t>verfied with seagate firecuda gaming ssd</t>
      </is>
    </nc>
  </rcc>
  <rcc rId="523" sId="2">
    <oc r="K1199" t="inlineStr">
      <is>
        <t>Mail Chain Going on</t>
      </is>
    </oc>
    <nc r="K1199" t="inlineStr">
      <is>
        <t>verfied with seagate firecuda gaming ssd</t>
      </is>
    </nc>
  </rcc>
  <rcc rId="524" sId="2">
    <oc r="K1200" t="inlineStr">
      <is>
        <t>Mail Chain Going on</t>
      </is>
    </oc>
    <nc r="K1200" t="inlineStr">
      <is>
        <t>verfied with seagate firecuda gaming ssd</t>
      </is>
    </nc>
  </rcc>
  <rcc rId="525" sId="2">
    <oc r="K1201" t="inlineStr">
      <is>
        <t>Mail Chain Going on</t>
      </is>
    </oc>
    <nc r="K1201" t="inlineStr">
      <is>
        <t>verfied with seagate firecuda gaming ssd</t>
      </is>
    </nc>
  </rcc>
  <rcc rId="526" sId="2">
    <oc r="K1202" t="inlineStr">
      <is>
        <t>Mail Chain Going on</t>
      </is>
    </oc>
    <nc r="K1202" t="inlineStr">
      <is>
        <t>verfied with seagate firecuda gaming ssd</t>
      </is>
    </nc>
  </rcc>
  <rcc rId="527" sId="2">
    <oc r="K1203" t="inlineStr">
      <is>
        <t>Mail Chain Going on</t>
      </is>
    </oc>
    <nc r="K1203" t="inlineStr">
      <is>
        <t>verfied with seagate firecuda gaming ssd</t>
      </is>
    </nc>
  </rcc>
  <rcc rId="528" sId="2">
    <oc r="K1204" t="inlineStr">
      <is>
        <t>Mail Chain Going on</t>
      </is>
    </oc>
    <nc r="K1204" t="inlineStr">
      <is>
        <t>verfied with seagate firecuda gaming ssd</t>
      </is>
    </nc>
  </rcc>
  <rcc rId="529" sId="2">
    <oc r="K1237" t="inlineStr">
      <is>
        <t>Mail Chain Going on</t>
      </is>
    </oc>
    <nc r="K1237" t="inlineStr">
      <is>
        <t>verfied with seagate firecuda gaming ssd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J24" t="inlineStr">
      <is>
        <t>Savitha</t>
      </is>
    </nc>
  </rcc>
  <rfmt sheetId="2" sqref="J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33" sId="2">
    <nc r="J53" t="inlineStr">
      <is>
        <t>Savitha</t>
      </is>
    </nc>
  </rcc>
  <rcc rId="534" sId="2">
    <nc r="J110" t="inlineStr">
      <is>
        <t>Savitha</t>
      </is>
    </nc>
  </rcc>
  <rcc rId="535" sId="2">
    <nc r="J206" t="inlineStr">
      <is>
        <t>Savitha</t>
      </is>
    </nc>
  </rcc>
  <rcc rId="536" sId="2">
    <nc r="J300" t="inlineStr">
      <is>
        <t>Savitha</t>
      </is>
    </nc>
  </rcc>
  <rcc rId="537" sId="2">
    <nc r="J319" t="inlineStr">
      <is>
        <t>Savitha</t>
      </is>
    </nc>
  </rcc>
  <rcc rId="538" sId="2">
    <nc r="J354" t="inlineStr">
      <is>
        <t>Savitha</t>
      </is>
    </nc>
  </rcc>
  <rcc rId="539" sId="2">
    <nc r="J454" t="inlineStr">
      <is>
        <t>Savitha</t>
      </is>
    </nc>
  </rcc>
  <rcc rId="540" sId="2">
    <nc r="J468" t="inlineStr">
      <is>
        <t>Savitha</t>
      </is>
    </nc>
  </rcc>
  <rcc rId="541" sId="2">
    <nc r="J470" t="inlineStr">
      <is>
        <t>Savitha</t>
      </is>
    </nc>
  </rcc>
  <rcc rId="542" sId="2">
    <nc r="J483" t="inlineStr">
      <is>
        <t>Savitha</t>
      </is>
    </nc>
  </rcc>
  <rcc rId="543" sId="2">
    <nc r="J522" t="inlineStr">
      <is>
        <t>Savitha</t>
      </is>
    </nc>
  </rcc>
  <rcc rId="544" sId="2">
    <nc r="J546" t="inlineStr">
      <is>
        <t>Savitha</t>
      </is>
    </nc>
  </rcc>
  <rcc rId="545" sId="2">
    <nc r="J547" t="inlineStr">
      <is>
        <t>Savitha</t>
      </is>
    </nc>
  </rcc>
  <rcc rId="546" sId="2">
    <nc r="J548" t="inlineStr">
      <is>
        <t>Savitha</t>
      </is>
    </nc>
  </rcc>
  <rcc rId="547" sId="2">
    <nc r="J558" t="inlineStr">
      <is>
        <t>Savitha</t>
      </is>
    </nc>
  </rcc>
  <rcc rId="548" sId="2">
    <nc r="J559" t="inlineStr">
      <is>
        <t>Savitha</t>
      </is>
    </nc>
  </rcc>
  <rcc rId="549" sId="2">
    <nc r="J560" t="inlineStr">
      <is>
        <t>Savitha</t>
      </is>
    </nc>
  </rcc>
  <rcc rId="550" sId="2">
    <nc r="J561" t="inlineStr">
      <is>
        <t>Savitha</t>
      </is>
    </nc>
  </rcc>
  <rcc rId="551" sId="2">
    <nc r="J576" t="inlineStr">
      <is>
        <t>Savitha</t>
      </is>
    </nc>
  </rcc>
  <rcc rId="552" sId="2">
    <nc r="J581" t="inlineStr">
      <is>
        <t>Savitha</t>
      </is>
    </nc>
  </rcc>
  <rcc rId="553" sId="2">
    <nc r="J582" t="inlineStr">
      <is>
        <t>Savitha</t>
      </is>
    </nc>
  </rcc>
  <rcc rId="554" sId="2">
    <nc r="J583" t="inlineStr">
      <is>
        <t>Savitha</t>
      </is>
    </nc>
  </rcc>
  <rcc rId="555" sId="2">
    <nc r="J602" t="inlineStr">
      <is>
        <t>Savitha</t>
      </is>
    </nc>
  </rcc>
  <rcc rId="556" sId="2">
    <nc r="J604" t="inlineStr">
      <is>
        <t>Savitha</t>
      </is>
    </nc>
  </rcc>
  <rcc rId="557" sId="2">
    <nc r="J608" t="inlineStr">
      <is>
        <t>Savitha</t>
      </is>
    </nc>
  </rcc>
  <rcc rId="558" sId="2">
    <nc r="J629" t="inlineStr">
      <is>
        <t>Savitha</t>
      </is>
    </nc>
  </rcc>
  <rcc rId="559" sId="2">
    <nc r="J684" t="inlineStr">
      <is>
        <t>Savitha</t>
      </is>
    </nc>
  </rcc>
  <rcc rId="560" sId="2">
    <nc r="J686" t="inlineStr">
      <is>
        <t>Savitha</t>
      </is>
    </nc>
  </rcc>
  <rcc rId="561" sId="2">
    <nc r="J687" t="inlineStr">
      <is>
        <t>Savitha</t>
      </is>
    </nc>
  </rcc>
  <rcc rId="562" sId="2">
    <nc r="J703" t="inlineStr">
      <is>
        <t>Savitha</t>
      </is>
    </nc>
  </rcc>
  <rcc rId="563" sId="2">
    <nc r="J945" t="inlineStr">
      <is>
        <t>Savitha</t>
      </is>
    </nc>
  </rcc>
  <rcc rId="564" sId="2">
    <nc r="J988" t="inlineStr">
      <is>
        <t>Savitha</t>
      </is>
    </nc>
  </rcc>
  <rcc rId="565" sId="2">
    <nc r="J1004" t="inlineStr">
      <is>
        <t>Savitha</t>
      </is>
    </nc>
  </rcc>
  <rcc rId="566" sId="2">
    <nc r="J1006" t="inlineStr">
      <is>
        <t>Savitha</t>
      </is>
    </nc>
  </rcc>
  <rcc rId="567" sId="2">
    <nc r="J1037" t="inlineStr">
      <is>
        <t>Savitha</t>
      </is>
    </nc>
  </rcc>
  <rcc rId="568" sId="2">
    <nc r="J1073" t="inlineStr">
      <is>
        <t>Savitha</t>
      </is>
    </nc>
  </rcc>
  <rcc rId="569" sId="2">
    <nc r="J1074" t="inlineStr">
      <is>
        <t>Savitha</t>
      </is>
    </nc>
  </rcc>
  <rcc rId="570" sId="2">
    <nc r="J1092" t="inlineStr">
      <is>
        <t>Savitha</t>
      </is>
    </nc>
  </rcc>
  <rcc rId="571" sId="2">
    <nc r="J1101" t="inlineStr">
      <is>
        <t>Savitha</t>
      </is>
    </nc>
  </rcc>
  <rcc rId="572" sId="2">
    <nc r="J1102" t="inlineStr">
      <is>
        <t>Savitha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4" sId="2">
    <nc r="I53" t="inlineStr">
      <is>
        <t>passed</t>
      </is>
    </nc>
  </rcc>
  <rcc rId="575" sId="2">
    <nc r="I110" t="inlineStr">
      <is>
        <t>passed</t>
      </is>
    </nc>
  </rcc>
  <rcc rId="576" sId="2">
    <nc r="I206" t="inlineStr">
      <is>
        <t>passed</t>
      </is>
    </nc>
  </rcc>
  <rcc rId="577" sId="2">
    <nc r="I300" t="inlineStr">
      <is>
        <t>passed</t>
      </is>
    </nc>
  </rcc>
  <rcc rId="578" sId="2">
    <nc r="I319" t="inlineStr">
      <is>
        <t>passed</t>
      </is>
    </nc>
  </rcc>
  <rcc rId="579" sId="2">
    <nc r="I354" t="inlineStr">
      <is>
        <t>passed</t>
      </is>
    </nc>
  </rcc>
  <rcc rId="580" sId="2">
    <nc r="I454" t="inlineStr">
      <is>
        <t>passed</t>
      </is>
    </nc>
  </rcc>
  <rcc rId="581" sId="2">
    <nc r="I468" t="inlineStr">
      <is>
        <t>passed</t>
      </is>
    </nc>
  </rcc>
  <rcc rId="582" sId="2">
    <nc r="I470" t="inlineStr">
      <is>
        <t>passed</t>
      </is>
    </nc>
  </rcc>
  <rcc rId="583" sId="2">
    <nc r="I483" t="inlineStr">
      <is>
        <t>passed</t>
      </is>
    </nc>
  </rcc>
  <rcc rId="584" sId="2">
    <nc r="I522" t="inlineStr">
      <is>
        <t>passed</t>
      </is>
    </nc>
  </rcc>
  <rcc rId="585" sId="2">
    <nc r="I546" t="inlineStr">
      <is>
        <t>passed</t>
      </is>
    </nc>
  </rcc>
  <rcc rId="586" sId="2">
    <nc r="I547" t="inlineStr">
      <is>
        <t>passed</t>
      </is>
    </nc>
  </rcc>
  <rcc rId="587" sId="2">
    <nc r="I548" t="inlineStr">
      <is>
        <t>passed</t>
      </is>
    </nc>
  </rcc>
  <rcc rId="588" sId="2">
    <nc r="I558" t="inlineStr">
      <is>
        <t>passed</t>
      </is>
    </nc>
  </rcc>
  <rcc rId="589" sId="2">
    <nc r="I559" t="inlineStr">
      <is>
        <t>passed</t>
      </is>
    </nc>
  </rcc>
  <rcc rId="590" sId="2">
    <nc r="I560" t="inlineStr">
      <is>
        <t>passed</t>
      </is>
    </nc>
  </rcc>
  <rcc rId="591" sId="2">
    <nc r="I561" t="inlineStr">
      <is>
        <t>passed</t>
      </is>
    </nc>
  </rcc>
  <rcc rId="592" sId="2">
    <nc r="I576" t="inlineStr">
      <is>
        <t>passed</t>
      </is>
    </nc>
  </rcc>
  <rcc rId="593" sId="2">
    <nc r="I581" t="inlineStr">
      <is>
        <t>passed</t>
      </is>
    </nc>
  </rcc>
  <rcc rId="594" sId="2">
    <nc r="I582" t="inlineStr">
      <is>
        <t>passed</t>
      </is>
    </nc>
  </rcc>
  <rcc rId="595" sId="2">
    <nc r="I583" t="inlineStr">
      <is>
        <t>passed</t>
      </is>
    </nc>
  </rcc>
  <rcc rId="596" sId="2">
    <nc r="I602" t="inlineStr">
      <is>
        <t>passed</t>
      </is>
    </nc>
  </rcc>
  <rcc rId="597" sId="2">
    <nc r="I604" t="inlineStr">
      <is>
        <t>passed</t>
      </is>
    </nc>
  </rcc>
  <rcc rId="598" sId="2">
    <nc r="I608" t="inlineStr">
      <is>
        <t>passed</t>
      </is>
    </nc>
  </rcc>
  <rcc rId="599" sId="2">
    <nc r="I629" t="inlineStr">
      <is>
        <t>passed</t>
      </is>
    </nc>
  </rcc>
  <rcc rId="600" sId="2">
    <nc r="I684" t="inlineStr">
      <is>
        <t>passed</t>
      </is>
    </nc>
  </rcc>
  <rcc rId="601" sId="2">
    <nc r="I686" t="inlineStr">
      <is>
        <t>passed</t>
      </is>
    </nc>
  </rcc>
  <rcc rId="602" sId="2">
    <nc r="I687" t="inlineStr">
      <is>
        <t>passed</t>
      </is>
    </nc>
  </rcc>
  <rcc rId="603" sId="2">
    <nc r="I703" t="inlineStr">
      <is>
        <t>passed</t>
      </is>
    </nc>
  </rcc>
  <rcc rId="604" sId="2">
    <nc r="I945" t="inlineStr">
      <is>
        <t>passed</t>
      </is>
    </nc>
  </rcc>
  <rcc rId="605" sId="2">
    <nc r="I988" t="inlineStr">
      <is>
        <t>passed</t>
      </is>
    </nc>
  </rcc>
  <rcc rId="606" sId="2">
    <nc r="I1004" t="inlineStr">
      <is>
        <t>passed</t>
      </is>
    </nc>
  </rcc>
  <rcc rId="607" sId="2">
    <nc r="I1006" t="inlineStr">
      <is>
        <t>passed</t>
      </is>
    </nc>
  </rcc>
  <rcc rId="608" sId="2">
    <nc r="I1037" t="inlineStr">
      <is>
        <t>passed</t>
      </is>
    </nc>
  </rcc>
  <rcc rId="609" sId="2">
    <nc r="I1073" t="inlineStr">
      <is>
        <t>passed</t>
      </is>
    </nc>
  </rcc>
  <rcc rId="610" sId="2">
    <nc r="I1074" t="inlineStr">
      <is>
        <t>passed</t>
      </is>
    </nc>
  </rcc>
  <rcc rId="611" sId="2">
    <nc r="I1092" t="inlineStr">
      <is>
        <t>passed</t>
      </is>
    </nc>
  </rcc>
  <rcc rId="612" sId="2">
    <nc r="I1101" t="inlineStr">
      <is>
        <t>passed</t>
      </is>
    </nc>
  </rcc>
  <rcc rId="613" sId="2">
    <nc r="I1102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>
    <oc r="B4" t="inlineStr">
      <is>
        <t>V3221_02_308_Cobalt</t>
      </is>
    </oc>
    <nc r="B4" t="inlineStr">
      <is>
        <t>V3385_00_323_SV2</t>
      </is>
    </nc>
  </rcc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Test_Data!$A$1:$T$1260</oldFormula>
  </rdn>
  <rcv guid="{10A43176-B8A1-4E8A-9D35-52F5BF7CA65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93270C9C-1E12-4AEE-A80F-491BC18C494B}" name="Pandyala, JijinaX Nellyatt" id="-58048321" dateTime="2022-09-22T10:14:58"/>
  <userInfo guid="{95B7AAFC-C858-4539-B653-F8207820F620}" name="Br, RamyaX" id="-1276185517" dateTime="2022-09-22T17:39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5"/>
  <sheetViews>
    <sheetView tabSelected="1" zoomScale="90" zoomScaleNormal="85" workbookViewId="0">
      <selection activeCell="B1" sqref="B1"/>
    </sheetView>
  </sheetViews>
  <sheetFormatPr defaultColWidth="8.88671875" defaultRowHeight="14.4" x14ac:dyDescent="0.3"/>
  <cols>
    <col min="1" max="1" width="13.109375" style="7" customWidth="1"/>
    <col min="2" max="2" width="93.77734375" style="7" customWidth="1"/>
    <col min="3" max="3" width="10.6640625" style="7" customWidth="1"/>
    <col min="4" max="4" width="3.33203125" style="7" customWidth="1"/>
    <col min="5" max="5" width="16" style="7" customWidth="1"/>
    <col min="6" max="6" width="40.5546875" style="7" customWidth="1"/>
    <col min="7" max="7" width="6" style="7" customWidth="1"/>
    <col min="8" max="8" width="8.88671875" style="7" customWidth="1"/>
    <col min="9" max="9" width="7.77734375" style="7" customWidth="1"/>
    <col min="10" max="10" width="7" style="7" customWidth="1"/>
    <col min="11" max="11" width="31.6640625" style="7" customWidth="1"/>
    <col min="12" max="12" width="9.21875" style="7" bestFit="1" customWidth="1"/>
    <col min="13" max="13" width="13.21875" style="7" customWidth="1"/>
    <col min="14" max="14" width="31.33203125" style="7" customWidth="1"/>
    <col min="15" max="15" width="53.5546875" style="7" customWidth="1"/>
    <col min="16" max="16" width="29.77734375" style="7" customWidth="1"/>
    <col min="17" max="17" width="12.88671875" style="7" customWidth="1"/>
    <col min="18" max="18" width="8.77734375" customWidth="1"/>
    <col min="19" max="19" width="8.88671875" style="6"/>
    <col min="20" max="20" width="9.77734375" style="6" bestFit="1" customWidth="1"/>
    <col min="21" max="16384" width="8.88671875" style="6"/>
  </cols>
  <sheetData>
    <row r="1" spans="1:20" s="21" customFormat="1" x14ac:dyDescent="0.3">
      <c r="A1" s="18" t="s">
        <v>3656</v>
      </c>
      <c r="B1" s="18" t="s">
        <v>3657</v>
      </c>
      <c r="C1" s="18" t="s">
        <v>3608</v>
      </c>
      <c r="D1" s="18" t="s">
        <v>3609</v>
      </c>
      <c r="E1" s="19" t="s">
        <v>3614</v>
      </c>
      <c r="F1" s="20" t="s">
        <v>3615</v>
      </c>
      <c r="G1" s="20" t="s">
        <v>3616</v>
      </c>
      <c r="H1" s="18" t="s">
        <v>3523</v>
      </c>
      <c r="I1" s="18" t="s">
        <v>3610</v>
      </c>
      <c r="J1" s="18" t="s">
        <v>3525</v>
      </c>
      <c r="K1" s="18" t="s">
        <v>3611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4</v>
      </c>
      <c r="Q1" s="18" t="s">
        <v>5</v>
      </c>
      <c r="R1" s="18" t="s">
        <v>3630</v>
      </c>
      <c r="T1" s="23" t="s">
        <v>3646</v>
      </c>
    </row>
    <row r="2" spans="1:20" x14ac:dyDescent="0.3">
      <c r="A2" s="7" t="str">
        <f>HYPERLINK("https://hsdes.intel.com/resource/14013114695","14013114695")</f>
        <v>14013114695</v>
      </c>
      <c r="B2" s="7" t="s">
        <v>6</v>
      </c>
      <c r="C2" s="7" t="s">
        <v>7</v>
      </c>
      <c r="D2" s="7" t="s">
        <v>3612</v>
      </c>
      <c r="E2" s="7" t="s">
        <v>3617</v>
      </c>
      <c r="F2" s="8" t="s">
        <v>3628</v>
      </c>
      <c r="H2" s="7" t="s">
        <v>3620</v>
      </c>
      <c r="I2" s="7" t="s">
        <v>3524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t="s">
        <v>3631</v>
      </c>
    </row>
    <row r="3" spans="1:20" x14ac:dyDescent="0.3">
      <c r="A3" s="7" t="str">
        <f>HYPERLINK("https://hsdes.intel.com/resource/14013114711","14013114711")</f>
        <v>14013114711</v>
      </c>
      <c r="B3" s="7" t="s">
        <v>14</v>
      </c>
      <c r="C3" s="7" t="s">
        <v>7</v>
      </c>
      <c r="D3" s="7" t="s">
        <v>3612</v>
      </c>
      <c r="E3" s="7" t="s">
        <v>3617</v>
      </c>
      <c r="F3" s="8" t="s">
        <v>3628</v>
      </c>
      <c r="H3" s="7" t="s">
        <v>3620</v>
      </c>
      <c r="I3" s="7" t="s">
        <v>3524</v>
      </c>
      <c r="L3" s="7" t="s">
        <v>8</v>
      </c>
      <c r="M3" s="7" t="s">
        <v>9</v>
      </c>
      <c r="N3" s="7" t="s">
        <v>10</v>
      </c>
      <c r="O3" s="7" t="s">
        <v>15</v>
      </c>
      <c r="P3" s="7" t="s">
        <v>16</v>
      </c>
      <c r="Q3" s="7" t="s">
        <v>17</v>
      </c>
      <c r="R3" t="s">
        <v>3632</v>
      </c>
    </row>
    <row r="4" spans="1:20" x14ac:dyDescent="0.3">
      <c r="A4" s="7" t="str">
        <f>HYPERLINK("https://hsdes.intel.com/resource/14013114734","14013114734")</f>
        <v>14013114734</v>
      </c>
      <c r="B4" s="7" t="s">
        <v>18</v>
      </c>
      <c r="C4" s="7" t="s">
        <v>7</v>
      </c>
      <c r="D4" s="7" t="s">
        <v>3612</v>
      </c>
      <c r="E4" s="7" t="s">
        <v>3617</v>
      </c>
      <c r="F4" s="8" t="s">
        <v>3628</v>
      </c>
      <c r="H4" s="7" t="s">
        <v>3620</v>
      </c>
      <c r="I4" s="7" t="s">
        <v>3524</v>
      </c>
      <c r="L4" s="7" t="s">
        <v>8</v>
      </c>
      <c r="M4" s="7" t="s">
        <v>9</v>
      </c>
      <c r="N4" s="7" t="s">
        <v>10</v>
      </c>
      <c r="O4" s="7" t="s">
        <v>19</v>
      </c>
      <c r="P4" s="7" t="s">
        <v>20</v>
      </c>
      <c r="Q4" s="7" t="s">
        <v>21</v>
      </c>
      <c r="R4" t="s">
        <v>3632</v>
      </c>
    </row>
    <row r="5" spans="1:20" x14ac:dyDescent="0.3">
      <c r="A5" s="7" t="str">
        <f>HYPERLINK("https://hsdes.intel.com/resource/14013114751","14013114751")</f>
        <v>14013114751</v>
      </c>
      <c r="B5" s="7" t="s">
        <v>22</v>
      </c>
      <c r="C5" s="7" t="s">
        <v>23</v>
      </c>
      <c r="D5" s="7" t="s">
        <v>3612</v>
      </c>
      <c r="E5" s="7" t="s">
        <v>3617</v>
      </c>
      <c r="F5" s="8" t="s">
        <v>3628</v>
      </c>
      <c r="H5" s="7" t="s">
        <v>3620</v>
      </c>
      <c r="I5" s="7" t="s">
        <v>3622</v>
      </c>
      <c r="L5" s="7" t="s">
        <v>24</v>
      </c>
      <c r="M5" s="7" t="s">
        <v>9</v>
      </c>
      <c r="N5" s="7" t="s">
        <v>25</v>
      </c>
      <c r="O5" s="7" t="s">
        <v>26</v>
      </c>
      <c r="P5" s="7" t="s">
        <v>26</v>
      </c>
      <c r="Q5" s="7" t="s">
        <v>27</v>
      </c>
      <c r="R5" t="s">
        <v>3632</v>
      </c>
    </row>
    <row r="6" spans="1:20" x14ac:dyDescent="0.3">
      <c r="A6" s="7" t="str">
        <f>HYPERLINK("https://hsdes.intel.com/resource/14013114769","14013114769")</f>
        <v>14013114769</v>
      </c>
      <c r="B6" s="7" t="s">
        <v>28</v>
      </c>
      <c r="C6" s="7" t="s">
        <v>29</v>
      </c>
      <c r="D6" s="7" t="s">
        <v>3612</v>
      </c>
      <c r="E6" s="7" t="s">
        <v>3617</v>
      </c>
      <c r="F6" s="8" t="s">
        <v>3628</v>
      </c>
      <c r="H6" s="7" t="s">
        <v>3620</v>
      </c>
      <c r="I6" s="7" t="s">
        <v>3643</v>
      </c>
      <c r="L6" s="7" t="s">
        <v>30</v>
      </c>
      <c r="M6" s="7" t="s">
        <v>9</v>
      </c>
      <c r="N6" s="7" t="s">
        <v>25</v>
      </c>
      <c r="O6" s="7" t="s">
        <v>31</v>
      </c>
      <c r="P6" s="7" t="s">
        <v>31</v>
      </c>
      <c r="Q6" s="7" t="s">
        <v>32</v>
      </c>
      <c r="R6" t="s">
        <v>3632</v>
      </c>
    </row>
    <row r="7" spans="1:20" x14ac:dyDescent="0.3">
      <c r="A7" s="7" t="str">
        <f>HYPERLINK("https://hsdes.intel.com/resource/14013114813","14013114813")</f>
        <v>14013114813</v>
      </c>
      <c r="B7" s="7" t="s">
        <v>33</v>
      </c>
      <c r="C7" s="7" t="s">
        <v>29</v>
      </c>
      <c r="D7" s="7" t="s">
        <v>3612</v>
      </c>
      <c r="E7" s="7" t="s">
        <v>3617</v>
      </c>
      <c r="F7" s="8" t="s">
        <v>3628</v>
      </c>
      <c r="H7" s="7" t="s">
        <v>3620</v>
      </c>
      <c r="I7" s="7" t="s">
        <v>3524</v>
      </c>
      <c r="L7" s="7" t="s">
        <v>30</v>
      </c>
      <c r="M7" s="7" t="s">
        <v>9</v>
      </c>
      <c r="N7" s="7" t="s">
        <v>25</v>
      </c>
      <c r="O7" s="7" t="s">
        <v>34</v>
      </c>
      <c r="P7" s="7" t="s">
        <v>34</v>
      </c>
      <c r="Q7" s="7" t="s">
        <v>35</v>
      </c>
      <c r="R7" t="s">
        <v>3632</v>
      </c>
    </row>
    <row r="8" spans="1:20" x14ac:dyDescent="0.3">
      <c r="A8" s="7" t="str">
        <f>HYPERLINK("https://hsdes.intel.com/resource/14013114842","14013114842")</f>
        <v>14013114842</v>
      </c>
      <c r="B8" s="7" t="s">
        <v>36</v>
      </c>
      <c r="C8" s="7" t="s">
        <v>37</v>
      </c>
      <c r="D8" s="7" t="s">
        <v>3612</v>
      </c>
      <c r="E8" s="7" t="s">
        <v>3617</v>
      </c>
      <c r="F8" s="8" t="s">
        <v>3628</v>
      </c>
      <c r="H8" s="7" t="s">
        <v>3620</v>
      </c>
      <c r="I8" s="7" t="s">
        <v>3644</v>
      </c>
      <c r="L8" s="7" t="s">
        <v>38</v>
      </c>
      <c r="M8" s="7" t="s">
        <v>9</v>
      </c>
      <c r="N8" s="7" t="s">
        <v>39</v>
      </c>
      <c r="O8" s="7" t="s">
        <v>40</v>
      </c>
      <c r="P8" s="7" t="s">
        <v>41</v>
      </c>
      <c r="Q8" s="7" t="s">
        <v>42</v>
      </c>
      <c r="R8" t="s">
        <v>3631</v>
      </c>
    </row>
    <row r="9" spans="1:20" x14ac:dyDescent="0.3">
      <c r="A9" s="7" t="str">
        <f>HYPERLINK("https://hsdes.intel.com/resource/14013114861","14013114861")</f>
        <v>14013114861</v>
      </c>
      <c r="B9" s="7" t="s">
        <v>43</v>
      </c>
      <c r="C9" s="7" t="s">
        <v>23</v>
      </c>
      <c r="D9" s="7" t="s">
        <v>3612</v>
      </c>
      <c r="E9" s="7" t="s">
        <v>3617</v>
      </c>
      <c r="F9" s="8" t="s">
        <v>3628</v>
      </c>
      <c r="H9" s="7" t="s">
        <v>3620</v>
      </c>
      <c r="I9" s="7" t="s">
        <v>3624</v>
      </c>
      <c r="J9" s="7" t="s">
        <v>3625</v>
      </c>
      <c r="L9" s="7" t="s">
        <v>30</v>
      </c>
      <c r="M9" s="7" t="s">
        <v>9</v>
      </c>
      <c r="N9" s="7" t="s">
        <v>25</v>
      </c>
      <c r="O9" s="7" t="s">
        <v>44</v>
      </c>
      <c r="P9" s="7" t="s">
        <v>45</v>
      </c>
      <c r="Q9" s="7" t="s">
        <v>46</v>
      </c>
      <c r="R9" t="s">
        <v>3632</v>
      </c>
    </row>
    <row r="10" spans="1:20" x14ac:dyDescent="0.3">
      <c r="A10" s="7" t="str">
        <f>HYPERLINK("https://hsdes.intel.com/resource/14013114878","14013114878")</f>
        <v>14013114878</v>
      </c>
      <c r="B10" s="7" t="s">
        <v>47</v>
      </c>
      <c r="C10" s="7" t="s">
        <v>23</v>
      </c>
      <c r="D10" s="7" t="s">
        <v>3612</v>
      </c>
      <c r="E10" s="7" t="s">
        <v>3617</v>
      </c>
      <c r="F10" s="8" t="s">
        <v>3628</v>
      </c>
      <c r="H10" s="7" t="s">
        <v>3620</v>
      </c>
      <c r="I10" s="7" t="s">
        <v>3624</v>
      </c>
      <c r="L10" s="7" t="s">
        <v>24</v>
      </c>
      <c r="M10" s="7" t="s">
        <v>9</v>
      </c>
      <c r="N10" s="7" t="s">
        <v>25</v>
      </c>
      <c r="O10" s="7" t="s">
        <v>48</v>
      </c>
      <c r="P10" s="7" t="s">
        <v>48</v>
      </c>
      <c r="Q10" s="7" t="s">
        <v>49</v>
      </c>
      <c r="R10" t="s">
        <v>3632</v>
      </c>
    </row>
    <row r="11" spans="1:20" x14ac:dyDescent="0.3">
      <c r="A11" s="7" t="str">
        <f>HYPERLINK("https://hsdes.intel.com/resource/14013114906","14013114906")</f>
        <v>14013114906</v>
      </c>
      <c r="B11" s="7" t="s">
        <v>50</v>
      </c>
      <c r="C11" s="7" t="s">
        <v>7</v>
      </c>
      <c r="D11" s="7" t="s">
        <v>3612</v>
      </c>
      <c r="E11" s="7" t="s">
        <v>3617</v>
      </c>
      <c r="F11" s="8" t="s">
        <v>3628</v>
      </c>
      <c r="H11" s="7" t="s">
        <v>3620</v>
      </c>
      <c r="I11" s="7" t="s">
        <v>3524</v>
      </c>
      <c r="L11" s="7" t="s">
        <v>8</v>
      </c>
      <c r="M11" s="7" t="s">
        <v>9</v>
      </c>
      <c r="N11" s="7" t="s">
        <v>10</v>
      </c>
      <c r="O11" s="7" t="s">
        <v>51</v>
      </c>
      <c r="P11" s="7" t="s">
        <v>52</v>
      </c>
      <c r="Q11" s="7" t="s">
        <v>53</v>
      </c>
      <c r="R11" t="s">
        <v>3631</v>
      </c>
    </row>
    <row r="12" spans="1:20" x14ac:dyDescent="0.3">
      <c r="A12" s="7" t="str">
        <f>HYPERLINK("https://hsdes.intel.com/resource/14013114989","14013114989")</f>
        <v>14013114989</v>
      </c>
      <c r="B12" s="7" t="s">
        <v>54</v>
      </c>
      <c r="C12" s="7" t="s">
        <v>55</v>
      </c>
      <c r="D12" s="7" t="s">
        <v>3612</v>
      </c>
      <c r="E12" s="7" t="s">
        <v>3617</v>
      </c>
      <c r="F12" s="8" t="s">
        <v>3628</v>
      </c>
      <c r="H12" s="7" t="s">
        <v>3618</v>
      </c>
      <c r="J12" s="7" t="s">
        <v>3551</v>
      </c>
      <c r="L12" s="7" t="s">
        <v>8</v>
      </c>
      <c r="M12" s="7" t="s">
        <v>9</v>
      </c>
      <c r="N12" s="7" t="s">
        <v>56</v>
      </c>
      <c r="O12" s="7" t="s">
        <v>57</v>
      </c>
      <c r="P12" s="7" t="s">
        <v>57</v>
      </c>
      <c r="Q12" s="7" t="s">
        <v>58</v>
      </c>
      <c r="R12" t="s">
        <v>3632</v>
      </c>
    </row>
    <row r="13" spans="1:20" x14ac:dyDescent="0.3">
      <c r="A13" s="7" t="str">
        <f>HYPERLINK("https://hsdes.intel.com/resource/14013115011","14013115011")</f>
        <v>14013115011</v>
      </c>
      <c r="B13" s="7" t="s">
        <v>59</v>
      </c>
      <c r="C13" s="7" t="s">
        <v>7</v>
      </c>
      <c r="D13" s="7" t="s">
        <v>3612</v>
      </c>
      <c r="E13" s="7" t="s">
        <v>3617</v>
      </c>
      <c r="F13" s="8" t="s">
        <v>3628</v>
      </c>
      <c r="H13" s="7" t="s">
        <v>3618</v>
      </c>
      <c r="I13" s="7" t="s">
        <v>3524</v>
      </c>
      <c r="J13" s="7" t="s">
        <v>3531</v>
      </c>
      <c r="L13" s="7" t="s">
        <v>8</v>
      </c>
      <c r="M13" s="7" t="s">
        <v>9</v>
      </c>
      <c r="N13" s="7" t="s">
        <v>56</v>
      </c>
      <c r="O13" s="7" t="s">
        <v>60</v>
      </c>
      <c r="P13" s="7" t="s">
        <v>60</v>
      </c>
      <c r="Q13" s="7" t="s">
        <v>61</v>
      </c>
      <c r="R13" t="s">
        <v>3633</v>
      </c>
    </row>
    <row r="14" spans="1:20" x14ac:dyDescent="0.3">
      <c r="A14" s="7" t="str">
        <f>HYPERLINK("https://hsdes.intel.com/resource/14013115084","14013115084")</f>
        <v>14013115084</v>
      </c>
      <c r="B14" s="7" t="s">
        <v>62</v>
      </c>
      <c r="C14" s="7" t="s">
        <v>63</v>
      </c>
      <c r="D14" s="7" t="s">
        <v>3612</v>
      </c>
      <c r="E14" s="7" t="s">
        <v>3617</v>
      </c>
      <c r="F14" s="8" t="s">
        <v>3628</v>
      </c>
      <c r="H14" s="7" t="s">
        <v>3620</v>
      </c>
      <c r="I14" s="7" t="s">
        <v>3622</v>
      </c>
      <c r="L14" s="7" t="s">
        <v>64</v>
      </c>
      <c r="M14" s="7" t="s">
        <v>9</v>
      </c>
      <c r="N14" s="7" t="s">
        <v>56</v>
      </c>
      <c r="O14" s="7" t="s">
        <v>65</v>
      </c>
      <c r="P14" s="7" t="s">
        <v>66</v>
      </c>
      <c r="Q14" s="7" t="s">
        <v>67</v>
      </c>
      <c r="R14" t="s">
        <v>3632</v>
      </c>
    </row>
    <row r="15" spans="1:20" x14ac:dyDescent="0.3">
      <c r="A15" s="7" t="str">
        <f>HYPERLINK("https://hsdes.intel.com/resource/14013115112","14013115112")</f>
        <v>14013115112</v>
      </c>
      <c r="B15" s="7" t="s">
        <v>68</v>
      </c>
      <c r="C15" s="7" t="s">
        <v>63</v>
      </c>
      <c r="D15" s="7" t="s">
        <v>3612</v>
      </c>
      <c r="E15" s="7" t="s">
        <v>3617</v>
      </c>
      <c r="F15" s="8" t="s">
        <v>3628</v>
      </c>
      <c r="H15" s="7" t="s">
        <v>3620</v>
      </c>
      <c r="I15" s="7" t="s">
        <v>3640</v>
      </c>
      <c r="L15" s="7" t="s">
        <v>64</v>
      </c>
      <c r="M15" s="7" t="s">
        <v>9</v>
      </c>
      <c r="N15" s="7" t="s">
        <v>56</v>
      </c>
      <c r="O15" s="7" t="s">
        <v>65</v>
      </c>
      <c r="P15" s="7" t="s">
        <v>66</v>
      </c>
      <c r="Q15" s="7" t="s">
        <v>69</v>
      </c>
      <c r="R15" t="s">
        <v>3632</v>
      </c>
    </row>
    <row r="16" spans="1:20" x14ac:dyDescent="0.3">
      <c r="A16" s="7" t="str">
        <f>HYPERLINK("https://hsdes.intel.com/resource/14013115234","14013115234")</f>
        <v>14013115234</v>
      </c>
      <c r="B16" s="7" t="s">
        <v>70</v>
      </c>
      <c r="C16" s="7" t="s">
        <v>37</v>
      </c>
      <c r="D16" s="7" t="s">
        <v>3612</v>
      </c>
      <c r="E16" s="7" t="s">
        <v>3617</v>
      </c>
      <c r="F16" s="8" t="s">
        <v>3628</v>
      </c>
      <c r="H16" s="7" t="s">
        <v>3620</v>
      </c>
      <c r="I16" s="7" t="s">
        <v>3644</v>
      </c>
      <c r="L16" s="7" t="s">
        <v>38</v>
      </c>
      <c r="M16" s="7" t="s">
        <v>9</v>
      </c>
      <c r="N16" s="7" t="s">
        <v>39</v>
      </c>
      <c r="O16" s="7" t="s">
        <v>40</v>
      </c>
      <c r="P16" s="7" t="s">
        <v>71</v>
      </c>
      <c r="Q16" s="7" t="s">
        <v>72</v>
      </c>
      <c r="R16" t="s">
        <v>3631</v>
      </c>
    </row>
    <row r="17" spans="1:18" x14ac:dyDescent="0.3">
      <c r="A17" s="7" t="str">
        <f>HYPERLINK("https://hsdes.intel.com/resource/14013115275","14013115275")</f>
        <v>14013115275</v>
      </c>
      <c r="B17" s="7" t="s">
        <v>73</v>
      </c>
      <c r="C17" s="7" t="s">
        <v>63</v>
      </c>
      <c r="D17" s="7" t="s">
        <v>3612</v>
      </c>
      <c r="E17" s="7" t="s">
        <v>3617</v>
      </c>
      <c r="F17" s="8" t="s">
        <v>3628</v>
      </c>
      <c r="H17" s="7" t="s">
        <v>3620</v>
      </c>
      <c r="I17" s="7" t="s">
        <v>3640</v>
      </c>
      <c r="L17" s="7" t="s">
        <v>64</v>
      </c>
      <c r="M17" s="7" t="s">
        <v>9</v>
      </c>
      <c r="N17" s="7" t="s">
        <v>56</v>
      </c>
      <c r="O17" s="7" t="s">
        <v>74</v>
      </c>
      <c r="P17" s="7" t="s">
        <v>75</v>
      </c>
      <c r="Q17" s="7" t="s">
        <v>76</v>
      </c>
      <c r="R17" t="s">
        <v>3633</v>
      </c>
    </row>
    <row r="18" spans="1:18" x14ac:dyDescent="0.3">
      <c r="A18" s="7" t="str">
        <f>HYPERLINK("https://hsdes.intel.com/resource/14013115314","14013115314")</f>
        <v>14013115314</v>
      </c>
      <c r="B18" s="7" t="s">
        <v>77</v>
      </c>
      <c r="C18" s="7" t="s">
        <v>55</v>
      </c>
      <c r="D18" s="7" t="s">
        <v>3612</v>
      </c>
      <c r="E18" s="7" t="s">
        <v>3617</v>
      </c>
      <c r="F18" s="8" t="s">
        <v>3628</v>
      </c>
      <c r="H18" s="7" t="s">
        <v>3620</v>
      </c>
      <c r="I18" s="7" t="s">
        <v>3643</v>
      </c>
      <c r="L18" s="7" t="s">
        <v>30</v>
      </c>
      <c r="M18" s="7" t="s">
        <v>9</v>
      </c>
      <c r="N18" s="7" t="s">
        <v>39</v>
      </c>
      <c r="O18" s="7" t="s">
        <v>78</v>
      </c>
      <c r="P18" s="7" t="s">
        <v>78</v>
      </c>
      <c r="Q18" s="7" t="s">
        <v>79</v>
      </c>
      <c r="R18" t="s">
        <v>3632</v>
      </c>
    </row>
    <row r="19" spans="1:18" x14ac:dyDescent="0.3">
      <c r="A19" s="7" t="str">
        <f>HYPERLINK("https://hsdes.intel.com/resource/14013115427","14013115427")</f>
        <v>14013115427</v>
      </c>
      <c r="B19" s="7" t="s">
        <v>80</v>
      </c>
      <c r="C19" s="7" t="s">
        <v>37</v>
      </c>
      <c r="D19" s="7" t="s">
        <v>3612</v>
      </c>
      <c r="E19" s="7" t="s">
        <v>3617</v>
      </c>
      <c r="F19" s="8" t="s">
        <v>3628</v>
      </c>
      <c r="H19" s="7" t="s">
        <v>3620</v>
      </c>
      <c r="I19" s="7" t="s">
        <v>3644</v>
      </c>
      <c r="L19" s="7" t="s">
        <v>38</v>
      </c>
      <c r="M19" s="7" t="s">
        <v>9</v>
      </c>
      <c r="N19" s="7" t="s">
        <v>39</v>
      </c>
      <c r="O19" s="7" t="s">
        <v>81</v>
      </c>
      <c r="P19" s="7" t="s">
        <v>82</v>
      </c>
      <c r="Q19" s="7" t="s">
        <v>83</v>
      </c>
      <c r="R19" t="s">
        <v>3632</v>
      </c>
    </row>
    <row r="20" spans="1:18" x14ac:dyDescent="0.3">
      <c r="A20" s="7" t="str">
        <f>HYPERLINK("https://hsdes.intel.com/resource/14013115566","14013115566")</f>
        <v>14013115566</v>
      </c>
      <c r="B20" s="7" t="s">
        <v>84</v>
      </c>
      <c r="C20" s="7" t="s">
        <v>37</v>
      </c>
      <c r="D20" s="7" t="s">
        <v>3612</v>
      </c>
      <c r="E20" s="7" t="s">
        <v>3617</v>
      </c>
      <c r="F20" s="8" t="s">
        <v>3628</v>
      </c>
      <c r="H20" s="7" t="s">
        <v>3620</v>
      </c>
      <c r="I20" s="7" t="s">
        <v>3644</v>
      </c>
      <c r="L20" s="7" t="s">
        <v>38</v>
      </c>
      <c r="M20" s="7" t="s">
        <v>9</v>
      </c>
      <c r="N20" s="7" t="s">
        <v>39</v>
      </c>
      <c r="O20" s="7" t="s">
        <v>85</v>
      </c>
      <c r="P20" s="7" t="s">
        <v>86</v>
      </c>
      <c r="Q20" s="7" t="s">
        <v>87</v>
      </c>
      <c r="R20" t="s">
        <v>3632</v>
      </c>
    </row>
    <row r="21" spans="1:18" x14ac:dyDescent="0.3">
      <c r="A21" s="7" t="str">
        <f>HYPERLINK("https://hsdes.intel.com/resource/14013116396","14013116396")</f>
        <v>14013116396</v>
      </c>
      <c r="B21" s="7" t="s">
        <v>88</v>
      </c>
      <c r="C21" s="7" t="s">
        <v>37</v>
      </c>
      <c r="D21" s="7" t="s">
        <v>3612</v>
      </c>
      <c r="E21" s="7" t="s">
        <v>3617</v>
      </c>
      <c r="F21" s="8" t="s">
        <v>3628</v>
      </c>
      <c r="H21" s="7" t="s">
        <v>3620</v>
      </c>
      <c r="I21" s="7" t="s">
        <v>3644</v>
      </c>
      <c r="L21" s="7" t="s">
        <v>38</v>
      </c>
      <c r="M21" s="7" t="s">
        <v>9</v>
      </c>
      <c r="N21" s="7" t="s">
        <v>39</v>
      </c>
      <c r="O21" s="7" t="s">
        <v>81</v>
      </c>
      <c r="P21" s="7" t="s">
        <v>41</v>
      </c>
      <c r="Q21" s="7" t="s">
        <v>89</v>
      </c>
      <c r="R21" t="s">
        <v>3632</v>
      </c>
    </row>
    <row r="22" spans="1:18" x14ac:dyDescent="0.3">
      <c r="A22" s="7" t="str">
        <f>HYPERLINK("https://hsdes.intel.com/resource/14013116815","14013116815")</f>
        <v>14013116815</v>
      </c>
      <c r="B22" s="7" t="s">
        <v>90</v>
      </c>
      <c r="C22" s="7" t="s">
        <v>63</v>
      </c>
      <c r="D22" s="7" t="s">
        <v>3612</v>
      </c>
      <c r="E22" s="7" t="s">
        <v>3617</v>
      </c>
      <c r="F22" s="8" t="s">
        <v>3628</v>
      </c>
      <c r="H22" s="7" t="s">
        <v>3620</v>
      </c>
      <c r="I22" s="7" t="s">
        <v>3640</v>
      </c>
      <c r="L22" s="7" t="s">
        <v>64</v>
      </c>
      <c r="M22" s="7" t="s">
        <v>9</v>
      </c>
      <c r="N22" s="7" t="s">
        <v>56</v>
      </c>
      <c r="O22" s="7" t="s">
        <v>91</v>
      </c>
      <c r="P22" s="7" t="s">
        <v>66</v>
      </c>
      <c r="Q22" s="7" t="s">
        <v>92</v>
      </c>
      <c r="R22" t="s">
        <v>3632</v>
      </c>
    </row>
    <row r="23" spans="1:18" x14ac:dyDescent="0.3">
      <c r="A23" s="7" t="str">
        <f>HYPERLINK("https://hsdes.intel.com/resource/14013116828","14013116828")</f>
        <v>14013116828</v>
      </c>
      <c r="B23" s="7" t="s">
        <v>93</v>
      </c>
      <c r="C23" s="7" t="s">
        <v>37</v>
      </c>
      <c r="D23" s="7" t="s">
        <v>3612</v>
      </c>
      <c r="E23" s="7" t="s">
        <v>3617</v>
      </c>
      <c r="F23" s="8" t="s">
        <v>3628</v>
      </c>
      <c r="H23" s="7" t="s">
        <v>3620</v>
      </c>
      <c r="I23" s="7" t="s">
        <v>3644</v>
      </c>
      <c r="L23" s="7" t="s">
        <v>38</v>
      </c>
      <c r="M23" s="7" t="s">
        <v>94</v>
      </c>
      <c r="N23" s="7" t="s">
        <v>39</v>
      </c>
      <c r="O23" s="7" t="s">
        <v>95</v>
      </c>
      <c r="P23" s="7" t="s">
        <v>96</v>
      </c>
      <c r="Q23" s="7" t="s">
        <v>97</v>
      </c>
      <c r="R23" t="s">
        <v>3632</v>
      </c>
    </row>
    <row r="24" spans="1:18" x14ac:dyDescent="0.3">
      <c r="A24" s="7" t="str">
        <f>HYPERLINK("https://hsdes.intel.com/resource/14013117056","14013117056")</f>
        <v>14013117056</v>
      </c>
      <c r="B24" s="7" t="s">
        <v>98</v>
      </c>
      <c r="C24" s="7" t="s">
        <v>99</v>
      </c>
      <c r="D24" s="7" t="s">
        <v>3612</v>
      </c>
      <c r="E24" s="7" t="s">
        <v>3617</v>
      </c>
      <c r="F24" s="8" t="s">
        <v>3628</v>
      </c>
      <c r="H24" s="7" t="s">
        <v>3620</v>
      </c>
      <c r="I24" s="7" t="s">
        <v>3654</v>
      </c>
      <c r="J24" s="7" t="s">
        <v>3527</v>
      </c>
      <c r="L24" s="7" t="s">
        <v>100</v>
      </c>
      <c r="M24" s="7" t="s">
        <v>94</v>
      </c>
      <c r="N24" s="7" t="s">
        <v>56</v>
      </c>
      <c r="O24" s="7" t="s">
        <v>101</v>
      </c>
      <c r="P24" s="7" t="s">
        <v>16</v>
      </c>
      <c r="Q24" s="7" t="s">
        <v>102</v>
      </c>
      <c r="R24" t="s">
        <v>3631</v>
      </c>
    </row>
    <row r="25" spans="1:18" x14ac:dyDescent="0.3">
      <c r="A25" s="7" t="str">
        <f>HYPERLINK("https://hsdes.intel.com/resource/14013117106","14013117106")</f>
        <v>14013117106</v>
      </c>
      <c r="B25" s="7" t="s">
        <v>103</v>
      </c>
      <c r="C25" s="7" t="s">
        <v>63</v>
      </c>
      <c r="D25" s="7" t="s">
        <v>3612</v>
      </c>
      <c r="E25" s="7" t="s">
        <v>3617</v>
      </c>
      <c r="F25" s="8" t="s">
        <v>3628</v>
      </c>
      <c r="H25" s="7" t="s">
        <v>3620</v>
      </c>
      <c r="I25" s="7" t="s">
        <v>3640</v>
      </c>
      <c r="L25" s="7" t="s">
        <v>64</v>
      </c>
      <c r="M25" s="7" t="s">
        <v>9</v>
      </c>
      <c r="N25" s="7" t="s">
        <v>56</v>
      </c>
      <c r="O25" s="7" t="s">
        <v>104</v>
      </c>
      <c r="P25" s="7" t="s">
        <v>105</v>
      </c>
      <c r="Q25" s="7" t="s">
        <v>106</v>
      </c>
      <c r="R25" t="s">
        <v>3631</v>
      </c>
    </row>
    <row r="26" spans="1:18" x14ac:dyDescent="0.3">
      <c r="A26" s="7" t="str">
        <f>HYPERLINK("https://hsdes.intel.com/resource/14013117134","14013117134")</f>
        <v>14013117134</v>
      </c>
      <c r="B26" s="7" t="s">
        <v>107</v>
      </c>
      <c r="C26" s="7" t="s">
        <v>63</v>
      </c>
      <c r="D26" s="7" t="s">
        <v>3612</v>
      </c>
      <c r="E26" s="7" t="s">
        <v>3617</v>
      </c>
      <c r="F26" s="8" t="s">
        <v>3628</v>
      </c>
      <c r="H26" s="7" t="s">
        <v>3620</v>
      </c>
      <c r="I26" s="7" t="s">
        <v>3622</v>
      </c>
      <c r="L26" s="7" t="s">
        <v>64</v>
      </c>
      <c r="M26" s="7" t="s">
        <v>9</v>
      </c>
      <c r="N26" s="7" t="s">
        <v>56</v>
      </c>
      <c r="O26" s="7" t="s">
        <v>108</v>
      </c>
      <c r="P26" s="7" t="s">
        <v>109</v>
      </c>
      <c r="Q26" s="7" t="s">
        <v>110</v>
      </c>
      <c r="R26" t="s">
        <v>3633</v>
      </c>
    </row>
    <row r="27" spans="1:18" x14ac:dyDescent="0.3">
      <c r="A27" s="7" t="str">
        <f>HYPERLINK("https://hsdes.intel.com/resource/14013117177","14013117177")</f>
        <v>14013117177</v>
      </c>
      <c r="B27" s="7" t="s">
        <v>111</v>
      </c>
      <c r="C27" s="7" t="s">
        <v>112</v>
      </c>
      <c r="D27" s="7" t="s">
        <v>3613</v>
      </c>
      <c r="E27" s="7" t="s">
        <v>3617</v>
      </c>
      <c r="F27" s="8" t="s">
        <v>3628</v>
      </c>
      <c r="H27" s="7" t="s">
        <v>3620</v>
      </c>
      <c r="I27" s="7" t="s">
        <v>3640</v>
      </c>
      <c r="L27" s="7" t="s">
        <v>30</v>
      </c>
      <c r="M27" s="7" t="s">
        <v>9</v>
      </c>
      <c r="N27" s="7" t="s">
        <v>56</v>
      </c>
      <c r="O27" s="7" t="s">
        <v>113</v>
      </c>
      <c r="P27" s="7" t="s">
        <v>114</v>
      </c>
      <c r="Q27" s="7" t="s">
        <v>115</v>
      </c>
      <c r="R27" t="s">
        <v>3632</v>
      </c>
    </row>
    <row r="28" spans="1:18" x14ac:dyDescent="0.3">
      <c r="A28" s="7" t="str">
        <f>HYPERLINK("https://hsdes.intel.com/resource/14013117217","14013117217")</f>
        <v>14013117217</v>
      </c>
      <c r="B28" s="7" t="s">
        <v>116</v>
      </c>
      <c r="C28" s="7" t="s">
        <v>37</v>
      </c>
      <c r="D28" s="7" t="s">
        <v>3612</v>
      </c>
      <c r="E28" s="7" t="s">
        <v>3617</v>
      </c>
      <c r="F28" s="8" t="s">
        <v>3628</v>
      </c>
      <c r="H28" s="7" t="s">
        <v>3620</v>
      </c>
      <c r="I28" s="7" t="s">
        <v>3644</v>
      </c>
      <c r="L28" s="7" t="s">
        <v>38</v>
      </c>
      <c r="M28" s="7" t="s">
        <v>9</v>
      </c>
      <c r="N28" s="7" t="s">
        <v>39</v>
      </c>
      <c r="O28" s="7" t="s">
        <v>117</v>
      </c>
      <c r="P28" s="7" t="s">
        <v>118</v>
      </c>
      <c r="Q28" s="7" t="s">
        <v>119</v>
      </c>
      <c r="R28" t="s">
        <v>3632</v>
      </c>
    </row>
    <row r="29" spans="1:18" x14ac:dyDescent="0.3">
      <c r="A29" s="7" t="str">
        <f>HYPERLINK("https://hsdes.intel.com/resource/14013117320","14013117320")</f>
        <v>14013117320</v>
      </c>
      <c r="B29" s="7" t="s">
        <v>120</v>
      </c>
      <c r="C29" s="7" t="s">
        <v>121</v>
      </c>
      <c r="D29" s="7" t="s">
        <v>3613</v>
      </c>
      <c r="E29" s="7" t="s">
        <v>3617</v>
      </c>
      <c r="F29" s="8" t="s">
        <v>3628</v>
      </c>
      <c r="H29" s="7" t="s">
        <v>3619</v>
      </c>
      <c r="I29" s="7" t="s">
        <v>3622</v>
      </c>
      <c r="L29" s="7" t="s">
        <v>30</v>
      </c>
      <c r="M29" s="7" t="s">
        <v>94</v>
      </c>
      <c r="N29" s="7" t="s">
        <v>122</v>
      </c>
      <c r="O29" s="7" t="s">
        <v>123</v>
      </c>
      <c r="P29" s="7" t="s">
        <v>124</v>
      </c>
      <c r="Q29" s="7" t="s">
        <v>125</v>
      </c>
      <c r="R29" t="s">
        <v>3632</v>
      </c>
    </row>
    <row r="30" spans="1:18" x14ac:dyDescent="0.3">
      <c r="A30" s="7" t="str">
        <f>HYPERLINK("https://hsdes.intel.com/resource/14013117361","14013117361")</f>
        <v>14013117361</v>
      </c>
      <c r="B30" s="7" t="s">
        <v>126</v>
      </c>
      <c r="C30" s="7" t="s">
        <v>37</v>
      </c>
      <c r="D30" s="7" t="s">
        <v>3612</v>
      </c>
      <c r="E30" s="7" t="s">
        <v>3617</v>
      </c>
      <c r="F30" s="8" t="s">
        <v>3628</v>
      </c>
      <c r="H30" s="7" t="s">
        <v>3620</v>
      </c>
      <c r="I30" s="7" t="s">
        <v>3644</v>
      </c>
      <c r="L30" s="7" t="s">
        <v>38</v>
      </c>
      <c r="M30" s="7" t="s">
        <v>9</v>
      </c>
      <c r="N30" s="7" t="s">
        <v>39</v>
      </c>
      <c r="O30" s="7" t="s">
        <v>41</v>
      </c>
      <c r="P30" s="7" t="s">
        <v>41</v>
      </c>
      <c r="Q30" s="7" t="s">
        <v>127</v>
      </c>
      <c r="R30" t="s">
        <v>3632</v>
      </c>
    </row>
    <row r="31" spans="1:18" x14ac:dyDescent="0.3">
      <c r="A31" s="7" t="str">
        <f>HYPERLINK("https://hsdes.intel.com/resource/14013118179","14013118179")</f>
        <v>14013118179</v>
      </c>
      <c r="B31" s="7" t="s">
        <v>128</v>
      </c>
      <c r="C31" s="7" t="s">
        <v>129</v>
      </c>
      <c r="D31" s="7" t="s">
        <v>3613</v>
      </c>
      <c r="E31" s="7" t="s">
        <v>3617</v>
      </c>
      <c r="F31" s="8" t="s">
        <v>3628</v>
      </c>
      <c r="H31" s="7" t="s">
        <v>3620</v>
      </c>
      <c r="I31" s="7" t="s">
        <v>3622</v>
      </c>
      <c r="L31" s="7" t="s">
        <v>30</v>
      </c>
      <c r="M31" s="7" t="s">
        <v>9</v>
      </c>
      <c r="N31" s="7" t="s">
        <v>122</v>
      </c>
      <c r="O31" s="7" t="s">
        <v>130</v>
      </c>
      <c r="P31" s="7" t="s">
        <v>124</v>
      </c>
      <c r="Q31" s="7" t="s">
        <v>131</v>
      </c>
      <c r="R31" t="s">
        <v>3633</v>
      </c>
    </row>
    <row r="32" spans="1:18" x14ac:dyDescent="0.3">
      <c r="A32" s="7" t="str">
        <f>HYPERLINK("https://hsdes.intel.com/resource/14013118472","14013118472")</f>
        <v>14013118472</v>
      </c>
      <c r="B32" s="7" t="s">
        <v>132</v>
      </c>
      <c r="C32" s="7" t="s">
        <v>133</v>
      </c>
      <c r="D32" s="7" t="s">
        <v>3612</v>
      </c>
      <c r="E32" s="7" t="s">
        <v>3617</v>
      </c>
      <c r="F32" s="8" t="s">
        <v>3628</v>
      </c>
      <c r="H32" s="7" t="s">
        <v>3620</v>
      </c>
      <c r="I32" s="7" t="s">
        <v>3643</v>
      </c>
      <c r="L32" s="7" t="s">
        <v>24</v>
      </c>
      <c r="M32" s="7" t="s">
        <v>9</v>
      </c>
      <c r="N32" s="7" t="s">
        <v>134</v>
      </c>
      <c r="O32" s="7" t="s">
        <v>48</v>
      </c>
      <c r="P32" s="7" t="s">
        <v>48</v>
      </c>
      <c r="Q32" s="7" t="s">
        <v>135</v>
      </c>
      <c r="R32" t="s">
        <v>3632</v>
      </c>
    </row>
    <row r="33" spans="1:18" x14ac:dyDescent="0.3">
      <c r="A33" s="7" t="str">
        <f>HYPERLINK("https://hsdes.intel.com/resource/14013118496","14013118496")</f>
        <v>14013118496</v>
      </c>
      <c r="B33" s="7" t="s">
        <v>136</v>
      </c>
      <c r="C33" s="7" t="s">
        <v>23</v>
      </c>
      <c r="D33" s="7" t="s">
        <v>3612</v>
      </c>
      <c r="E33" s="7" t="s">
        <v>3617</v>
      </c>
      <c r="F33" s="8" t="s">
        <v>3628</v>
      </c>
      <c r="H33" s="7" t="s">
        <v>3620</v>
      </c>
      <c r="I33" s="7" t="s">
        <v>3640</v>
      </c>
      <c r="L33" s="7" t="s">
        <v>24</v>
      </c>
      <c r="M33" s="7" t="s">
        <v>9</v>
      </c>
      <c r="N33" s="7" t="s">
        <v>39</v>
      </c>
      <c r="O33" s="7" t="s">
        <v>137</v>
      </c>
      <c r="P33" s="7" t="s">
        <v>137</v>
      </c>
      <c r="Q33" s="7" t="s">
        <v>138</v>
      </c>
      <c r="R33" t="s">
        <v>3632</v>
      </c>
    </row>
    <row r="34" spans="1:18" x14ac:dyDescent="0.3">
      <c r="A34" s="9" t="str">
        <f>HYPERLINK("https://hsdes.intel.com/resource/14013118541","14013118541")</f>
        <v>14013118541</v>
      </c>
      <c r="B34" s="7" t="s">
        <v>139</v>
      </c>
      <c r="C34" s="7" t="s">
        <v>133</v>
      </c>
      <c r="D34" s="7" t="s">
        <v>3612</v>
      </c>
      <c r="E34" s="7" t="s">
        <v>3617</v>
      </c>
      <c r="F34" s="8" t="s">
        <v>3628</v>
      </c>
      <c r="H34" s="7" t="s">
        <v>3620</v>
      </c>
      <c r="I34" s="7" t="s">
        <v>3643</v>
      </c>
      <c r="L34" s="7" t="s">
        <v>24</v>
      </c>
      <c r="M34" s="7" t="s">
        <v>9</v>
      </c>
      <c r="N34" s="7" t="s">
        <v>39</v>
      </c>
      <c r="O34" s="7" t="s">
        <v>48</v>
      </c>
      <c r="P34" s="7" t="s">
        <v>48</v>
      </c>
      <c r="Q34" s="7" t="s">
        <v>140</v>
      </c>
      <c r="R34" t="s">
        <v>3632</v>
      </c>
    </row>
    <row r="35" spans="1:18" x14ac:dyDescent="0.3">
      <c r="A35" s="7" t="str">
        <f>HYPERLINK("https://hsdes.intel.com/resource/14013118672","14013118672")</f>
        <v>14013118672</v>
      </c>
      <c r="B35" s="7" t="s">
        <v>141</v>
      </c>
      <c r="C35" s="7" t="s">
        <v>121</v>
      </c>
      <c r="D35" s="7" t="s">
        <v>3612</v>
      </c>
      <c r="E35" s="7" t="s">
        <v>3617</v>
      </c>
      <c r="F35" s="8" t="s">
        <v>3628</v>
      </c>
      <c r="H35" s="7" t="s">
        <v>3619</v>
      </c>
      <c r="I35" s="7" t="s">
        <v>3622</v>
      </c>
      <c r="L35" s="7" t="s">
        <v>142</v>
      </c>
      <c r="M35" s="7" t="s">
        <v>9</v>
      </c>
      <c r="N35" s="7" t="s">
        <v>25</v>
      </c>
      <c r="O35" s="7" t="s">
        <v>143</v>
      </c>
      <c r="P35" s="7" t="s">
        <v>143</v>
      </c>
      <c r="Q35" s="7" t="s">
        <v>144</v>
      </c>
      <c r="R35" t="s">
        <v>3632</v>
      </c>
    </row>
    <row r="36" spans="1:18" x14ac:dyDescent="0.3">
      <c r="A36" s="7" t="str">
        <f>HYPERLINK("https://hsdes.intel.com/resource/14013118721","14013118721")</f>
        <v>14013118721</v>
      </c>
      <c r="B36" s="7" t="s">
        <v>145</v>
      </c>
      <c r="C36" s="7" t="s">
        <v>133</v>
      </c>
      <c r="D36" s="7" t="s">
        <v>3612</v>
      </c>
      <c r="E36" s="7" t="s">
        <v>3617</v>
      </c>
      <c r="F36" s="8" t="s">
        <v>3628</v>
      </c>
      <c r="H36" s="7" t="s">
        <v>3620</v>
      </c>
      <c r="I36" s="7" t="s">
        <v>3643</v>
      </c>
      <c r="L36" s="7" t="s">
        <v>24</v>
      </c>
      <c r="M36" s="7" t="s">
        <v>9</v>
      </c>
      <c r="N36" s="7" t="s">
        <v>39</v>
      </c>
      <c r="O36" s="7" t="s">
        <v>137</v>
      </c>
      <c r="P36" s="7" t="s">
        <v>137</v>
      </c>
      <c r="Q36" s="7" t="s">
        <v>146</v>
      </c>
      <c r="R36" t="s">
        <v>3632</v>
      </c>
    </row>
    <row r="37" spans="1:18" x14ac:dyDescent="0.3">
      <c r="A37" s="7" t="str">
        <f>HYPERLINK("https://hsdes.intel.com/resource/14013118785","14013118785")</f>
        <v>14013118785</v>
      </c>
      <c r="B37" s="7" t="s">
        <v>147</v>
      </c>
      <c r="C37" s="7" t="s">
        <v>133</v>
      </c>
      <c r="D37" s="7" t="s">
        <v>3612</v>
      </c>
      <c r="E37" s="7" t="s">
        <v>3617</v>
      </c>
      <c r="F37" s="8" t="s">
        <v>3628</v>
      </c>
      <c r="H37" s="7" t="s">
        <v>3620</v>
      </c>
      <c r="I37" s="7" t="s">
        <v>3643</v>
      </c>
      <c r="L37" s="7" t="s">
        <v>24</v>
      </c>
      <c r="M37" s="7" t="s">
        <v>9</v>
      </c>
      <c r="N37" s="7" t="s">
        <v>39</v>
      </c>
      <c r="O37" s="7" t="s">
        <v>137</v>
      </c>
      <c r="P37" s="7" t="s">
        <v>137</v>
      </c>
      <c r="Q37" s="7" t="s">
        <v>148</v>
      </c>
      <c r="R37" t="s">
        <v>3632</v>
      </c>
    </row>
    <row r="38" spans="1:18" x14ac:dyDescent="0.3">
      <c r="A38" s="7" t="str">
        <f>HYPERLINK("https://hsdes.intel.com/resource/14013118908","14013118908")</f>
        <v>14013118908</v>
      </c>
      <c r="B38" s="7" t="s">
        <v>149</v>
      </c>
      <c r="C38" s="7" t="s">
        <v>133</v>
      </c>
      <c r="D38" s="7" t="s">
        <v>3612</v>
      </c>
      <c r="E38" s="7" t="s">
        <v>3617</v>
      </c>
      <c r="F38" s="8" t="s">
        <v>3628</v>
      </c>
      <c r="H38" s="7" t="s">
        <v>3620</v>
      </c>
      <c r="I38" s="7" t="s">
        <v>3643</v>
      </c>
      <c r="L38" s="7" t="s">
        <v>24</v>
      </c>
      <c r="M38" s="7" t="s">
        <v>9</v>
      </c>
      <c r="N38" s="7" t="s">
        <v>39</v>
      </c>
      <c r="O38" s="7" t="s">
        <v>150</v>
      </c>
      <c r="P38" s="7" t="s">
        <v>48</v>
      </c>
      <c r="Q38" s="7" t="s">
        <v>151</v>
      </c>
      <c r="R38" t="s">
        <v>3632</v>
      </c>
    </row>
    <row r="39" spans="1:18" x14ac:dyDescent="0.3">
      <c r="A39" s="7" t="str">
        <f>HYPERLINK("https://hsdes.intel.com/resource/14013118973","14013118973")</f>
        <v>14013118973</v>
      </c>
      <c r="B39" s="7" t="s">
        <v>152</v>
      </c>
      <c r="C39" s="7" t="s">
        <v>133</v>
      </c>
      <c r="D39" s="7" t="s">
        <v>3612</v>
      </c>
      <c r="E39" s="7" t="s">
        <v>3617</v>
      </c>
      <c r="F39" s="8" t="s">
        <v>3628</v>
      </c>
      <c r="H39" s="7" t="s">
        <v>3620</v>
      </c>
      <c r="I39" s="7" t="s">
        <v>3649</v>
      </c>
      <c r="L39" s="7" t="s">
        <v>24</v>
      </c>
      <c r="M39" s="7" t="s">
        <v>9</v>
      </c>
      <c r="N39" s="7" t="s">
        <v>39</v>
      </c>
      <c r="O39" s="7" t="s">
        <v>153</v>
      </c>
      <c r="P39" s="7" t="s">
        <v>153</v>
      </c>
      <c r="Q39" s="7" t="s">
        <v>154</v>
      </c>
      <c r="R39" t="s">
        <v>3632</v>
      </c>
    </row>
    <row r="40" spans="1:18" x14ac:dyDescent="0.3">
      <c r="A40" s="7" t="str">
        <f>HYPERLINK("https://hsdes.intel.com/resource/14013119145","14013119145")</f>
        <v>14013119145</v>
      </c>
      <c r="B40" s="7" t="s">
        <v>155</v>
      </c>
      <c r="C40" s="7" t="s">
        <v>55</v>
      </c>
      <c r="D40" s="7" t="s">
        <v>3612</v>
      </c>
      <c r="E40" s="7" t="s">
        <v>3617</v>
      </c>
      <c r="F40" s="8" t="s">
        <v>3628</v>
      </c>
      <c r="H40" s="7" t="s">
        <v>3618</v>
      </c>
      <c r="J40" s="7" t="s">
        <v>3551</v>
      </c>
      <c r="L40" s="7" t="s">
        <v>8</v>
      </c>
      <c r="M40" s="7" t="s">
        <v>9</v>
      </c>
      <c r="N40" s="7" t="s">
        <v>56</v>
      </c>
      <c r="O40" s="7" t="s">
        <v>156</v>
      </c>
      <c r="P40" s="7" t="s">
        <v>156</v>
      </c>
      <c r="Q40" s="7" t="s">
        <v>157</v>
      </c>
      <c r="R40" t="s">
        <v>3632</v>
      </c>
    </row>
    <row r="41" spans="1:18" x14ac:dyDescent="0.3">
      <c r="A41" s="7" t="str">
        <f>HYPERLINK("https://hsdes.intel.com/resource/14013119169","14013119169")</f>
        <v>14013119169</v>
      </c>
      <c r="B41" s="7" t="s">
        <v>158</v>
      </c>
      <c r="C41" s="7" t="s">
        <v>55</v>
      </c>
      <c r="D41" s="7" t="s">
        <v>3612</v>
      </c>
      <c r="E41" s="7" t="s">
        <v>3617</v>
      </c>
      <c r="F41" s="8" t="s">
        <v>3628</v>
      </c>
      <c r="H41" s="7" t="s">
        <v>3620</v>
      </c>
      <c r="I41" s="7" t="s">
        <v>3622</v>
      </c>
      <c r="L41" s="7" t="s">
        <v>30</v>
      </c>
      <c r="M41" s="7" t="s">
        <v>9</v>
      </c>
      <c r="N41" s="7" t="s">
        <v>39</v>
      </c>
      <c r="O41" s="7" t="s">
        <v>78</v>
      </c>
      <c r="P41" s="7" t="s">
        <v>78</v>
      </c>
      <c r="Q41" s="7" t="s">
        <v>159</v>
      </c>
      <c r="R41" t="s">
        <v>3632</v>
      </c>
    </row>
    <row r="42" spans="1:18" x14ac:dyDescent="0.3">
      <c r="A42" s="7" t="str">
        <f>HYPERLINK("https://hsdes.intel.com/resource/14013119215","14013119215")</f>
        <v>14013119215</v>
      </c>
      <c r="B42" s="7" t="s">
        <v>160</v>
      </c>
      <c r="C42" s="7" t="s">
        <v>161</v>
      </c>
      <c r="D42" s="7" t="s">
        <v>3612</v>
      </c>
      <c r="E42" s="7" t="s">
        <v>3617</v>
      </c>
      <c r="F42" s="8" t="s">
        <v>3628</v>
      </c>
      <c r="H42" s="7" t="s">
        <v>3618</v>
      </c>
      <c r="J42" s="6" t="s">
        <v>3529</v>
      </c>
      <c r="L42" s="7" t="s">
        <v>38</v>
      </c>
      <c r="M42" s="7" t="s">
        <v>94</v>
      </c>
      <c r="N42" s="7" t="s">
        <v>56</v>
      </c>
      <c r="O42" s="7" t="s">
        <v>162</v>
      </c>
      <c r="P42" s="7" t="s">
        <v>163</v>
      </c>
      <c r="Q42" s="7" t="s">
        <v>164</v>
      </c>
      <c r="R42" t="s">
        <v>3632</v>
      </c>
    </row>
    <row r="43" spans="1:18" x14ac:dyDescent="0.3">
      <c r="A43" s="7" t="str">
        <f>HYPERLINK("https://hsdes.intel.com/resource/14013119238","14013119238")</f>
        <v>14013119238</v>
      </c>
      <c r="B43" s="7" t="s">
        <v>165</v>
      </c>
      <c r="C43" s="7" t="s">
        <v>133</v>
      </c>
      <c r="D43" s="7" t="s">
        <v>3612</v>
      </c>
      <c r="E43" s="7" t="s">
        <v>3617</v>
      </c>
      <c r="F43" s="8" t="s">
        <v>3628</v>
      </c>
      <c r="H43" s="7" t="s">
        <v>3619</v>
      </c>
      <c r="I43" s="7" t="s">
        <v>3643</v>
      </c>
      <c r="L43" s="7" t="s">
        <v>24</v>
      </c>
      <c r="M43" s="7" t="s">
        <v>9</v>
      </c>
      <c r="N43" s="7" t="s">
        <v>39</v>
      </c>
      <c r="O43" s="7" t="s">
        <v>48</v>
      </c>
      <c r="P43" s="7" t="s">
        <v>48</v>
      </c>
      <c r="Q43" s="7" t="s">
        <v>166</v>
      </c>
      <c r="R43" t="s">
        <v>3632</v>
      </c>
    </row>
    <row r="44" spans="1:18" x14ac:dyDescent="0.3">
      <c r="A44" s="7" t="str">
        <f>HYPERLINK("https://hsdes.intel.com/resource/14013119299","14013119299")</f>
        <v>14013119299</v>
      </c>
      <c r="B44" s="7" t="s">
        <v>167</v>
      </c>
      <c r="C44" s="7" t="s">
        <v>121</v>
      </c>
      <c r="D44" s="7" t="s">
        <v>3612</v>
      </c>
      <c r="E44" s="7" t="s">
        <v>3617</v>
      </c>
      <c r="F44" s="8" t="s">
        <v>3628</v>
      </c>
      <c r="H44" s="7" t="s">
        <v>3619</v>
      </c>
      <c r="I44" s="7" t="s">
        <v>3622</v>
      </c>
      <c r="J44" s="7" t="s">
        <v>3639</v>
      </c>
      <c r="L44" s="7" t="s">
        <v>100</v>
      </c>
      <c r="M44" s="7" t="s">
        <v>94</v>
      </c>
      <c r="N44" s="7" t="s">
        <v>39</v>
      </c>
      <c r="O44" s="7" t="s">
        <v>168</v>
      </c>
      <c r="P44" s="7" t="s">
        <v>48</v>
      </c>
      <c r="Q44" s="7" t="s">
        <v>169</v>
      </c>
      <c r="R44" t="s">
        <v>3631</v>
      </c>
    </row>
    <row r="45" spans="1:18" x14ac:dyDescent="0.3">
      <c r="A45" s="7" t="str">
        <f>HYPERLINK("https://hsdes.intel.com/resource/14013119442","14013119442")</f>
        <v>14013119442</v>
      </c>
      <c r="B45" s="7" t="s">
        <v>170</v>
      </c>
      <c r="C45" s="7" t="s">
        <v>161</v>
      </c>
      <c r="D45" s="7" t="s">
        <v>3612</v>
      </c>
      <c r="E45" s="7" t="s">
        <v>3617</v>
      </c>
      <c r="F45" s="8" t="s">
        <v>3628</v>
      </c>
      <c r="H45" s="7" t="s">
        <v>3618</v>
      </c>
      <c r="J45" s="7" t="s">
        <v>3528</v>
      </c>
      <c r="L45" s="7" t="s">
        <v>38</v>
      </c>
      <c r="M45" s="7" t="s">
        <v>94</v>
      </c>
      <c r="N45" s="7" t="s">
        <v>39</v>
      </c>
      <c r="O45" s="7" t="s">
        <v>171</v>
      </c>
      <c r="P45" s="7" t="s">
        <v>172</v>
      </c>
      <c r="Q45" s="7" t="s">
        <v>173</v>
      </c>
      <c r="R45" t="s">
        <v>3631</v>
      </c>
    </row>
    <row r="46" spans="1:18" x14ac:dyDescent="0.3">
      <c r="A46" s="7" t="str">
        <f>HYPERLINK("https://hsdes.intel.com/resource/14013119544","14013119544")</f>
        <v>14013119544</v>
      </c>
      <c r="B46" s="7" t="s">
        <v>174</v>
      </c>
      <c r="C46" s="7" t="s">
        <v>175</v>
      </c>
      <c r="D46" s="7" t="s">
        <v>3612</v>
      </c>
      <c r="E46" s="7" t="s">
        <v>3617</v>
      </c>
      <c r="F46" s="8" t="s">
        <v>3628</v>
      </c>
      <c r="H46" s="7" t="s">
        <v>3618</v>
      </c>
      <c r="J46" s="7" t="s">
        <v>3566</v>
      </c>
      <c r="L46" s="7" t="s">
        <v>38</v>
      </c>
      <c r="M46" s="7" t="s">
        <v>94</v>
      </c>
      <c r="N46" s="7" t="s">
        <v>176</v>
      </c>
      <c r="O46" s="7" t="s">
        <v>177</v>
      </c>
      <c r="P46" s="7" t="s">
        <v>178</v>
      </c>
      <c r="Q46" s="7" t="s">
        <v>179</v>
      </c>
      <c r="R46" t="s">
        <v>3633</v>
      </c>
    </row>
    <row r="47" spans="1:18" x14ac:dyDescent="0.3">
      <c r="A47" s="7" t="str">
        <f>HYPERLINK("https://hsdes.intel.com/resource/14013119607","14013119607")</f>
        <v>14013119607</v>
      </c>
      <c r="B47" s="7" t="s">
        <v>180</v>
      </c>
      <c r="C47" s="7" t="s">
        <v>55</v>
      </c>
      <c r="D47" s="7" t="s">
        <v>3612</v>
      </c>
      <c r="E47" s="7" t="s">
        <v>3617</v>
      </c>
      <c r="F47" s="8" t="s">
        <v>3628</v>
      </c>
      <c r="H47" s="7" t="s">
        <v>3619</v>
      </c>
      <c r="I47" s="7" t="s">
        <v>3640</v>
      </c>
      <c r="L47" s="7" t="s">
        <v>30</v>
      </c>
      <c r="M47" s="7" t="s">
        <v>9</v>
      </c>
      <c r="N47" s="7" t="s">
        <v>25</v>
      </c>
      <c r="O47" s="7" t="s">
        <v>181</v>
      </c>
      <c r="P47" s="7" t="s">
        <v>182</v>
      </c>
      <c r="Q47" s="7" t="s">
        <v>183</v>
      </c>
      <c r="R47" t="s">
        <v>3632</v>
      </c>
    </row>
    <row r="48" spans="1:18" x14ac:dyDescent="0.3">
      <c r="A48" s="7" t="str">
        <f>HYPERLINK("https://hsdes.intel.com/resource/14013119621","14013119621")</f>
        <v>14013119621</v>
      </c>
      <c r="B48" s="7" t="s">
        <v>184</v>
      </c>
      <c r="C48" s="7" t="s">
        <v>55</v>
      </c>
      <c r="D48" s="7" t="s">
        <v>3612</v>
      </c>
      <c r="E48" s="7" t="s">
        <v>3617</v>
      </c>
      <c r="F48" s="8" t="s">
        <v>3628</v>
      </c>
      <c r="H48" s="7" t="s">
        <v>3619</v>
      </c>
      <c r="I48" s="7" t="s">
        <v>3640</v>
      </c>
      <c r="L48" s="7" t="s">
        <v>8</v>
      </c>
      <c r="M48" s="7" t="s">
        <v>9</v>
      </c>
      <c r="N48" s="7" t="s">
        <v>185</v>
      </c>
      <c r="O48" s="7" t="s">
        <v>186</v>
      </c>
      <c r="P48" s="7" t="s">
        <v>186</v>
      </c>
      <c r="Q48" s="7" t="s">
        <v>187</v>
      </c>
      <c r="R48" t="s">
        <v>3632</v>
      </c>
    </row>
    <row r="49" spans="1:20" x14ac:dyDescent="0.3">
      <c r="A49" s="7" t="str">
        <f>HYPERLINK("https://hsdes.intel.com/resource/14013119649","14013119649")</f>
        <v>14013119649</v>
      </c>
      <c r="B49" s="7" t="s">
        <v>188</v>
      </c>
      <c r="C49" s="7" t="s">
        <v>55</v>
      </c>
      <c r="D49" s="7" t="s">
        <v>3612</v>
      </c>
      <c r="E49" s="7" t="s">
        <v>3617</v>
      </c>
      <c r="F49" s="8" t="s">
        <v>3628</v>
      </c>
      <c r="H49" s="7" t="s">
        <v>3620</v>
      </c>
      <c r="I49" s="7" t="s">
        <v>3640</v>
      </c>
      <c r="L49" s="7" t="s">
        <v>30</v>
      </c>
      <c r="M49" s="7" t="s">
        <v>9</v>
      </c>
      <c r="N49" s="7" t="s">
        <v>39</v>
      </c>
      <c r="O49" s="7" t="s">
        <v>78</v>
      </c>
      <c r="P49" s="7" t="s">
        <v>78</v>
      </c>
      <c r="Q49" s="7" t="s">
        <v>189</v>
      </c>
      <c r="R49" t="s">
        <v>3632</v>
      </c>
    </row>
    <row r="50" spans="1:20" x14ac:dyDescent="0.3">
      <c r="A50" s="7" t="str">
        <f>HYPERLINK("https://hsdes.intel.com/resource/14013119741","14013119741")</f>
        <v>14013119741</v>
      </c>
      <c r="B50" s="7" t="s">
        <v>190</v>
      </c>
      <c r="C50" s="7" t="s">
        <v>63</v>
      </c>
      <c r="D50" s="7" t="s">
        <v>3612</v>
      </c>
      <c r="E50" s="7" t="s">
        <v>3617</v>
      </c>
      <c r="F50" s="8" t="s">
        <v>3628</v>
      </c>
      <c r="H50" s="7" t="s">
        <v>3620</v>
      </c>
      <c r="I50" s="7" t="s">
        <v>3640</v>
      </c>
      <c r="L50" s="7" t="s">
        <v>64</v>
      </c>
      <c r="M50" s="7" t="s">
        <v>9</v>
      </c>
      <c r="N50" s="7" t="s">
        <v>25</v>
      </c>
      <c r="O50" s="7" t="s">
        <v>191</v>
      </c>
      <c r="P50" s="7" t="s">
        <v>192</v>
      </c>
      <c r="Q50" s="7" t="s">
        <v>193</v>
      </c>
      <c r="R50" t="s">
        <v>3632</v>
      </c>
    </row>
    <row r="51" spans="1:20" x14ac:dyDescent="0.3">
      <c r="A51" s="7" t="str">
        <f>HYPERLINK("https://hsdes.intel.com/resource/14013119776","14013119776")</f>
        <v>14013119776</v>
      </c>
      <c r="B51" s="7" t="s">
        <v>194</v>
      </c>
      <c r="C51" s="7" t="s">
        <v>55</v>
      </c>
      <c r="D51" s="7" t="s">
        <v>3612</v>
      </c>
      <c r="E51" s="7" t="s">
        <v>3617</v>
      </c>
      <c r="F51" s="8" t="s">
        <v>3628</v>
      </c>
      <c r="H51" s="7" t="s">
        <v>3620</v>
      </c>
      <c r="I51" s="7" t="s">
        <v>3640</v>
      </c>
      <c r="L51" s="7" t="s">
        <v>8</v>
      </c>
      <c r="M51" s="7" t="s">
        <v>9</v>
      </c>
      <c r="N51" s="7" t="s">
        <v>56</v>
      </c>
      <c r="O51" s="7" t="s">
        <v>195</v>
      </c>
      <c r="P51" s="7" t="s">
        <v>195</v>
      </c>
      <c r="Q51" s="7" t="s">
        <v>196</v>
      </c>
      <c r="R51" t="s">
        <v>3632</v>
      </c>
    </row>
    <row r="52" spans="1:20" x14ac:dyDescent="0.3">
      <c r="A52" s="7" t="str">
        <f>HYPERLINK("https://hsdes.intel.com/resource/14013120050","14013120050")</f>
        <v>14013120050</v>
      </c>
      <c r="B52" s="7" t="s">
        <v>197</v>
      </c>
      <c r="C52" s="7" t="s">
        <v>55</v>
      </c>
      <c r="D52" s="7" t="s">
        <v>3612</v>
      </c>
      <c r="E52" s="7" t="s">
        <v>3617</v>
      </c>
      <c r="F52" s="8" t="s">
        <v>3628</v>
      </c>
      <c r="H52" s="7" t="s">
        <v>3620</v>
      </c>
      <c r="I52" s="7" t="s">
        <v>3640</v>
      </c>
      <c r="L52" s="7" t="s">
        <v>30</v>
      </c>
      <c r="M52" s="7" t="s">
        <v>9</v>
      </c>
      <c r="N52" s="7" t="s">
        <v>39</v>
      </c>
      <c r="O52" s="7" t="s">
        <v>78</v>
      </c>
      <c r="P52" s="7" t="s">
        <v>78</v>
      </c>
      <c r="Q52" s="7" t="s">
        <v>198</v>
      </c>
      <c r="R52" t="s">
        <v>3632</v>
      </c>
    </row>
    <row r="53" spans="1:20" x14ac:dyDescent="0.3">
      <c r="A53" s="7" t="str">
        <f>HYPERLINK("https://hsdes.intel.com/resource/14013120106","14013120106")</f>
        <v>14013120106</v>
      </c>
      <c r="B53" s="7" t="s">
        <v>199</v>
      </c>
      <c r="C53" s="7" t="s">
        <v>99</v>
      </c>
      <c r="D53" s="7" t="s">
        <v>3612</v>
      </c>
      <c r="E53" s="7" t="s">
        <v>3617</v>
      </c>
      <c r="F53" s="8" t="s">
        <v>3628</v>
      </c>
      <c r="H53" s="7" t="s">
        <v>3620</v>
      </c>
      <c r="I53" s="7" t="s">
        <v>3654</v>
      </c>
      <c r="J53" s="7" t="s">
        <v>3527</v>
      </c>
      <c r="L53" s="7" t="s">
        <v>100</v>
      </c>
      <c r="M53" s="7" t="s">
        <v>94</v>
      </c>
      <c r="N53" s="7" t="s">
        <v>56</v>
      </c>
      <c r="O53" s="7" t="s">
        <v>101</v>
      </c>
      <c r="P53" s="7" t="s">
        <v>16</v>
      </c>
      <c r="Q53" s="7" t="s">
        <v>200</v>
      </c>
      <c r="R53" t="s">
        <v>3631</v>
      </c>
    </row>
    <row r="54" spans="1:20" x14ac:dyDescent="0.3">
      <c r="A54" s="7" t="str">
        <f>HYPERLINK("https://hsdes.intel.com/resource/14013120118","14013120118")</f>
        <v>14013120118</v>
      </c>
      <c r="B54" s="7" t="s">
        <v>201</v>
      </c>
      <c r="C54" s="7" t="s">
        <v>99</v>
      </c>
      <c r="D54" s="7" t="s">
        <v>3612</v>
      </c>
      <c r="E54" s="7" t="s">
        <v>3617</v>
      </c>
      <c r="F54" s="8" t="s">
        <v>3628</v>
      </c>
      <c r="H54" s="7" t="s">
        <v>3620</v>
      </c>
      <c r="I54" s="7" t="s">
        <v>3634</v>
      </c>
      <c r="L54" s="7" t="s">
        <v>100</v>
      </c>
      <c r="M54" s="7" t="s">
        <v>94</v>
      </c>
      <c r="N54" s="7" t="s">
        <v>56</v>
      </c>
      <c r="O54" s="7" t="s">
        <v>16</v>
      </c>
      <c r="P54" s="7" t="s">
        <v>16</v>
      </c>
      <c r="Q54" s="7" t="s">
        <v>202</v>
      </c>
      <c r="R54" t="s">
        <v>3631</v>
      </c>
    </row>
    <row r="55" spans="1:20" x14ac:dyDescent="0.3">
      <c r="A55" s="7" t="str">
        <f>HYPERLINK("https://hsdes.intel.com/resource/14013120134","14013120134")</f>
        <v>14013120134</v>
      </c>
      <c r="B55" s="7" t="s">
        <v>203</v>
      </c>
      <c r="C55" s="7" t="s">
        <v>133</v>
      </c>
      <c r="D55" s="7" t="s">
        <v>3612</v>
      </c>
      <c r="E55" s="7" t="s">
        <v>3617</v>
      </c>
      <c r="F55" s="8" t="s">
        <v>3628</v>
      </c>
      <c r="H55" s="7" t="s">
        <v>3618</v>
      </c>
      <c r="J55" s="7" t="s">
        <v>3533</v>
      </c>
      <c r="L55" s="7" t="s">
        <v>24</v>
      </c>
      <c r="M55" s="7" t="s">
        <v>9</v>
      </c>
      <c r="N55" s="7" t="s">
        <v>39</v>
      </c>
      <c r="O55" s="7" t="s">
        <v>48</v>
      </c>
      <c r="P55" s="7" t="s">
        <v>48</v>
      </c>
      <c r="Q55" s="7" t="s">
        <v>204</v>
      </c>
      <c r="R55" t="s">
        <v>3633</v>
      </c>
    </row>
    <row r="56" spans="1:20" x14ac:dyDescent="0.3">
      <c r="A56" s="7" t="str">
        <f>HYPERLINK("https://hsdes.intel.com/resource/14013120187","14013120187")</f>
        <v>14013120187</v>
      </c>
      <c r="B56" s="7" t="s">
        <v>205</v>
      </c>
      <c r="C56" s="7" t="s">
        <v>63</v>
      </c>
      <c r="D56" s="7" t="s">
        <v>3612</v>
      </c>
      <c r="E56" s="7" t="s">
        <v>3617</v>
      </c>
      <c r="F56" s="8" t="s">
        <v>3628</v>
      </c>
      <c r="H56" s="7" t="s">
        <v>3620</v>
      </c>
      <c r="I56" s="7" t="s">
        <v>3640</v>
      </c>
      <c r="L56" s="7" t="s">
        <v>64</v>
      </c>
      <c r="M56" s="7" t="s">
        <v>9</v>
      </c>
      <c r="N56" s="7" t="s">
        <v>56</v>
      </c>
      <c r="O56" s="7" t="s">
        <v>206</v>
      </c>
      <c r="P56" s="7" t="s">
        <v>207</v>
      </c>
      <c r="Q56" s="7" t="s">
        <v>208</v>
      </c>
      <c r="R56" t="s">
        <v>3632</v>
      </c>
    </row>
    <row r="57" spans="1:20" x14ac:dyDescent="0.3">
      <c r="A57" s="7" t="str">
        <f>HYPERLINK("https://hsdes.intel.com/resource/14013120372","14013120372")</f>
        <v>14013120372</v>
      </c>
      <c r="B57" s="7" t="s">
        <v>209</v>
      </c>
      <c r="C57" s="7" t="s">
        <v>133</v>
      </c>
      <c r="D57" s="7" t="s">
        <v>3612</v>
      </c>
      <c r="E57" s="7" t="s">
        <v>3617</v>
      </c>
      <c r="F57" s="8" t="s">
        <v>3628</v>
      </c>
      <c r="H57" s="7" t="s">
        <v>3620</v>
      </c>
      <c r="I57" s="7" t="s">
        <v>3640</v>
      </c>
      <c r="L57" s="7" t="s">
        <v>24</v>
      </c>
      <c r="M57" s="7" t="s">
        <v>9</v>
      </c>
      <c r="N57" s="7" t="s">
        <v>39</v>
      </c>
      <c r="O57" s="7" t="s">
        <v>48</v>
      </c>
      <c r="P57" s="7" t="s">
        <v>48</v>
      </c>
      <c r="Q57" s="7" t="s">
        <v>210</v>
      </c>
      <c r="R57" t="s">
        <v>3632</v>
      </c>
    </row>
    <row r="58" spans="1:20" x14ac:dyDescent="0.3">
      <c r="A58" s="7" t="str">
        <f>HYPERLINK("https://hsdes.intel.com/resource/14013120386","14013120386")</f>
        <v>14013120386</v>
      </c>
      <c r="B58" s="7" t="s">
        <v>211</v>
      </c>
      <c r="C58" s="7" t="s">
        <v>212</v>
      </c>
      <c r="D58" s="7" t="s">
        <v>3613</v>
      </c>
      <c r="E58" s="7" t="s">
        <v>3617</v>
      </c>
      <c r="F58" s="8" t="s">
        <v>3628</v>
      </c>
      <c r="H58" s="7" t="s">
        <v>3620</v>
      </c>
      <c r="I58" s="7" t="s">
        <v>3645</v>
      </c>
      <c r="L58" s="7" t="s">
        <v>30</v>
      </c>
      <c r="M58" s="7" t="s">
        <v>9</v>
      </c>
      <c r="N58" s="7" t="s">
        <v>122</v>
      </c>
      <c r="O58" s="7" t="s">
        <v>213</v>
      </c>
      <c r="P58" s="7" t="s">
        <v>213</v>
      </c>
      <c r="Q58" s="7" t="s">
        <v>214</v>
      </c>
      <c r="R58" t="s">
        <v>3632</v>
      </c>
      <c r="T58" s="22">
        <v>44819</v>
      </c>
    </row>
    <row r="59" spans="1:20" x14ac:dyDescent="0.3">
      <c r="A59" s="7" t="str">
        <f>HYPERLINK("https://hsdes.intel.com/resource/14013120401","14013120401")</f>
        <v>14013120401</v>
      </c>
      <c r="B59" s="7" t="s">
        <v>215</v>
      </c>
      <c r="C59" s="7" t="s">
        <v>112</v>
      </c>
      <c r="D59" s="7" t="s">
        <v>3613</v>
      </c>
      <c r="E59" s="7" t="s">
        <v>3617</v>
      </c>
      <c r="F59" s="8" t="s">
        <v>3628</v>
      </c>
      <c r="H59" s="7" t="s">
        <v>3618</v>
      </c>
      <c r="J59" s="7" t="s">
        <v>3558</v>
      </c>
      <c r="L59" s="7" t="s">
        <v>142</v>
      </c>
      <c r="M59" s="7" t="s">
        <v>94</v>
      </c>
      <c r="N59" s="7" t="s">
        <v>122</v>
      </c>
      <c r="O59" s="7" t="s">
        <v>216</v>
      </c>
      <c r="P59" s="7" t="s">
        <v>217</v>
      </c>
      <c r="Q59" s="7" t="s">
        <v>218</v>
      </c>
      <c r="R59" t="s">
        <v>3633</v>
      </c>
    </row>
    <row r="60" spans="1:20" x14ac:dyDescent="0.3">
      <c r="A60" s="7" t="str">
        <f>HYPERLINK("https://hsdes.intel.com/resource/14013120427","14013120427")</f>
        <v>14013120427</v>
      </c>
      <c r="B60" s="7" t="s">
        <v>219</v>
      </c>
      <c r="C60" s="7" t="s">
        <v>220</v>
      </c>
      <c r="D60" s="7" t="s">
        <v>3613</v>
      </c>
      <c r="E60" s="7" t="s">
        <v>3617</v>
      </c>
      <c r="F60" s="8" t="s">
        <v>3628</v>
      </c>
      <c r="H60" s="7" t="s">
        <v>3618</v>
      </c>
      <c r="J60" s="7" t="s">
        <v>3567</v>
      </c>
      <c r="L60" s="7" t="s">
        <v>30</v>
      </c>
      <c r="M60" s="7" t="s">
        <v>94</v>
      </c>
      <c r="N60" s="7" t="s">
        <v>122</v>
      </c>
      <c r="O60" s="7" t="s">
        <v>221</v>
      </c>
      <c r="P60" s="7" t="s">
        <v>222</v>
      </c>
      <c r="Q60" s="7" t="s">
        <v>223</v>
      </c>
      <c r="R60" t="s">
        <v>3631</v>
      </c>
    </row>
    <row r="61" spans="1:20" x14ac:dyDescent="0.3">
      <c r="A61" s="7" t="str">
        <f>HYPERLINK("https://hsdes.intel.com/resource/14013120472","14013120472")</f>
        <v>14013120472</v>
      </c>
      <c r="B61" s="7" t="s">
        <v>224</v>
      </c>
      <c r="C61" s="7" t="s">
        <v>225</v>
      </c>
      <c r="D61" s="7" t="s">
        <v>3612</v>
      </c>
      <c r="E61" s="7" t="s">
        <v>3617</v>
      </c>
      <c r="F61" s="8" t="s">
        <v>3628</v>
      </c>
      <c r="H61" s="7" t="s">
        <v>3620</v>
      </c>
      <c r="I61" s="7" t="s">
        <v>3640</v>
      </c>
      <c r="L61" s="7" t="s">
        <v>100</v>
      </c>
      <c r="M61" s="7" t="s">
        <v>94</v>
      </c>
      <c r="N61" s="7" t="s">
        <v>226</v>
      </c>
      <c r="O61" s="7" t="s">
        <v>227</v>
      </c>
      <c r="P61" s="7" t="s">
        <v>228</v>
      </c>
      <c r="Q61" s="7" t="s">
        <v>229</v>
      </c>
      <c r="R61" t="s">
        <v>3632</v>
      </c>
    </row>
    <row r="62" spans="1:20" x14ac:dyDescent="0.3">
      <c r="A62" s="7" t="str">
        <f>HYPERLINK("https://hsdes.intel.com/resource/14013120543","14013120543")</f>
        <v>14013120543</v>
      </c>
      <c r="B62" s="7" t="s">
        <v>230</v>
      </c>
      <c r="C62" s="7" t="s">
        <v>231</v>
      </c>
      <c r="D62" s="7" t="s">
        <v>3612</v>
      </c>
      <c r="E62" s="7" t="s">
        <v>3617</v>
      </c>
      <c r="F62" s="8" t="s">
        <v>3628</v>
      </c>
      <c r="H62" s="7" t="s">
        <v>3620</v>
      </c>
      <c r="I62" s="7" t="s">
        <v>3643</v>
      </c>
      <c r="L62" s="7" t="s">
        <v>64</v>
      </c>
      <c r="M62" s="7" t="s">
        <v>9</v>
      </c>
      <c r="N62" s="7" t="s">
        <v>232</v>
      </c>
      <c r="O62" s="7" t="s">
        <v>233</v>
      </c>
      <c r="P62" s="7" t="s">
        <v>233</v>
      </c>
      <c r="Q62" s="7" t="s">
        <v>234</v>
      </c>
      <c r="R62" t="s">
        <v>3632</v>
      </c>
    </row>
    <row r="63" spans="1:20" x14ac:dyDescent="0.3">
      <c r="A63" s="7" t="str">
        <f>HYPERLINK("https://hsdes.intel.com/resource/14013120567","14013120567")</f>
        <v>14013120567</v>
      </c>
      <c r="B63" s="7" t="s">
        <v>235</v>
      </c>
      <c r="C63" s="7" t="s">
        <v>231</v>
      </c>
      <c r="D63" s="7" t="s">
        <v>3613</v>
      </c>
      <c r="E63" s="7" t="s">
        <v>3617</v>
      </c>
      <c r="F63" s="8" t="s">
        <v>3628</v>
      </c>
      <c r="H63" s="7" t="s">
        <v>3620</v>
      </c>
      <c r="I63" s="7" t="s">
        <v>3643</v>
      </c>
      <c r="L63" s="7" t="s">
        <v>64</v>
      </c>
      <c r="M63" s="7" t="s">
        <v>9</v>
      </c>
      <c r="N63" s="7" t="s">
        <v>232</v>
      </c>
      <c r="O63" s="7" t="s">
        <v>233</v>
      </c>
      <c r="P63" s="7" t="s">
        <v>233</v>
      </c>
      <c r="Q63" s="7" t="s">
        <v>236</v>
      </c>
      <c r="R63" t="s">
        <v>3632</v>
      </c>
    </row>
    <row r="64" spans="1:20" x14ac:dyDescent="0.3">
      <c r="A64" s="7" t="str">
        <f>HYPERLINK("https://hsdes.intel.com/resource/14013120573","14013120573")</f>
        <v>14013120573</v>
      </c>
      <c r="B64" s="7" t="s">
        <v>237</v>
      </c>
      <c r="C64" s="7" t="s">
        <v>231</v>
      </c>
      <c r="D64" s="7" t="s">
        <v>3613</v>
      </c>
      <c r="E64" s="7" t="s">
        <v>3617</v>
      </c>
      <c r="F64" s="8" t="s">
        <v>3628</v>
      </c>
      <c r="H64" s="7" t="s">
        <v>3620</v>
      </c>
      <c r="I64" s="7" t="s">
        <v>3643</v>
      </c>
      <c r="L64" s="7" t="s">
        <v>64</v>
      </c>
      <c r="M64" s="7" t="s">
        <v>9</v>
      </c>
      <c r="N64" s="7" t="s">
        <v>238</v>
      </c>
      <c r="O64" s="7" t="s">
        <v>239</v>
      </c>
      <c r="P64" s="7" t="s">
        <v>233</v>
      </c>
      <c r="Q64" s="7" t="s">
        <v>240</v>
      </c>
      <c r="R64" t="s">
        <v>3632</v>
      </c>
    </row>
    <row r="65" spans="1:18" x14ac:dyDescent="0.3">
      <c r="A65" s="7" t="str">
        <f>HYPERLINK("https://hsdes.intel.com/resource/14013120607","14013120607")</f>
        <v>14013120607</v>
      </c>
      <c r="B65" s="7" t="s">
        <v>241</v>
      </c>
      <c r="C65" s="7" t="s">
        <v>231</v>
      </c>
      <c r="D65" s="7" t="s">
        <v>3612</v>
      </c>
      <c r="E65" s="7" t="s">
        <v>3617</v>
      </c>
      <c r="F65" s="8" t="s">
        <v>3628</v>
      </c>
      <c r="H65" s="7" t="s">
        <v>3620</v>
      </c>
      <c r="I65" s="7" t="s">
        <v>3643</v>
      </c>
      <c r="L65" s="7" t="s">
        <v>64</v>
      </c>
      <c r="M65" s="7" t="s">
        <v>9</v>
      </c>
      <c r="N65" s="7" t="s">
        <v>232</v>
      </c>
      <c r="O65" s="7" t="s">
        <v>233</v>
      </c>
      <c r="P65" s="7" t="s">
        <v>233</v>
      </c>
      <c r="Q65" s="7" t="s">
        <v>242</v>
      </c>
      <c r="R65" t="s">
        <v>3632</v>
      </c>
    </row>
    <row r="66" spans="1:18" x14ac:dyDescent="0.3">
      <c r="A66" s="7" t="str">
        <f>HYPERLINK("https://hsdes.intel.com/resource/14013120621","14013120621")</f>
        <v>14013120621</v>
      </c>
      <c r="B66" s="7" t="s">
        <v>243</v>
      </c>
      <c r="C66" s="7" t="s">
        <v>231</v>
      </c>
      <c r="D66" s="7" t="s">
        <v>3613</v>
      </c>
      <c r="E66" s="7" t="s">
        <v>3617</v>
      </c>
      <c r="F66" s="8" t="s">
        <v>3628</v>
      </c>
      <c r="H66" s="7" t="s">
        <v>3620</v>
      </c>
      <c r="I66" s="7" t="s">
        <v>3643</v>
      </c>
      <c r="L66" s="7" t="s">
        <v>64</v>
      </c>
      <c r="M66" s="7" t="s">
        <v>9</v>
      </c>
      <c r="N66" s="7" t="s">
        <v>232</v>
      </c>
      <c r="O66" s="7" t="s">
        <v>233</v>
      </c>
      <c r="P66" s="7" t="s">
        <v>233</v>
      </c>
      <c r="Q66" s="7" t="s">
        <v>244</v>
      </c>
      <c r="R66" t="s">
        <v>3632</v>
      </c>
    </row>
    <row r="67" spans="1:18" x14ac:dyDescent="0.3">
      <c r="A67" s="7" t="str">
        <f>HYPERLINK("https://hsdes.intel.com/resource/14013120629","14013120629")</f>
        <v>14013120629</v>
      </c>
      <c r="B67" s="7" t="s">
        <v>245</v>
      </c>
      <c r="C67" s="7" t="s">
        <v>231</v>
      </c>
      <c r="D67" s="7" t="s">
        <v>3613</v>
      </c>
      <c r="E67" s="7" t="s">
        <v>3617</v>
      </c>
      <c r="F67" s="8" t="s">
        <v>3628</v>
      </c>
      <c r="H67" s="7" t="s">
        <v>3620</v>
      </c>
      <c r="I67" s="7" t="s">
        <v>3643</v>
      </c>
      <c r="L67" s="7" t="s">
        <v>64</v>
      </c>
      <c r="M67" s="7" t="s">
        <v>9</v>
      </c>
      <c r="N67" s="7" t="s">
        <v>232</v>
      </c>
      <c r="O67" s="7" t="s">
        <v>233</v>
      </c>
      <c r="P67" s="7" t="s">
        <v>233</v>
      </c>
      <c r="Q67" s="7" t="s">
        <v>246</v>
      </c>
      <c r="R67" t="s">
        <v>3632</v>
      </c>
    </row>
    <row r="68" spans="1:18" x14ac:dyDescent="0.3">
      <c r="A68" s="7" t="str">
        <f>HYPERLINK("https://hsdes.intel.com/resource/14013120639","14013120639")</f>
        <v>14013120639</v>
      </c>
      <c r="B68" s="7" t="s">
        <v>247</v>
      </c>
      <c r="C68" s="7" t="s">
        <v>231</v>
      </c>
      <c r="D68" s="7" t="s">
        <v>3613</v>
      </c>
      <c r="E68" s="7" t="s">
        <v>3617</v>
      </c>
      <c r="F68" s="8" t="s">
        <v>3628</v>
      </c>
      <c r="H68" s="7" t="s">
        <v>3620</v>
      </c>
      <c r="I68" s="7" t="s">
        <v>3643</v>
      </c>
      <c r="L68" s="7" t="s">
        <v>64</v>
      </c>
      <c r="M68" s="7" t="s">
        <v>9</v>
      </c>
      <c r="N68" s="7" t="s">
        <v>232</v>
      </c>
      <c r="O68" s="7" t="s">
        <v>233</v>
      </c>
      <c r="P68" s="7" t="s">
        <v>233</v>
      </c>
      <c r="Q68" s="7" t="s">
        <v>248</v>
      </c>
      <c r="R68" t="s">
        <v>3632</v>
      </c>
    </row>
    <row r="69" spans="1:18" x14ac:dyDescent="0.3">
      <c r="A69" s="7" t="str">
        <f>HYPERLINK("https://hsdes.intel.com/resource/14013120644","14013120644")</f>
        <v>14013120644</v>
      </c>
      <c r="B69" s="7" t="s">
        <v>249</v>
      </c>
      <c r="C69" s="7" t="s">
        <v>231</v>
      </c>
      <c r="D69" s="7" t="s">
        <v>3613</v>
      </c>
      <c r="E69" s="7" t="s">
        <v>3617</v>
      </c>
      <c r="F69" s="8" t="s">
        <v>3628</v>
      </c>
      <c r="H69" s="7" t="s">
        <v>3620</v>
      </c>
      <c r="I69" s="7" t="s">
        <v>3643</v>
      </c>
      <c r="L69" s="7" t="s">
        <v>64</v>
      </c>
      <c r="M69" s="7" t="s">
        <v>9</v>
      </c>
      <c r="N69" s="7" t="s">
        <v>232</v>
      </c>
      <c r="O69" s="7" t="s">
        <v>233</v>
      </c>
      <c r="P69" s="7" t="s">
        <v>233</v>
      </c>
      <c r="Q69" s="7" t="s">
        <v>250</v>
      </c>
      <c r="R69" t="s">
        <v>3632</v>
      </c>
    </row>
    <row r="70" spans="1:18" x14ac:dyDescent="0.3">
      <c r="A70" s="7" t="str">
        <f>HYPERLINK("https://hsdes.intel.com/resource/14013120671","14013120671")</f>
        <v>14013120671</v>
      </c>
      <c r="B70" s="7" t="s">
        <v>251</v>
      </c>
      <c r="C70" s="7" t="s">
        <v>231</v>
      </c>
      <c r="D70" s="7" t="s">
        <v>3613</v>
      </c>
      <c r="E70" s="7" t="s">
        <v>3617</v>
      </c>
      <c r="F70" s="8" t="s">
        <v>3628</v>
      </c>
      <c r="H70" s="7" t="s">
        <v>3620</v>
      </c>
      <c r="I70" s="7" t="s">
        <v>3641</v>
      </c>
      <c r="L70" s="7" t="s">
        <v>64</v>
      </c>
      <c r="M70" s="7" t="s">
        <v>9</v>
      </c>
      <c r="N70" s="7" t="s">
        <v>232</v>
      </c>
      <c r="O70" s="7" t="s">
        <v>252</v>
      </c>
      <c r="P70" s="7" t="s">
        <v>252</v>
      </c>
      <c r="Q70" s="7" t="s">
        <v>253</v>
      </c>
      <c r="R70" t="s">
        <v>3632</v>
      </c>
    </row>
    <row r="71" spans="1:18" x14ac:dyDescent="0.3">
      <c r="A71" s="7" t="str">
        <f>HYPERLINK("https://hsdes.intel.com/resource/14013120685","14013120685")</f>
        <v>14013120685</v>
      </c>
      <c r="B71" s="7" t="s">
        <v>254</v>
      </c>
      <c r="C71" s="7" t="s">
        <v>231</v>
      </c>
      <c r="D71" s="7" t="s">
        <v>3613</v>
      </c>
      <c r="E71" s="7" t="s">
        <v>3617</v>
      </c>
      <c r="F71" s="8" t="s">
        <v>3628</v>
      </c>
      <c r="H71" s="7" t="s">
        <v>3620</v>
      </c>
      <c r="I71" s="7" t="s">
        <v>3644</v>
      </c>
      <c r="L71" s="7" t="s">
        <v>64</v>
      </c>
      <c r="M71" s="7" t="s">
        <v>9</v>
      </c>
      <c r="N71" s="7" t="s">
        <v>232</v>
      </c>
      <c r="O71" s="7" t="s">
        <v>252</v>
      </c>
      <c r="P71" s="7" t="s">
        <v>252</v>
      </c>
      <c r="Q71" s="7" t="s">
        <v>255</v>
      </c>
      <c r="R71" t="s">
        <v>3632</v>
      </c>
    </row>
    <row r="72" spans="1:18" x14ac:dyDescent="0.3">
      <c r="A72" s="7" t="str">
        <f>HYPERLINK("https://hsdes.intel.com/resource/14013120696","14013120696")</f>
        <v>14013120696</v>
      </c>
      <c r="B72" s="7" t="s">
        <v>256</v>
      </c>
      <c r="C72" s="7" t="s">
        <v>231</v>
      </c>
      <c r="D72" s="7" t="s">
        <v>3613</v>
      </c>
      <c r="E72" s="7" t="s">
        <v>3617</v>
      </c>
      <c r="F72" s="8" t="s">
        <v>3628</v>
      </c>
      <c r="H72" s="7" t="s">
        <v>3620</v>
      </c>
      <c r="I72" s="7" t="s">
        <v>3641</v>
      </c>
      <c r="L72" s="7" t="s">
        <v>64</v>
      </c>
      <c r="M72" s="7" t="s">
        <v>9</v>
      </c>
      <c r="N72" s="7" t="s">
        <v>232</v>
      </c>
      <c r="O72" s="7" t="s">
        <v>252</v>
      </c>
      <c r="P72" s="7" t="s">
        <v>252</v>
      </c>
      <c r="Q72" s="7" t="s">
        <v>257</v>
      </c>
      <c r="R72" t="s">
        <v>3632</v>
      </c>
    </row>
    <row r="73" spans="1:18" x14ac:dyDescent="0.3">
      <c r="A73" s="7" t="str">
        <f>HYPERLINK("https://hsdes.intel.com/resource/14013120707","14013120707")</f>
        <v>14013120707</v>
      </c>
      <c r="B73" s="7" t="s">
        <v>258</v>
      </c>
      <c r="C73" s="7" t="s">
        <v>231</v>
      </c>
      <c r="D73" s="7" t="s">
        <v>3613</v>
      </c>
      <c r="E73" s="7" t="s">
        <v>3617</v>
      </c>
      <c r="F73" s="8" t="s">
        <v>3628</v>
      </c>
      <c r="H73" s="7" t="s">
        <v>3620</v>
      </c>
      <c r="I73" s="7" t="s">
        <v>3644</v>
      </c>
      <c r="L73" s="7" t="s">
        <v>64</v>
      </c>
      <c r="M73" s="7" t="s">
        <v>9</v>
      </c>
      <c r="N73" s="7" t="s">
        <v>232</v>
      </c>
      <c r="O73" s="7" t="s">
        <v>252</v>
      </c>
      <c r="P73" s="7" t="s">
        <v>252</v>
      </c>
      <c r="Q73" s="7" t="s">
        <v>259</v>
      </c>
      <c r="R73" t="s">
        <v>3632</v>
      </c>
    </row>
    <row r="74" spans="1:18" x14ac:dyDescent="0.3">
      <c r="A74" s="7" t="str">
        <f>HYPERLINK("https://hsdes.intel.com/resource/14013120730","14013120730")</f>
        <v>14013120730</v>
      </c>
      <c r="B74" s="7" t="s">
        <v>260</v>
      </c>
      <c r="C74" s="7" t="s">
        <v>231</v>
      </c>
      <c r="D74" s="7" t="s">
        <v>3613</v>
      </c>
      <c r="E74" s="7" t="s">
        <v>3617</v>
      </c>
      <c r="F74" s="8" t="s">
        <v>3628</v>
      </c>
      <c r="H74" s="7" t="s">
        <v>3620</v>
      </c>
      <c r="I74" s="7" t="s">
        <v>3643</v>
      </c>
      <c r="L74" s="7" t="s">
        <v>64</v>
      </c>
      <c r="M74" s="7" t="s">
        <v>94</v>
      </c>
      <c r="N74" s="7" t="s">
        <v>232</v>
      </c>
      <c r="O74" s="7" t="s">
        <v>233</v>
      </c>
      <c r="P74" s="7" t="s">
        <v>233</v>
      </c>
      <c r="Q74" s="7" t="s">
        <v>261</v>
      </c>
      <c r="R74" t="s">
        <v>3632</v>
      </c>
    </row>
    <row r="75" spans="1:18" x14ac:dyDescent="0.3">
      <c r="A75" s="7" t="str">
        <f>HYPERLINK("https://hsdes.intel.com/resource/14013120738","14013120738")</f>
        <v>14013120738</v>
      </c>
      <c r="B75" s="7" t="s">
        <v>262</v>
      </c>
      <c r="C75" s="7" t="s">
        <v>231</v>
      </c>
      <c r="D75" s="7" t="s">
        <v>3612</v>
      </c>
      <c r="E75" s="7" t="s">
        <v>3617</v>
      </c>
      <c r="F75" s="8" t="s">
        <v>3628</v>
      </c>
      <c r="H75" s="7" t="s">
        <v>3620</v>
      </c>
      <c r="I75" s="7" t="s">
        <v>3649</v>
      </c>
      <c r="J75" s="7" t="s">
        <v>3589</v>
      </c>
      <c r="L75" s="7" t="s">
        <v>64</v>
      </c>
      <c r="M75" s="7" t="s">
        <v>9</v>
      </c>
      <c r="N75" s="7" t="s">
        <v>232</v>
      </c>
      <c r="O75" s="7" t="s">
        <v>263</v>
      </c>
      <c r="P75" s="7" t="s">
        <v>264</v>
      </c>
      <c r="Q75" s="7" t="s">
        <v>265</v>
      </c>
      <c r="R75" t="s">
        <v>3631</v>
      </c>
    </row>
    <row r="76" spans="1:18" x14ac:dyDescent="0.3">
      <c r="A76" s="7" t="str">
        <f>HYPERLINK("https://hsdes.intel.com/resource/14013120756","14013120756")</f>
        <v>14013120756</v>
      </c>
      <c r="B76" s="7" t="s">
        <v>266</v>
      </c>
      <c r="C76" s="7" t="s">
        <v>231</v>
      </c>
      <c r="D76" s="7" t="s">
        <v>3613</v>
      </c>
      <c r="E76" s="7" t="s">
        <v>3617</v>
      </c>
      <c r="F76" s="8" t="s">
        <v>3628</v>
      </c>
      <c r="H76" s="7" t="s">
        <v>3620</v>
      </c>
      <c r="I76" s="7" t="s">
        <v>3643</v>
      </c>
      <c r="L76" s="7" t="s">
        <v>64</v>
      </c>
      <c r="M76" s="7" t="s">
        <v>9</v>
      </c>
      <c r="N76" s="7" t="s">
        <v>232</v>
      </c>
      <c r="O76" s="7" t="s">
        <v>233</v>
      </c>
      <c r="P76" s="7" t="s">
        <v>233</v>
      </c>
      <c r="Q76" s="7" t="s">
        <v>267</v>
      </c>
      <c r="R76" t="s">
        <v>3632</v>
      </c>
    </row>
    <row r="77" spans="1:18" x14ac:dyDescent="0.3">
      <c r="A77" s="7" t="str">
        <f>HYPERLINK("https://hsdes.intel.com/resource/14013120765","14013120765")</f>
        <v>14013120765</v>
      </c>
      <c r="B77" s="7" t="s">
        <v>268</v>
      </c>
      <c r="C77" s="7" t="s">
        <v>231</v>
      </c>
      <c r="D77" s="7" t="s">
        <v>3613</v>
      </c>
      <c r="E77" s="7" t="s">
        <v>3617</v>
      </c>
      <c r="F77" s="8" t="s">
        <v>3628</v>
      </c>
      <c r="H77" s="7" t="s">
        <v>3620</v>
      </c>
      <c r="I77" s="7" t="s">
        <v>3641</v>
      </c>
      <c r="L77" s="7" t="s">
        <v>64</v>
      </c>
      <c r="M77" s="7" t="s">
        <v>9</v>
      </c>
      <c r="N77" s="7" t="s">
        <v>238</v>
      </c>
      <c r="O77" s="7" t="s">
        <v>233</v>
      </c>
      <c r="P77" s="7" t="s">
        <v>233</v>
      </c>
      <c r="Q77" s="7" t="s">
        <v>269</v>
      </c>
      <c r="R77" t="s">
        <v>3632</v>
      </c>
    </row>
    <row r="78" spans="1:18" x14ac:dyDescent="0.3">
      <c r="A78" s="7" t="str">
        <f>HYPERLINK("https://hsdes.intel.com/resource/14013120780","14013120780")</f>
        <v>14013120780</v>
      </c>
      <c r="B78" s="7" t="s">
        <v>270</v>
      </c>
      <c r="C78" s="7" t="s">
        <v>231</v>
      </c>
      <c r="D78" s="7" t="s">
        <v>3612</v>
      </c>
      <c r="E78" s="7" t="s">
        <v>3617</v>
      </c>
      <c r="F78" s="8" t="s">
        <v>3628</v>
      </c>
      <c r="H78" s="7" t="s">
        <v>3620</v>
      </c>
      <c r="I78" s="7" t="s">
        <v>3643</v>
      </c>
      <c r="L78" s="7" t="s">
        <v>64</v>
      </c>
      <c r="M78" s="7" t="s">
        <v>9</v>
      </c>
      <c r="N78" s="7" t="s">
        <v>232</v>
      </c>
      <c r="O78" s="7" t="s">
        <v>233</v>
      </c>
      <c r="P78" s="7" t="s">
        <v>233</v>
      </c>
      <c r="Q78" s="7" t="s">
        <v>271</v>
      </c>
      <c r="R78" t="s">
        <v>3632</v>
      </c>
    </row>
    <row r="79" spans="1:18" x14ac:dyDescent="0.3">
      <c r="A79" s="7" t="str">
        <f>HYPERLINK("https://hsdes.intel.com/resource/14013120792","14013120792")</f>
        <v>14013120792</v>
      </c>
      <c r="B79" s="7" t="s">
        <v>272</v>
      </c>
      <c r="C79" s="7" t="s">
        <v>231</v>
      </c>
      <c r="D79" s="7" t="s">
        <v>3612</v>
      </c>
      <c r="E79" s="7" t="s">
        <v>3617</v>
      </c>
      <c r="F79" s="8" t="s">
        <v>3628</v>
      </c>
      <c r="H79" s="7" t="s">
        <v>3620</v>
      </c>
      <c r="I79" s="7" t="s">
        <v>3641</v>
      </c>
      <c r="L79" s="7" t="s">
        <v>64</v>
      </c>
      <c r="M79" s="7" t="s">
        <v>9</v>
      </c>
      <c r="N79" s="7" t="s">
        <v>232</v>
      </c>
      <c r="O79" s="7" t="s">
        <v>233</v>
      </c>
      <c r="P79" s="7" t="s">
        <v>233</v>
      </c>
      <c r="Q79" s="7" t="s">
        <v>273</v>
      </c>
      <c r="R79" t="s">
        <v>3632</v>
      </c>
    </row>
    <row r="80" spans="1:18" x14ac:dyDescent="0.3">
      <c r="A80" s="7" t="str">
        <f>HYPERLINK("https://hsdes.intel.com/resource/14013120808","14013120808")</f>
        <v>14013120808</v>
      </c>
      <c r="B80" s="7" t="s">
        <v>274</v>
      </c>
      <c r="C80" s="7" t="s">
        <v>231</v>
      </c>
      <c r="D80" s="7" t="s">
        <v>3612</v>
      </c>
      <c r="E80" s="7" t="s">
        <v>3617</v>
      </c>
      <c r="F80" s="8" t="s">
        <v>3628</v>
      </c>
      <c r="H80" s="7" t="s">
        <v>3620</v>
      </c>
      <c r="I80" s="7" t="s">
        <v>3643</v>
      </c>
      <c r="L80" s="7" t="s">
        <v>64</v>
      </c>
      <c r="M80" s="7" t="s">
        <v>9</v>
      </c>
      <c r="N80" s="7" t="s">
        <v>232</v>
      </c>
      <c r="O80" s="7" t="s">
        <v>233</v>
      </c>
      <c r="P80" s="7" t="s">
        <v>233</v>
      </c>
      <c r="Q80" s="7" t="s">
        <v>275</v>
      </c>
      <c r="R80" t="s">
        <v>3632</v>
      </c>
    </row>
    <row r="81" spans="1:20" x14ac:dyDescent="0.3">
      <c r="A81" s="7" t="str">
        <f>HYPERLINK("https://hsdes.intel.com/resource/14013120822","14013120822")</f>
        <v>14013120822</v>
      </c>
      <c r="B81" s="7" t="s">
        <v>276</v>
      </c>
      <c r="C81" s="7" t="s">
        <v>231</v>
      </c>
      <c r="D81" s="7" t="s">
        <v>3612</v>
      </c>
      <c r="E81" s="7" t="s">
        <v>3617</v>
      </c>
      <c r="F81" s="8" t="s">
        <v>3628</v>
      </c>
      <c r="H81" s="7" t="s">
        <v>3620</v>
      </c>
      <c r="I81" s="7" t="s">
        <v>3643</v>
      </c>
      <c r="L81" s="7" t="s">
        <v>64</v>
      </c>
      <c r="M81" s="7" t="s">
        <v>9</v>
      </c>
      <c r="N81" s="7" t="s">
        <v>232</v>
      </c>
      <c r="O81" s="7" t="s">
        <v>233</v>
      </c>
      <c r="P81" s="7" t="s">
        <v>233</v>
      </c>
      <c r="Q81" s="7" t="s">
        <v>277</v>
      </c>
      <c r="R81" t="s">
        <v>3632</v>
      </c>
    </row>
    <row r="82" spans="1:20" x14ac:dyDescent="0.3">
      <c r="A82" s="7" t="str">
        <f>HYPERLINK("https://hsdes.intel.com/resource/14013120858","14013120858")</f>
        <v>14013120858</v>
      </c>
      <c r="B82" s="7" t="s">
        <v>278</v>
      </c>
      <c r="C82" s="7" t="s">
        <v>231</v>
      </c>
      <c r="D82" s="7" t="s">
        <v>3613</v>
      </c>
      <c r="E82" s="7" t="s">
        <v>3617</v>
      </c>
      <c r="F82" s="8" t="s">
        <v>3628</v>
      </c>
      <c r="H82" s="7" t="s">
        <v>3620</v>
      </c>
      <c r="I82" s="7" t="s">
        <v>3643</v>
      </c>
      <c r="L82" s="7" t="s">
        <v>64</v>
      </c>
      <c r="M82" s="7" t="s">
        <v>9</v>
      </c>
      <c r="N82" s="7" t="s">
        <v>232</v>
      </c>
      <c r="O82" s="7" t="s">
        <v>233</v>
      </c>
      <c r="P82" s="7" t="s">
        <v>233</v>
      </c>
      <c r="Q82" s="7" t="s">
        <v>279</v>
      </c>
      <c r="R82" t="s">
        <v>3632</v>
      </c>
    </row>
    <row r="83" spans="1:20" x14ac:dyDescent="0.3">
      <c r="A83" s="7" t="str">
        <f>HYPERLINK("https://hsdes.intel.com/resource/14013120864","14013120864")</f>
        <v>14013120864</v>
      </c>
      <c r="B83" s="7" t="s">
        <v>280</v>
      </c>
      <c r="C83" s="7" t="s">
        <v>231</v>
      </c>
      <c r="D83" s="7" t="s">
        <v>3612</v>
      </c>
      <c r="E83" s="7" t="s">
        <v>3617</v>
      </c>
      <c r="F83" s="8" t="s">
        <v>3628</v>
      </c>
      <c r="H83" s="7" t="s">
        <v>3620</v>
      </c>
      <c r="I83" s="7" t="s">
        <v>3643</v>
      </c>
      <c r="L83" s="7" t="s">
        <v>64</v>
      </c>
      <c r="M83" s="7" t="s">
        <v>9</v>
      </c>
      <c r="N83" s="7" t="s">
        <v>232</v>
      </c>
      <c r="O83" s="7" t="s">
        <v>233</v>
      </c>
      <c r="P83" s="7" t="s">
        <v>281</v>
      </c>
      <c r="Q83" s="7" t="s">
        <v>282</v>
      </c>
      <c r="R83" t="s">
        <v>3632</v>
      </c>
    </row>
    <row r="84" spans="1:20" x14ac:dyDescent="0.3">
      <c r="A84" s="7" t="str">
        <f>HYPERLINK("https://hsdes.intel.com/resource/14013120874","14013120874")</f>
        <v>14013120874</v>
      </c>
      <c r="B84" s="7" t="s">
        <v>283</v>
      </c>
      <c r="C84" s="7" t="s">
        <v>231</v>
      </c>
      <c r="D84" s="7" t="s">
        <v>3612</v>
      </c>
      <c r="E84" s="7" t="s">
        <v>3617</v>
      </c>
      <c r="F84" s="8" t="s">
        <v>3628</v>
      </c>
      <c r="H84" s="7" t="s">
        <v>3620</v>
      </c>
      <c r="I84" s="7" t="s">
        <v>3643</v>
      </c>
      <c r="L84" s="7" t="s">
        <v>64</v>
      </c>
      <c r="M84" s="7" t="s">
        <v>9</v>
      </c>
      <c r="N84" s="7" t="s">
        <v>232</v>
      </c>
      <c r="O84" s="7" t="s">
        <v>233</v>
      </c>
      <c r="P84" s="7" t="s">
        <v>233</v>
      </c>
      <c r="Q84" s="7" t="s">
        <v>284</v>
      </c>
      <c r="R84" t="s">
        <v>3632</v>
      </c>
    </row>
    <row r="85" spans="1:20" x14ac:dyDescent="0.3">
      <c r="A85" s="7" t="str">
        <f>HYPERLINK("https://hsdes.intel.com/resource/14013120896","14013120896")</f>
        <v>14013120896</v>
      </c>
      <c r="B85" s="7" t="s">
        <v>285</v>
      </c>
      <c r="C85" s="7" t="s">
        <v>55</v>
      </c>
      <c r="D85" s="7" t="s">
        <v>3612</v>
      </c>
      <c r="E85" s="7" t="s">
        <v>3617</v>
      </c>
      <c r="F85" s="8" t="s">
        <v>3628</v>
      </c>
      <c r="H85" s="7" t="s">
        <v>3620</v>
      </c>
      <c r="I85" s="7" t="s">
        <v>3640</v>
      </c>
      <c r="L85" s="7" t="s">
        <v>30</v>
      </c>
      <c r="M85" s="7" t="s">
        <v>94</v>
      </c>
      <c r="N85" s="7" t="s">
        <v>25</v>
      </c>
      <c r="O85" s="7" t="s">
        <v>286</v>
      </c>
      <c r="P85" s="7" t="s">
        <v>286</v>
      </c>
      <c r="Q85" s="7" t="s">
        <v>287</v>
      </c>
      <c r="R85" t="s">
        <v>3632</v>
      </c>
    </row>
    <row r="86" spans="1:20" x14ac:dyDescent="0.3">
      <c r="A86" s="7" t="str">
        <f>HYPERLINK("https://hsdes.intel.com/resource/14013120901","14013120901")</f>
        <v>14013120901</v>
      </c>
      <c r="B86" s="7" t="s">
        <v>288</v>
      </c>
      <c r="C86" s="7" t="s">
        <v>55</v>
      </c>
      <c r="D86" s="7" t="s">
        <v>3612</v>
      </c>
      <c r="E86" s="7" t="s">
        <v>3617</v>
      </c>
      <c r="F86" s="8" t="s">
        <v>3628</v>
      </c>
      <c r="H86" s="7" t="s">
        <v>3620</v>
      </c>
      <c r="I86" s="7" t="s">
        <v>3641</v>
      </c>
      <c r="L86" s="7" t="s">
        <v>30</v>
      </c>
      <c r="M86" s="7" t="s">
        <v>9</v>
      </c>
      <c r="N86" s="7" t="s">
        <v>25</v>
      </c>
      <c r="O86" s="7" t="s">
        <v>289</v>
      </c>
      <c r="P86" s="7" t="s">
        <v>289</v>
      </c>
      <c r="Q86" s="7" t="s">
        <v>290</v>
      </c>
      <c r="R86" t="s">
        <v>3632</v>
      </c>
    </row>
    <row r="87" spans="1:20" x14ac:dyDescent="0.3">
      <c r="A87" s="7" t="str">
        <f>HYPERLINK("https://hsdes.intel.com/resource/14013120907","14013120907")</f>
        <v>14013120907</v>
      </c>
      <c r="B87" s="7" t="s">
        <v>291</v>
      </c>
      <c r="C87" s="7" t="s">
        <v>55</v>
      </c>
      <c r="D87" s="7" t="s">
        <v>3612</v>
      </c>
      <c r="E87" s="7" t="s">
        <v>3617</v>
      </c>
      <c r="F87" s="8" t="s">
        <v>3628</v>
      </c>
      <c r="H87" s="7" t="s">
        <v>3620</v>
      </c>
      <c r="I87" s="7" t="s">
        <v>3640</v>
      </c>
      <c r="L87" s="7" t="s">
        <v>30</v>
      </c>
      <c r="M87" s="7" t="s">
        <v>9</v>
      </c>
      <c r="N87" s="7" t="s">
        <v>25</v>
      </c>
      <c r="O87" s="7" t="s">
        <v>286</v>
      </c>
      <c r="P87" s="7" t="s">
        <v>286</v>
      </c>
      <c r="Q87" s="7" t="s">
        <v>292</v>
      </c>
      <c r="R87" t="s">
        <v>3632</v>
      </c>
    </row>
    <row r="88" spans="1:20" x14ac:dyDescent="0.3">
      <c r="A88" s="7" t="str">
        <f>HYPERLINK("https://hsdes.intel.com/resource/14013120914","14013120914")</f>
        <v>14013120914</v>
      </c>
      <c r="B88" s="7" t="s">
        <v>293</v>
      </c>
      <c r="C88" s="7" t="s">
        <v>55</v>
      </c>
      <c r="D88" s="7" t="s">
        <v>3612</v>
      </c>
      <c r="E88" s="7" t="s">
        <v>3617</v>
      </c>
      <c r="F88" s="8" t="s">
        <v>3628</v>
      </c>
      <c r="H88" s="7" t="s">
        <v>3620</v>
      </c>
      <c r="I88" s="7" t="s">
        <v>3640</v>
      </c>
      <c r="L88" s="7" t="s">
        <v>30</v>
      </c>
      <c r="M88" s="7" t="s">
        <v>9</v>
      </c>
      <c r="N88" s="7" t="s">
        <v>25</v>
      </c>
      <c r="O88" s="7" t="s">
        <v>289</v>
      </c>
      <c r="P88" s="7" t="s">
        <v>289</v>
      </c>
      <c r="Q88" s="7" t="s">
        <v>294</v>
      </c>
      <c r="R88" t="s">
        <v>3632</v>
      </c>
    </row>
    <row r="89" spans="1:20" x14ac:dyDescent="0.3">
      <c r="A89" s="7" t="str">
        <f>HYPERLINK("https://hsdes.intel.com/resource/14013120930","14013120930")</f>
        <v>14013120930</v>
      </c>
      <c r="B89" s="7" t="s">
        <v>295</v>
      </c>
      <c r="C89" s="7" t="s">
        <v>212</v>
      </c>
      <c r="D89" s="7" t="s">
        <v>3612</v>
      </c>
      <c r="E89" s="7" t="s">
        <v>3617</v>
      </c>
      <c r="F89" s="8" t="s">
        <v>3628</v>
      </c>
      <c r="H89" s="7" t="s">
        <v>3620</v>
      </c>
      <c r="I89" s="7" t="s">
        <v>3645</v>
      </c>
      <c r="L89" s="7" t="s">
        <v>24</v>
      </c>
      <c r="M89" s="7" t="s">
        <v>9</v>
      </c>
      <c r="N89" s="7" t="s">
        <v>25</v>
      </c>
      <c r="O89" s="7" t="s">
        <v>296</v>
      </c>
      <c r="P89" s="7" t="s">
        <v>296</v>
      </c>
      <c r="Q89" s="7" t="s">
        <v>297</v>
      </c>
      <c r="R89" t="s">
        <v>3633</v>
      </c>
      <c r="T89" s="22">
        <v>44819</v>
      </c>
    </row>
    <row r="90" spans="1:20" x14ac:dyDescent="0.3">
      <c r="A90" s="7" t="str">
        <f>HYPERLINK("https://hsdes.intel.com/resource/14013120937","14013120937")</f>
        <v>14013120937</v>
      </c>
      <c r="B90" s="7" t="s">
        <v>298</v>
      </c>
      <c r="C90" s="7" t="s">
        <v>112</v>
      </c>
      <c r="D90" s="7" t="s">
        <v>3613</v>
      </c>
      <c r="E90" s="7" t="s">
        <v>3617</v>
      </c>
      <c r="F90" s="8" t="s">
        <v>3628</v>
      </c>
      <c r="H90" s="7" t="s">
        <v>3620</v>
      </c>
      <c r="I90" s="7" t="s">
        <v>3622</v>
      </c>
      <c r="J90" s="7" t="s">
        <v>3539</v>
      </c>
      <c r="L90" s="7" t="s">
        <v>30</v>
      </c>
      <c r="M90" s="7" t="s">
        <v>9</v>
      </c>
      <c r="N90" s="7" t="s">
        <v>122</v>
      </c>
      <c r="O90" s="7" t="s">
        <v>299</v>
      </c>
      <c r="P90" s="7" t="s">
        <v>300</v>
      </c>
      <c r="Q90" s="7" t="s">
        <v>301</v>
      </c>
      <c r="R90" t="s">
        <v>3631</v>
      </c>
    </row>
    <row r="91" spans="1:20" x14ac:dyDescent="0.3">
      <c r="A91" s="7" t="str">
        <f>HYPERLINK("https://hsdes.intel.com/resource/14013121015","14013121015")</f>
        <v>14013121015</v>
      </c>
      <c r="B91" s="7" t="s">
        <v>302</v>
      </c>
      <c r="C91" s="7" t="s">
        <v>55</v>
      </c>
      <c r="D91" s="7" t="s">
        <v>3612</v>
      </c>
      <c r="E91" s="7" t="s">
        <v>3617</v>
      </c>
      <c r="F91" s="8" t="s">
        <v>3628</v>
      </c>
      <c r="H91" s="7" t="s">
        <v>3619</v>
      </c>
      <c r="I91" s="7" t="s">
        <v>3524</v>
      </c>
      <c r="L91" s="7" t="s">
        <v>30</v>
      </c>
      <c r="M91" s="7" t="s">
        <v>9</v>
      </c>
      <c r="N91" s="7" t="s">
        <v>303</v>
      </c>
      <c r="O91" s="7" t="s">
        <v>304</v>
      </c>
      <c r="P91" s="7" t="s">
        <v>304</v>
      </c>
      <c r="Q91" s="7" t="s">
        <v>305</v>
      </c>
      <c r="R91" t="s">
        <v>3632</v>
      </c>
    </row>
    <row r="92" spans="1:20" x14ac:dyDescent="0.3">
      <c r="A92" s="7" t="str">
        <f>HYPERLINK("https://hsdes.intel.com/resource/14013121204","14013121204")</f>
        <v>14013121204</v>
      </c>
      <c r="B92" s="7" t="s">
        <v>306</v>
      </c>
      <c r="C92" s="7" t="s">
        <v>7</v>
      </c>
      <c r="D92" s="7" t="s">
        <v>3612</v>
      </c>
      <c r="E92" s="7" t="s">
        <v>3617</v>
      </c>
      <c r="F92" s="8" t="s">
        <v>3628</v>
      </c>
      <c r="H92" s="7" t="s">
        <v>3619</v>
      </c>
      <c r="I92" s="7" t="s">
        <v>3524</v>
      </c>
      <c r="L92" s="7" t="s">
        <v>8</v>
      </c>
      <c r="M92" s="7" t="s">
        <v>9</v>
      </c>
      <c r="N92" s="7" t="s">
        <v>10</v>
      </c>
      <c r="O92" s="7" t="s">
        <v>307</v>
      </c>
      <c r="P92" s="7" t="s">
        <v>12</v>
      </c>
      <c r="Q92" s="7" t="s">
        <v>308</v>
      </c>
      <c r="R92" t="s">
        <v>3633</v>
      </c>
    </row>
    <row r="93" spans="1:20" x14ac:dyDescent="0.3">
      <c r="A93" s="7" t="str">
        <f>HYPERLINK("https://hsdes.intel.com/resource/14013121214","14013121214")</f>
        <v>14013121214</v>
      </c>
      <c r="B93" s="7" t="s">
        <v>309</v>
      </c>
      <c r="C93" s="7" t="s">
        <v>7</v>
      </c>
      <c r="D93" s="7" t="s">
        <v>3612</v>
      </c>
      <c r="E93" s="7" t="s">
        <v>3617</v>
      </c>
      <c r="F93" s="8" t="s">
        <v>3628</v>
      </c>
      <c r="H93" s="7" t="s">
        <v>3619</v>
      </c>
      <c r="I93" s="7" t="s">
        <v>3524</v>
      </c>
      <c r="L93" s="7" t="s">
        <v>8</v>
      </c>
      <c r="M93" s="7" t="s">
        <v>9</v>
      </c>
      <c r="N93" s="7" t="s">
        <v>10</v>
      </c>
      <c r="O93" s="7" t="s">
        <v>310</v>
      </c>
      <c r="P93" s="7" t="s">
        <v>12</v>
      </c>
      <c r="Q93" s="7" t="s">
        <v>311</v>
      </c>
      <c r="R93" t="s">
        <v>3631</v>
      </c>
    </row>
    <row r="94" spans="1:20" x14ac:dyDescent="0.3">
      <c r="A94" s="7" t="str">
        <f>HYPERLINK("https://hsdes.intel.com/resource/14013121224","14013121224")</f>
        <v>14013121224</v>
      </c>
      <c r="B94" s="7" t="s">
        <v>312</v>
      </c>
      <c r="C94" s="7" t="s">
        <v>7</v>
      </c>
      <c r="D94" s="7" t="s">
        <v>3612</v>
      </c>
      <c r="E94" s="7" t="s">
        <v>3617</v>
      </c>
      <c r="F94" s="8" t="s">
        <v>3628</v>
      </c>
      <c r="H94" s="7" t="s">
        <v>3619</v>
      </c>
      <c r="I94" s="7" t="s">
        <v>3524</v>
      </c>
      <c r="L94" s="7" t="s">
        <v>8</v>
      </c>
      <c r="M94" s="7" t="s">
        <v>9</v>
      </c>
      <c r="N94" s="7" t="s">
        <v>313</v>
      </c>
      <c r="O94" s="7" t="s">
        <v>314</v>
      </c>
      <c r="P94" s="7" t="s">
        <v>315</v>
      </c>
      <c r="Q94" s="7" t="s">
        <v>316</v>
      </c>
      <c r="R94" t="s">
        <v>3633</v>
      </c>
    </row>
    <row r="95" spans="1:20" x14ac:dyDescent="0.3">
      <c r="A95" s="7" t="str">
        <f>HYPERLINK("https://hsdes.intel.com/resource/14013121230","14013121230")</f>
        <v>14013121230</v>
      </c>
      <c r="B95" s="7" t="s">
        <v>317</v>
      </c>
      <c r="C95" s="7" t="s">
        <v>7</v>
      </c>
      <c r="D95" s="7" t="s">
        <v>3612</v>
      </c>
      <c r="E95" s="7" t="s">
        <v>3617</v>
      </c>
      <c r="F95" s="8" t="s">
        <v>3628</v>
      </c>
      <c r="H95" s="7" t="s">
        <v>3619</v>
      </c>
      <c r="I95" s="7" t="s">
        <v>3524</v>
      </c>
      <c r="L95" s="7" t="s">
        <v>8</v>
      </c>
      <c r="M95" s="7" t="s">
        <v>9</v>
      </c>
      <c r="N95" s="7" t="s">
        <v>10</v>
      </c>
      <c r="O95" s="7" t="s">
        <v>318</v>
      </c>
      <c r="P95" s="7" t="s">
        <v>319</v>
      </c>
      <c r="Q95" s="7" t="s">
        <v>320</v>
      </c>
      <c r="R95" t="s">
        <v>3633</v>
      </c>
    </row>
    <row r="96" spans="1:20" x14ac:dyDescent="0.3">
      <c r="A96" s="7" t="str">
        <f>HYPERLINK("https://hsdes.intel.com/resource/14013121241","14013121241")</f>
        <v>14013121241</v>
      </c>
      <c r="B96" s="7" t="s">
        <v>321</v>
      </c>
      <c r="C96" s="7" t="s">
        <v>7</v>
      </c>
      <c r="D96" s="7" t="s">
        <v>3612</v>
      </c>
      <c r="E96" s="7" t="s">
        <v>3617</v>
      </c>
      <c r="F96" s="8" t="s">
        <v>3628</v>
      </c>
      <c r="H96" s="7" t="s">
        <v>3619</v>
      </c>
      <c r="I96" s="7" t="s">
        <v>3524</v>
      </c>
      <c r="L96" s="7" t="s">
        <v>8</v>
      </c>
      <c r="M96" s="7" t="s">
        <v>9</v>
      </c>
      <c r="N96" s="7" t="s">
        <v>10</v>
      </c>
      <c r="O96" s="7" t="s">
        <v>322</v>
      </c>
      <c r="P96" s="7" t="s">
        <v>323</v>
      </c>
      <c r="Q96" s="7" t="s">
        <v>324</v>
      </c>
      <c r="R96" t="s">
        <v>3633</v>
      </c>
    </row>
    <row r="97" spans="1:20" x14ac:dyDescent="0.3">
      <c r="A97" s="7" t="str">
        <f>HYPERLINK("https://hsdes.intel.com/resource/14013121267","14013121267")</f>
        <v>14013121267</v>
      </c>
      <c r="B97" s="7" t="s">
        <v>325</v>
      </c>
      <c r="C97" s="7" t="s">
        <v>7</v>
      </c>
      <c r="D97" s="7" t="s">
        <v>3612</v>
      </c>
      <c r="E97" s="7" t="s">
        <v>3617</v>
      </c>
      <c r="F97" s="8" t="s">
        <v>3628</v>
      </c>
      <c r="H97" s="7" t="s">
        <v>3619</v>
      </c>
      <c r="I97" s="7" t="s">
        <v>3644</v>
      </c>
      <c r="L97" s="7" t="s">
        <v>8</v>
      </c>
      <c r="M97" s="7" t="s">
        <v>9</v>
      </c>
      <c r="N97" s="7" t="s">
        <v>10</v>
      </c>
      <c r="O97" s="7" t="s">
        <v>326</v>
      </c>
      <c r="P97" s="7" t="s">
        <v>327</v>
      </c>
      <c r="Q97" s="7" t="s">
        <v>328</v>
      </c>
      <c r="R97" t="s">
        <v>3633</v>
      </c>
    </row>
    <row r="98" spans="1:20" x14ac:dyDescent="0.3">
      <c r="A98" s="7" t="str">
        <f>HYPERLINK("https://hsdes.intel.com/resource/14013121275","14013121275")</f>
        <v>14013121275</v>
      </c>
      <c r="B98" s="7" t="s">
        <v>329</v>
      </c>
      <c r="C98" s="7" t="s">
        <v>7</v>
      </c>
      <c r="D98" s="7" t="s">
        <v>3612</v>
      </c>
      <c r="E98" s="7" t="s">
        <v>3617</v>
      </c>
      <c r="F98" s="8" t="s">
        <v>3628</v>
      </c>
      <c r="H98" s="7" t="s">
        <v>3620</v>
      </c>
      <c r="I98" s="7" t="s">
        <v>3644</v>
      </c>
      <c r="L98" s="7" t="s">
        <v>8</v>
      </c>
      <c r="M98" s="7" t="s">
        <v>9</v>
      </c>
      <c r="N98" s="7" t="s">
        <v>10</v>
      </c>
      <c r="O98" s="7" t="s">
        <v>330</v>
      </c>
      <c r="P98" s="7" t="s">
        <v>323</v>
      </c>
      <c r="Q98" s="7" t="s">
        <v>331</v>
      </c>
      <c r="R98" t="s">
        <v>3633</v>
      </c>
    </row>
    <row r="99" spans="1:20" x14ac:dyDescent="0.3">
      <c r="A99" s="7" t="str">
        <f>HYPERLINK("https://hsdes.intel.com/resource/14013121432","14013121432")</f>
        <v>14013121432</v>
      </c>
      <c r="B99" s="7" t="s">
        <v>332</v>
      </c>
      <c r="C99" s="7" t="s">
        <v>133</v>
      </c>
      <c r="D99" s="7" t="s">
        <v>3612</v>
      </c>
      <c r="E99" s="7" t="s">
        <v>3617</v>
      </c>
      <c r="F99" s="8" t="s">
        <v>3628</v>
      </c>
      <c r="H99" s="7" t="s">
        <v>3619</v>
      </c>
      <c r="I99" s="7" t="s">
        <v>3643</v>
      </c>
      <c r="L99" s="7" t="s">
        <v>8</v>
      </c>
      <c r="M99" s="7" t="s">
        <v>9</v>
      </c>
      <c r="N99" s="7" t="s">
        <v>333</v>
      </c>
      <c r="O99" s="7" t="s">
        <v>334</v>
      </c>
      <c r="P99" s="7" t="s">
        <v>334</v>
      </c>
      <c r="Q99" s="7" t="s">
        <v>335</v>
      </c>
      <c r="R99" t="s">
        <v>3632</v>
      </c>
    </row>
    <row r="100" spans="1:20" x14ac:dyDescent="0.3">
      <c r="A100" s="7" t="str">
        <f>HYPERLINK("https://hsdes.intel.com/resource/14013156688","14013156688")</f>
        <v>14013156688</v>
      </c>
      <c r="B100" s="7" t="s">
        <v>336</v>
      </c>
      <c r="C100" s="7" t="s">
        <v>112</v>
      </c>
      <c r="D100" s="7" t="s">
        <v>3612</v>
      </c>
      <c r="E100" s="7" t="s">
        <v>3617</v>
      </c>
      <c r="F100" s="8" t="s">
        <v>3628</v>
      </c>
      <c r="H100" s="7" t="s">
        <v>3620</v>
      </c>
      <c r="I100" s="7" t="s">
        <v>3622</v>
      </c>
      <c r="L100" s="7" t="s">
        <v>30</v>
      </c>
      <c r="M100" s="7" t="s">
        <v>94</v>
      </c>
      <c r="N100" s="7" t="s">
        <v>226</v>
      </c>
      <c r="O100" s="7" t="s">
        <v>337</v>
      </c>
      <c r="P100" s="7" t="s">
        <v>338</v>
      </c>
      <c r="Q100" s="7" t="s">
        <v>339</v>
      </c>
      <c r="R100" t="s">
        <v>3632</v>
      </c>
    </row>
    <row r="101" spans="1:20" x14ac:dyDescent="0.3">
      <c r="A101" s="7" t="str">
        <f>HYPERLINK("https://hsdes.intel.com/resource/14013156736","14013156736")</f>
        <v>14013156736</v>
      </c>
      <c r="B101" s="7" t="s">
        <v>340</v>
      </c>
      <c r="C101" s="7" t="s">
        <v>341</v>
      </c>
      <c r="D101" s="7" t="s">
        <v>3612</v>
      </c>
      <c r="E101" s="7" t="s">
        <v>3617</v>
      </c>
      <c r="F101" s="8" t="s">
        <v>3628</v>
      </c>
      <c r="H101" s="7" t="s">
        <v>3619</v>
      </c>
      <c r="I101" s="7" t="s">
        <v>3622</v>
      </c>
      <c r="L101" s="7" t="s">
        <v>64</v>
      </c>
      <c r="M101" s="7" t="s">
        <v>9</v>
      </c>
      <c r="N101" s="7" t="s">
        <v>25</v>
      </c>
      <c r="O101" s="7" t="s">
        <v>342</v>
      </c>
      <c r="P101" s="7" t="s">
        <v>343</v>
      </c>
      <c r="Q101" s="7" t="s">
        <v>344</v>
      </c>
      <c r="R101" t="s">
        <v>3631</v>
      </c>
    </row>
    <row r="102" spans="1:20" x14ac:dyDescent="0.3">
      <c r="A102" s="7" t="str">
        <f>HYPERLINK("https://hsdes.intel.com/resource/14013156756","14013156756")</f>
        <v>14013156756</v>
      </c>
      <c r="B102" s="7" t="s">
        <v>345</v>
      </c>
      <c r="C102" s="7" t="s">
        <v>112</v>
      </c>
      <c r="D102" s="7" t="s">
        <v>3612</v>
      </c>
      <c r="E102" s="7" t="s">
        <v>3617</v>
      </c>
      <c r="F102" s="8" t="s">
        <v>3628</v>
      </c>
      <c r="H102" s="7" t="s">
        <v>3618</v>
      </c>
      <c r="J102" s="7" t="s">
        <v>3542</v>
      </c>
      <c r="L102" s="7" t="s">
        <v>30</v>
      </c>
      <c r="M102" s="7" t="s">
        <v>94</v>
      </c>
      <c r="N102" s="7" t="s">
        <v>39</v>
      </c>
      <c r="O102" s="7" t="s">
        <v>346</v>
      </c>
      <c r="P102" s="7" t="s">
        <v>347</v>
      </c>
      <c r="Q102" s="7" t="s">
        <v>348</v>
      </c>
      <c r="R102" t="s">
        <v>3633</v>
      </c>
    </row>
    <row r="103" spans="1:20" x14ac:dyDescent="0.3">
      <c r="A103" s="7" t="str">
        <f>HYPERLINK("https://hsdes.intel.com/resource/14013156768","14013156768")</f>
        <v>14013156768</v>
      </c>
      <c r="B103" s="7" t="s">
        <v>349</v>
      </c>
      <c r="C103" s="7" t="s">
        <v>341</v>
      </c>
      <c r="D103" s="7" t="s">
        <v>3612</v>
      </c>
      <c r="E103" s="7" t="s">
        <v>3617</v>
      </c>
      <c r="F103" s="8" t="s">
        <v>3628</v>
      </c>
      <c r="H103" s="7" t="s">
        <v>3619</v>
      </c>
      <c r="I103" s="7" t="s">
        <v>3622</v>
      </c>
      <c r="L103" s="7" t="s">
        <v>64</v>
      </c>
      <c r="M103" s="7" t="s">
        <v>94</v>
      </c>
      <c r="N103" s="7" t="s">
        <v>56</v>
      </c>
      <c r="O103" s="7" t="s">
        <v>350</v>
      </c>
      <c r="P103" s="7" t="s">
        <v>351</v>
      </c>
      <c r="Q103" s="7" t="s">
        <v>352</v>
      </c>
      <c r="R103" t="s">
        <v>3633</v>
      </c>
    </row>
    <row r="104" spans="1:20" x14ac:dyDescent="0.3">
      <c r="A104" s="7" t="str">
        <f>HYPERLINK("https://hsdes.intel.com/resource/14013156770","14013156770")</f>
        <v>14013156770</v>
      </c>
      <c r="B104" s="7" t="s">
        <v>353</v>
      </c>
      <c r="C104" s="7" t="s">
        <v>63</v>
      </c>
      <c r="D104" s="7" t="s">
        <v>3613</v>
      </c>
      <c r="E104" s="7" t="s">
        <v>3617</v>
      </c>
      <c r="F104" s="8" t="s">
        <v>3628</v>
      </c>
      <c r="H104" s="7" t="s">
        <v>3620</v>
      </c>
      <c r="I104" s="7" t="s">
        <v>3622</v>
      </c>
      <c r="L104" s="7" t="s">
        <v>64</v>
      </c>
      <c r="M104" s="7" t="s">
        <v>94</v>
      </c>
      <c r="N104" s="7" t="s">
        <v>56</v>
      </c>
      <c r="O104" s="7" t="s">
        <v>354</v>
      </c>
      <c r="P104" s="7" t="s">
        <v>355</v>
      </c>
      <c r="Q104" s="7" t="s">
        <v>356</v>
      </c>
      <c r="R104" t="s">
        <v>3631</v>
      </c>
    </row>
    <row r="105" spans="1:20" x14ac:dyDescent="0.3">
      <c r="A105" s="7" t="str">
        <f>HYPERLINK("https://hsdes.intel.com/resource/14013156774","14013156774")</f>
        <v>14013156774</v>
      </c>
      <c r="B105" s="7" t="s">
        <v>357</v>
      </c>
      <c r="C105" s="7" t="s">
        <v>121</v>
      </c>
      <c r="D105" s="7" t="s">
        <v>3612</v>
      </c>
      <c r="E105" s="7" t="s">
        <v>3617</v>
      </c>
      <c r="F105" s="8" t="s">
        <v>3628</v>
      </c>
      <c r="H105" s="16" t="s">
        <v>3619</v>
      </c>
      <c r="I105" s="7" t="s">
        <v>3622</v>
      </c>
      <c r="L105" s="7" t="s">
        <v>142</v>
      </c>
      <c r="M105" s="7" t="s">
        <v>9</v>
      </c>
      <c r="N105" s="7" t="s">
        <v>56</v>
      </c>
      <c r="O105" s="7" t="s">
        <v>358</v>
      </c>
      <c r="P105" s="7" t="s">
        <v>358</v>
      </c>
      <c r="Q105" s="7" t="s">
        <v>359</v>
      </c>
      <c r="R105" t="s">
        <v>3632</v>
      </c>
    </row>
    <row r="106" spans="1:20" x14ac:dyDescent="0.3">
      <c r="A106" s="7" t="str">
        <f>HYPERLINK("https://hsdes.intel.com/resource/14013156775","14013156775")</f>
        <v>14013156775</v>
      </c>
      <c r="B106" s="7" t="s">
        <v>360</v>
      </c>
      <c r="C106" s="7" t="s">
        <v>23</v>
      </c>
      <c r="D106" s="7" t="s">
        <v>3612</v>
      </c>
      <c r="E106" s="7" t="s">
        <v>3617</v>
      </c>
      <c r="F106" s="8" t="s">
        <v>3628</v>
      </c>
      <c r="H106" s="16" t="s">
        <v>3619</v>
      </c>
      <c r="I106" s="16" t="s">
        <v>3622</v>
      </c>
      <c r="L106" s="7" t="s">
        <v>30</v>
      </c>
      <c r="M106" s="7" t="s">
        <v>9</v>
      </c>
      <c r="N106" s="7" t="s">
        <v>25</v>
      </c>
      <c r="O106" s="7" t="s">
        <v>337</v>
      </c>
      <c r="P106" s="7" t="s">
        <v>361</v>
      </c>
      <c r="Q106" s="7" t="s">
        <v>362</v>
      </c>
      <c r="R106" t="s">
        <v>3632</v>
      </c>
    </row>
    <row r="107" spans="1:20" x14ac:dyDescent="0.3">
      <c r="A107" s="7" t="str">
        <f>HYPERLINK("https://hsdes.intel.com/resource/14013156780","14013156780")</f>
        <v>14013156780</v>
      </c>
      <c r="B107" s="7" t="s">
        <v>363</v>
      </c>
      <c r="C107" s="7" t="s">
        <v>212</v>
      </c>
      <c r="D107" s="7" t="s">
        <v>3612</v>
      </c>
      <c r="E107" s="7" t="s">
        <v>3617</v>
      </c>
      <c r="F107" s="8" t="s">
        <v>3628</v>
      </c>
      <c r="H107" s="7" t="s">
        <v>3619</v>
      </c>
      <c r="I107" s="7" t="s">
        <v>3645</v>
      </c>
      <c r="L107" s="7" t="s">
        <v>24</v>
      </c>
      <c r="M107" s="7" t="s">
        <v>9</v>
      </c>
      <c r="N107" s="7" t="s">
        <v>25</v>
      </c>
      <c r="O107" s="7" t="s">
        <v>364</v>
      </c>
      <c r="P107" s="7" t="s">
        <v>365</v>
      </c>
      <c r="Q107" s="7" t="s">
        <v>366</v>
      </c>
      <c r="R107" t="s">
        <v>3632</v>
      </c>
      <c r="T107" s="22">
        <v>44819</v>
      </c>
    </row>
    <row r="108" spans="1:20" x14ac:dyDescent="0.3">
      <c r="A108" s="7" t="str">
        <f>HYPERLINK("https://hsdes.intel.com/resource/14013156783","14013156783")</f>
        <v>14013156783</v>
      </c>
      <c r="B108" s="7" t="s">
        <v>367</v>
      </c>
      <c r="C108" s="7" t="s">
        <v>212</v>
      </c>
      <c r="D108" s="7" t="s">
        <v>3612</v>
      </c>
      <c r="E108" s="7" t="s">
        <v>3617</v>
      </c>
      <c r="F108" s="8" t="s">
        <v>3628</v>
      </c>
      <c r="H108" s="7" t="s">
        <v>3619</v>
      </c>
      <c r="I108" s="7" t="s">
        <v>3645</v>
      </c>
      <c r="L108" s="7" t="s">
        <v>24</v>
      </c>
      <c r="M108" s="7" t="s">
        <v>9</v>
      </c>
      <c r="N108" s="7" t="s">
        <v>25</v>
      </c>
      <c r="O108" s="7" t="s">
        <v>364</v>
      </c>
      <c r="P108" s="7" t="s">
        <v>365</v>
      </c>
      <c r="Q108" s="7" t="s">
        <v>368</v>
      </c>
      <c r="R108" t="s">
        <v>3632</v>
      </c>
      <c r="T108" s="22">
        <v>44819</v>
      </c>
    </row>
    <row r="109" spans="1:20" x14ac:dyDescent="0.3">
      <c r="A109" s="7" t="str">
        <f>HYPERLINK("https://hsdes.intel.com/resource/14013156787","14013156787")</f>
        <v>14013156787</v>
      </c>
      <c r="B109" s="7" t="s">
        <v>369</v>
      </c>
      <c r="C109" s="7" t="s">
        <v>29</v>
      </c>
      <c r="D109" s="7" t="s">
        <v>3612</v>
      </c>
      <c r="E109" s="7" t="s">
        <v>3617</v>
      </c>
      <c r="F109" s="8" t="s">
        <v>3628</v>
      </c>
      <c r="H109" s="7" t="s">
        <v>3620</v>
      </c>
      <c r="I109" s="7" t="s">
        <v>3643</v>
      </c>
      <c r="L109" s="7" t="s">
        <v>8</v>
      </c>
      <c r="M109" s="7" t="s">
        <v>94</v>
      </c>
      <c r="N109" s="7" t="s">
        <v>25</v>
      </c>
      <c r="O109" s="7" t="s">
        <v>370</v>
      </c>
      <c r="P109" s="7" t="s">
        <v>31</v>
      </c>
      <c r="Q109" s="7" t="s">
        <v>371</v>
      </c>
      <c r="R109" t="s">
        <v>3631</v>
      </c>
    </row>
    <row r="110" spans="1:20" x14ac:dyDescent="0.3">
      <c r="A110" s="7" t="str">
        <f>HYPERLINK("https://hsdes.intel.com/resource/14013156788","14013156788")</f>
        <v>14013156788</v>
      </c>
      <c r="B110" s="7" t="s">
        <v>372</v>
      </c>
      <c r="C110" s="7" t="s">
        <v>121</v>
      </c>
      <c r="D110" s="7" t="s">
        <v>3612</v>
      </c>
      <c r="E110" s="7" t="s">
        <v>3617</v>
      </c>
      <c r="F110" s="8" t="s">
        <v>3628</v>
      </c>
      <c r="H110" s="7" t="s">
        <v>3620</v>
      </c>
      <c r="I110" s="7" t="s">
        <v>3654</v>
      </c>
      <c r="J110" s="7" t="s">
        <v>3526</v>
      </c>
      <c r="L110" s="7" t="s">
        <v>142</v>
      </c>
      <c r="M110" s="7" t="s">
        <v>9</v>
      </c>
      <c r="N110" s="7" t="s">
        <v>122</v>
      </c>
      <c r="O110" s="7" t="s">
        <v>373</v>
      </c>
      <c r="P110" s="7" t="s">
        <v>217</v>
      </c>
      <c r="Q110" s="7" t="s">
        <v>374</v>
      </c>
      <c r="R110" t="s">
        <v>3631</v>
      </c>
    </row>
    <row r="111" spans="1:20" x14ac:dyDescent="0.3">
      <c r="A111" s="7" t="str">
        <f>HYPERLINK("https://hsdes.intel.com/resource/14013156791","14013156791")</f>
        <v>14013156791</v>
      </c>
      <c r="B111" s="7" t="s">
        <v>375</v>
      </c>
      <c r="C111" s="7" t="s">
        <v>29</v>
      </c>
      <c r="D111" s="7" t="s">
        <v>3612</v>
      </c>
      <c r="E111" s="7" t="s">
        <v>3617</v>
      </c>
      <c r="F111" s="8" t="s">
        <v>3628</v>
      </c>
      <c r="H111" s="7" t="s">
        <v>3620</v>
      </c>
      <c r="I111" s="7" t="s">
        <v>3643</v>
      </c>
      <c r="L111" s="7" t="s">
        <v>8</v>
      </c>
      <c r="M111" s="7" t="s">
        <v>94</v>
      </c>
      <c r="N111" s="7" t="s">
        <v>25</v>
      </c>
      <c r="O111" s="7" t="s">
        <v>370</v>
      </c>
      <c r="P111" s="7" t="s">
        <v>31</v>
      </c>
      <c r="Q111" s="7" t="s">
        <v>376</v>
      </c>
      <c r="R111" t="s">
        <v>3631</v>
      </c>
    </row>
    <row r="112" spans="1:20" x14ac:dyDescent="0.3">
      <c r="A112" s="7" t="str">
        <f>HYPERLINK("https://hsdes.intel.com/resource/14013156792","14013156792")</f>
        <v>14013156792</v>
      </c>
      <c r="B112" s="7" t="s">
        <v>377</v>
      </c>
      <c r="C112" s="7" t="s">
        <v>29</v>
      </c>
      <c r="D112" s="7" t="s">
        <v>3612</v>
      </c>
      <c r="E112" s="7" t="s">
        <v>3617</v>
      </c>
      <c r="F112" s="8" t="s">
        <v>3628</v>
      </c>
      <c r="H112" s="16" t="s">
        <v>3619</v>
      </c>
      <c r="I112" s="16" t="s">
        <v>3524</v>
      </c>
      <c r="L112" s="7" t="s">
        <v>8</v>
      </c>
      <c r="M112" s="7" t="s">
        <v>94</v>
      </c>
      <c r="N112" s="7" t="s">
        <v>25</v>
      </c>
      <c r="O112" s="7" t="s">
        <v>378</v>
      </c>
      <c r="P112" s="7" t="s">
        <v>379</v>
      </c>
      <c r="Q112" s="7" t="s">
        <v>380</v>
      </c>
      <c r="R112" t="s">
        <v>3631</v>
      </c>
    </row>
    <row r="113" spans="1:18" x14ac:dyDescent="0.3">
      <c r="A113" s="7" t="str">
        <f>HYPERLINK("https://hsdes.intel.com/resource/14013156795","14013156795")</f>
        <v>14013156795</v>
      </c>
      <c r="B113" s="7" t="s">
        <v>381</v>
      </c>
      <c r="C113" s="7" t="s">
        <v>29</v>
      </c>
      <c r="D113" s="7" t="s">
        <v>3612</v>
      </c>
      <c r="E113" s="7" t="s">
        <v>3617</v>
      </c>
      <c r="F113" s="8" t="s">
        <v>3628</v>
      </c>
      <c r="H113" s="7" t="s">
        <v>3620</v>
      </c>
      <c r="I113" s="7" t="s">
        <v>3643</v>
      </c>
      <c r="L113" s="7" t="s">
        <v>8</v>
      </c>
      <c r="M113" s="7" t="s">
        <v>94</v>
      </c>
      <c r="N113" s="7" t="s">
        <v>25</v>
      </c>
      <c r="O113" s="7" t="s">
        <v>370</v>
      </c>
      <c r="P113" s="7" t="s">
        <v>31</v>
      </c>
      <c r="Q113" s="7" t="s">
        <v>382</v>
      </c>
      <c r="R113" t="s">
        <v>3631</v>
      </c>
    </row>
    <row r="114" spans="1:18" x14ac:dyDescent="0.3">
      <c r="A114" s="9" t="str">
        <f>HYPERLINK("https://hsdes.intel.com/resource/14013156796","14013156796")</f>
        <v>14013156796</v>
      </c>
      <c r="B114" s="7" t="s">
        <v>383</v>
      </c>
      <c r="C114" s="7" t="s">
        <v>55</v>
      </c>
      <c r="D114" s="7" t="s">
        <v>3612</v>
      </c>
      <c r="E114" s="7" t="s">
        <v>3617</v>
      </c>
      <c r="F114" s="8" t="s">
        <v>3628</v>
      </c>
      <c r="H114" s="7" t="s">
        <v>3620</v>
      </c>
      <c r="I114" s="7" t="s">
        <v>3622</v>
      </c>
      <c r="L114" s="7" t="s">
        <v>30</v>
      </c>
      <c r="M114" s="7" t="s">
        <v>9</v>
      </c>
      <c r="N114" s="7" t="s">
        <v>25</v>
      </c>
      <c r="O114" s="7" t="s">
        <v>384</v>
      </c>
      <c r="P114" s="7" t="s">
        <v>384</v>
      </c>
      <c r="Q114" s="7" t="s">
        <v>385</v>
      </c>
      <c r="R114" t="s">
        <v>3632</v>
      </c>
    </row>
    <row r="115" spans="1:18" x14ac:dyDescent="0.3">
      <c r="A115" s="7" t="str">
        <f>HYPERLINK("https://hsdes.intel.com/resource/14013156798","14013156798")</f>
        <v>14013156798</v>
      </c>
      <c r="B115" s="7" t="s">
        <v>386</v>
      </c>
      <c r="C115" s="7" t="s">
        <v>29</v>
      </c>
      <c r="D115" s="7" t="s">
        <v>3612</v>
      </c>
      <c r="E115" s="7" t="s">
        <v>3617</v>
      </c>
      <c r="F115" s="8" t="s">
        <v>3628</v>
      </c>
      <c r="H115" s="7" t="s">
        <v>3620</v>
      </c>
      <c r="I115" s="7" t="s">
        <v>3643</v>
      </c>
      <c r="L115" s="7" t="s">
        <v>8</v>
      </c>
      <c r="M115" s="7" t="s">
        <v>94</v>
      </c>
      <c r="N115" s="7" t="s">
        <v>25</v>
      </c>
      <c r="O115" s="7" t="s">
        <v>370</v>
      </c>
      <c r="P115" s="7" t="s">
        <v>31</v>
      </c>
      <c r="Q115" s="7" t="s">
        <v>387</v>
      </c>
      <c r="R115" t="s">
        <v>3631</v>
      </c>
    </row>
    <row r="116" spans="1:18" x14ac:dyDescent="0.3">
      <c r="A116" s="7" t="str">
        <f>HYPERLINK("https://hsdes.intel.com/resource/14013156799","14013156799")</f>
        <v>14013156799</v>
      </c>
      <c r="B116" s="7" t="s">
        <v>388</v>
      </c>
      <c r="C116" s="7" t="s">
        <v>55</v>
      </c>
      <c r="D116" s="7" t="s">
        <v>3612</v>
      </c>
      <c r="E116" s="7" t="s">
        <v>3617</v>
      </c>
      <c r="F116" s="8" t="s">
        <v>3628</v>
      </c>
      <c r="H116" s="7" t="s">
        <v>3619</v>
      </c>
      <c r="I116" s="7" t="s">
        <v>3640</v>
      </c>
      <c r="L116" s="7" t="s">
        <v>30</v>
      </c>
      <c r="M116" s="7" t="s">
        <v>9</v>
      </c>
      <c r="N116" s="7" t="s">
        <v>25</v>
      </c>
      <c r="O116" s="7" t="s">
        <v>286</v>
      </c>
      <c r="P116" s="7" t="s">
        <v>286</v>
      </c>
      <c r="Q116" s="7" t="s">
        <v>389</v>
      </c>
      <c r="R116" t="s">
        <v>3632</v>
      </c>
    </row>
    <row r="117" spans="1:18" x14ac:dyDescent="0.3">
      <c r="A117" s="7" t="str">
        <f>HYPERLINK("https://hsdes.intel.com/resource/14013156800","14013156800")</f>
        <v>14013156800</v>
      </c>
      <c r="B117" s="7" t="s">
        <v>390</v>
      </c>
      <c r="C117" s="7" t="s">
        <v>29</v>
      </c>
      <c r="D117" s="7" t="s">
        <v>3612</v>
      </c>
      <c r="E117" s="7" t="s">
        <v>3617</v>
      </c>
      <c r="F117" s="8" t="s">
        <v>3628</v>
      </c>
      <c r="H117" s="7" t="s">
        <v>3620</v>
      </c>
      <c r="I117" s="7" t="s">
        <v>3643</v>
      </c>
      <c r="L117" s="7" t="s">
        <v>8</v>
      </c>
      <c r="M117" s="7" t="s">
        <v>94</v>
      </c>
      <c r="N117" s="7" t="s">
        <v>25</v>
      </c>
      <c r="O117" s="7" t="s">
        <v>370</v>
      </c>
      <c r="P117" s="7" t="s">
        <v>31</v>
      </c>
      <c r="Q117" s="7" t="s">
        <v>391</v>
      </c>
      <c r="R117" t="s">
        <v>3632</v>
      </c>
    </row>
    <row r="118" spans="1:18" x14ac:dyDescent="0.3">
      <c r="A118" s="7" t="str">
        <f>HYPERLINK("https://hsdes.intel.com/resource/14013156801","14013156801")</f>
        <v>14013156801</v>
      </c>
      <c r="B118" s="7" t="s">
        <v>392</v>
      </c>
      <c r="C118" s="7" t="s">
        <v>393</v>
      </c>
      <c r="D118" s="7" t="s">
        <v>3612</v>
      </c>
      <c r="E118" s="7" t="s">
        <v>3617</v>
      </c>
      <c r="F118" s="8" t="s">
        <v>3628</v>
      </c>
      <c r="H118" s="7" t="s">
        <v>3619</v>
      </c>
      <c r="I118" s="7" t="s">
        <v>3622</v>
      </c>
      <c r="L118" s="7" t="s">
        <v>8</v>
      </c>
      <c r="M118" s="7" t="s">
        <v>94</v>
      </c>
      <c r="N118" s="7" t="s">
        <v>25</v>
      </c>
      <c r="O118" s="7" t="s">
        <v>378</v>
      </c>
      <c r="P118" s="7" t="s">
        <v>394</v>
      </c>
      <c r="Q118" s="7" t="s">
        <v>395</v>
      </c>
      <c r="R118" t="s">
        <v>3632</v>
      </c>
    </row>
    <row r="119" spans="1:18" x14ac:dyDescent="0.3">
      <c r="A119" s="7" t="str">
        <f>HYPERLINK("https://hsdes.intel.com/resource/14013156802","14013156802")</f>
        <v>14013156802</v>
      </c>
      <c r="B119" s="7" t="s">
        <v>396</v>
      </c>
      <c r="C119" s="7" t="s">
        <v>29</v>
      </c>
      <c r="D119" s="7" t="s">
        <v>3612</v>
      </c>
      <c r="E119" s="7" t="s">
        <v>3617</v>
      </c>
      <c r="F119" s="8" t="s">
        <v>3628</v>
      </c>
      <c r="H119" s="7" t="s">
        <v>3620</v>
      </c>
      <c r="I119" s="7" t="s">
        <v>3643</v>
      </c>
      <c r="L119" s="7" t="s">
        <v>8</v>
      </c>
      <c r="M119" s="7" t="s">
        <v>94</v>
      </c>
      <c r="N119" s="7" t="s">
        <v>25</v>
      </c>
      <c r="O119" s="7" t="s">
        <v>370</v>
      </c>
      <c r="P119" s="7" t="s">
        <v>31</v>
      </c>
      <c r="Q119" s="7" t="s">
        <v>397</v>
      </c>
      <c r="R119" t="s">
        <v>3631</v>
      </c>
    </row>
    <row r="120" spans="1:18" x14ac:dyDescent="0.3">
      <c r="A120" s="7" t="str">
        <f>HYPERLINK("https://hsdes.intel.com/resource/14013156804","14013156804")</f>
        <v>14013156804</v>
      </c>
      <c r="B120" s="7" t="s">
        <v>398</v>
      </c>
      <c r="C120" s="7" t="s">
        <v>55</v>
      </c>
      <c r="D120" s="7" t="s">
        <v>3612</v>
      </c>
      <c r="E120" s="7" t="s">
        <v>3617</v>
      </c>
      <c r="F120" s="8" t="s">
        <v>3628</v>
      </c>
      <c r="H120" s="7" t="s">
        <v>3620</v>
      </c>
      <c r="I120" s="7" t="s">
        <v>3622</v>
      </c>
      <c r="L120" s="7" t="s">
        <v>30</v>
      </c>
      <c r="M120" s="7" t="s">
        <v>9</v>
      </c>
      <c r="N120" s="7" t="s">
        <v>25</v>
      </c>
      <c r="O120" s="7" t="s">
        <v>399</v>
      </c>
      <c r="P120" s="7" t="s">
        <v>399</v>
      </c>
      <c r="Q120" s="7" t="s">
        <v>400</v>
      </c>
      <c r="R120" t="s">
        <v>3632</v>
      </c>
    </row>
    <row r="121" spans="1:18" x14ac:dyDescent="0.3">
      <c r="A121" s="7" t="str">
        <f>HYPERLINK("https://hsdes.intel.com/resource/14013156805","14013156805")</f>
        <v>14013156805</v>
      </c>
      <c r="B121" s="7" t="s">
        <v>401</v>
      </c>
      <c r="C121" s="7" t="s">
        <v>29</v>
      </c>
      <c r="D121" s="7" t="s">
        <v>3612</v>
      </c>
      <c r="E121" s="7" t="s">
        <v>3617</v>
      </c>
      <c r="F121" s="8" t="s">
        <v>3628</v>
      </c>
      <c r="H121" s="7" t="s">
        <v>3620</v>
      </c>
      <c r="I121" s="7" t="s">
        <v>3643</v>
      </c>
      <c r="L121" s="7" t="s">
        <v>8</v>
      </c>
      <c r="M121" s="7" t="s">
        <v>94</v>
      </c>
      <c r="N121" s="7" t="s">
        <v>25</v>
      </c>
      <c r="O121" s="7" t="s">
        <v>370</v>
      </c>
      <c r="P121" s="7" t="s">
        <v>31</v>
      </c>
      <c r="Q121" s="7" t="s">
        <v>402</v>
      </c>
      <c r="R121" t="s">
        <v>3633</v>
      </c>
    </row>
    <row r="122" spans="1:18" x14ac:dyDescent="0.3">
      <c r="A122" s="7" t="str">
        <f>HYPERLINK("https://hsdes.intel.com/resource/14013156807","14013156807")</f>
        <v>14013156807</v>
      </c>
      <c r="B122" s="7" t="s">
        <v>403</v>
      </c>
      <c r="C122" s="7" t="s">
        <v>55</v>
      </c>
      <c r="D122" s="7" t="s">
        <v>3612</v>
      </c>
      <c r="E122" s="7" t="s">
        <v>3617</v>
      </c>
      <c r="F122" s="8" t="s">
        <v>3628</v>
      </c>
      <c r="H122" s="7" t="s">
        <v>3620</v>
      </c>
      <c r="I122" s="7" t="s">
        <v>3622</v>
      </c>
      <c r="L122" s="7" t="s">
        <v>30</v>
      </c>
      <c r="M122" s="7" t="s">
        <v>9</v>
      </c>
      <c r="N122" s="7" t="s">
        <v>25</v>
      </c>
      <c r="O122" s="7" t="s">
        <v>399</v>
      </c>
      <c r="P122" s="7" t="s">
        <v>399</v>
      </c>
      <c r="Q122" s="7" t="s">
        <v>404</v>
      </c>
      <c r="R122" t="s">
        <v>3632</v>
      </c>
    </row>
    <row r="123" spans="1:18" x14ac:dyDescent="0.3">
      <c r="A123" s="7" t="str">
        <f>HYPERLINK("https://hsdes.intel.com/resource/14013156809","14013156809")</f>
        <v>14013156809</v>
      </c>
      <c r="B123" s="7" t="s">
        <v>405</v>
      </c>
      <c r="C123" s="7" t="s">
        <v>55</v>
      </c>
      <c r="D123" s="7" t="s">
        <v>3612</v>
      </c>
      <c r="E123" s="7" t="s">
        <v>3617</v>
      </c>
      <c r="F123" s="8" t="s">
        <v>3628</v>
      </c>
      <c r="H123" s="16" t="s">
        <v>3620</v>
      </c>
      <c r="I123" s="7" t="s">
        <v>3622</v>
      </c>
      <c r="L123" s="7" t="s">
        <v>30</v>
      </c>
      <c r="M123" s="7" t="s">
        <v>9</v>
      </c>
      <c r="N123" s="7" t="s">
        <v>25</v>
      </c>
      <c r="O123" s="7" t="s">
        <v>26</v>
      </c>
      <c r="P123" s="7" t="s">
        <v>406</v>
      </c>
      <c r="Q123" s="7" t="s">
        <v>407</v>
      </c>
      <c r="R123" t="s">
        <v>3632</v>
      </c>
    </row>
    <row r="124" spans="1:18" x14ac:dyDescent="0.3">
      <c r="A124" s="7" t="str">
        <f>HYPERLINK("https://hsdes.intel.com/resource/14013156833","14013156833")</f>
        <v>14013156833</v>
      </c>
      <c r="B124" s="7" t="s">
        <v>408</v>
      </c>
      <c r="C124" s="7" t="s">
        <v>55</v>
      </c>
      <c r="D124" s="7" t="s">
        <v>3612</v>
      </c>
      <c r="E124" s="7" t="s">
        <v>3617</v>
      </c>
      <c r="F124" s="8" t="s">
        <v>3628</v>
      </c>
      <c r="H124" s="7" t="s">
        <v>3620</v>
      </c>
      <c r="I124" s="7" t="s">
        <v>3622</v>
      </c>
      <c r="L124" s="7" t="s">
        <v>30</v>
      </c>
      <c r="M124" s="7" t="s">
        <v>9</v>
      </c>
      <c r="N124" s="7" t="s">
        <v>25</v>
      </c>
      <c r="O124" s="7" t="s">
        <v>286</v>
      </c>
      <c r="P124" s="7" t="s">
        <v>286</v>
      </c>
      <c r="Q124" s="7" t="s">
        <v>409</v>
      </c>
      <c r="R124" t="s">
        <v>3632</v>
      </c>
    </row>
    <row r="125" spans="1:18" x14ac:dyDescent="0.3">
      <c r="A125" s="7" t="str">
        <f>HYPERLINK("https://hsdes.intel.com/resource/14013156839","14013156839")</f>
        <v>14013156839</v>
      </c>
      <c r="B125" s="7" t="s">
        <v>410</v>
      </c>
      <c r="C125" s="7" t="s">
        <v>55</v>
      </c>
      <c r="D125" s="7" t="s">
        <v>3612</v>
      </c>
      <c r="E125" s="7" t="s">
        <v>3617</v>
      </c>
      <c r="F125" s="8" t="s">
        <v>3628</v>
      </c>
      <c r="H125" s="7" t="s">
        <v>3620</v>
      </c>
      <c r="I125" s="7" t="s">
        <v>3622</v>
      </c>
      <c r="L125" s="7" t="s">
        <v>30</v>
      </c>
      <c r="M125" s="7" t="s">
        <v>9</v>
      </c>
      <c r="N125" s="7" t="s">
        <v>25</v>
      </c>
      <c r="O125" s="7" t="s">
        <v>411</v>
      </c>
      <c r="P125" s="7" t="s">
        <v>411</v>
      </c>
      <c r="Q125" s="7" t="s">
        <v>412</v>
      </c>
      <c r="R125" t="s">
        <v>3632</v>
      </c>
    </row>
    <row r="126" spans="1:18" x14ac:dyDescent="0.3">
      <c r="A126" s="7" t="str">
        <f>HYPERLINK("https://hsdes.intel.com/resource/14013156842","14013156842")</f>
        <v>14013156842</v>
      </c>
      <c r="B126" s="7" t="s">
        <v>413</v>
      </c>
      <c r="C126" s="7" t="s">
        <v>55</v>
      </c>
      <c r="D126" s="7" t="s">
        <v>3612</v>
      </c>
      <c r="E126" s="7" t="s">
        <v>3617</v>
      </c>
      <c r="F126" s="8" t="s">
        <v>3628</v>
      </c>
      <c r="H126" s="7" t="s">
        <v>3620</v>
      </c>
      <c r="I126" s="7" t="s">
        <v>3622</v>
      </c>
      <c r="L126" s="7" t="s">
        <v>30</v>
      </c>
      <c r="M126" s="7" t="s">
        <v>9</v>
      </c>
      <c r="N126" s="7" t="s">
        <v>25</v>
      </c>
      <c r="O126" s="7" t="s">
        <v>414</v>
      </c>
      <c r="P126" s="7" t="s">
        <v>414</v>
      </c>
      <c r="Q126" s="7" t="s">
        <v>415</v>
      </c>
      <c r="R126" t="s">
        <v>3632</v>
      </c>
    </row>
    <row r="127" spans="1:18" x14ac:dyDescent="0.3">
      <c r="A127" s="7" t="str">
        <f>HYPERLINK("https://hsdes.intel.com/resource/14013156843","14013156843")</f>
        <v>14013156843</v>
      </c>
      <c r="B127" s="7" t="s">
        <v>416</v>
      </c>
      <c r="C127" s="7" t="s">
        <v>23</v>
      </c>
      <c r="D127" s="7" t="s">
        <v>3612</v>
      </c>
      <c r="E127" s="7" t="s">
        <v>3617</v>
      </c>
      <c r="F127" s="8" t="s">
        <v>3628</v>
      </c>
      <c r="H127" s="7" t="s">
        <v>3619</v>
      </c>
      <c r="I127" s="7" t="s">
        <v>3524</v>
      </c>
      <c r="L127" s="7" t="s">
        <v>24</v>
      </c>
      <c r="M127" s="7" t="s">
        <v>9</v>
      </c>
      <c r="N127" s="7" t="s">
        <v>25</v>
      </c>
      <c r="O127" s="7" t="s">
        <v>26</v>
      </c>
      <c r="P127" s="7" t="s">
        <v>26</v>
      </c>
      <c r="Q127" s="7" t="s">
        <v>417</v>
      </c>
      <c r="R127" t="s">
        <v>3632</v>
      </c>
    </row>
    <row r="128" spans="1:18" x14ac:dyDescent="0.3">
      <c r="A128" s="7" t="str">
        <f>HYPERLINK("https://hsdes.intel.com/resource/14013156844","14013156844")</f>
        <v>14013156844</v>
      </c>
      <c r="B128" s="7" t="s">
        <v>418</v>
      </c>
      <c r="C128" s="7" t="s">
        <v>23</v>
      </c>
      <c r="D128" s="7" t="s">
        <v>3612</v>
      </c>
      <c r="E128" s="7" t="s">
        <v>3617</v>
      </c>
      <c r="F128" s="8" t="s">
        <v>3628</v>
      </c>
      <c r="H128" s="7" t="s">
        <v>3619</v>
      </c>
      <c r="I128" s="7" t="s">
        <v>3524</v>
      </c>
      <c r="L128" s="7" t="s">
        <v>24</v>
      </c>
      <c r="M128" s="7" t="s">
        <v>9</v>
      </c>
      <c r="N128" s="7" t="s">
        <v>25</v>
      </c>
      <c r="O128" s="7" t="s">
        <v>48</v>
      </c>
      <c r="P128" s="7" t="s">
        <v>48</v>
      </c>
      <c r="Q128" s="7" t="s">
        <v>419</v>
      </c>
      <c r="R128" t="s">
        <v>3632</v>
      </c>
    </row>
    <row r="129" spans="1:18" x14ac:dyDescent="0.3">
      <c r="A129" s="7" t="str">
        <f>HYPERLINK("https://hsdes.intel.com/resource/14013156845","14013156845")</f>
        <v>14013156845</v>
      </c>
      <c r="B129" s="7" t="s">
        <v>420</v>
      </c>
      <c r="C129" s="7" t="s">
        <v>23</v>
      </c>
      <c r="D129" s="7" t="s">
        <v>3612</v>
      </c>
      <c r="E129" s="7" t="s">
        <v>3617</v>
      </c>
      <c r="F129" s="8" t="s">
        <v>3628</v>
      </c>
      <c r="H129" s="16" t="s">
        <v>3619</v>
      </c>
      <c r="I129" s="16" t="s">
        <v>3524</v>
      </c>
      <c r="L129" s="7" t="s">
        <v>24</v>
      </c>
      <c r="M129" s="7" t="s">
        <v>9</v>
      </c>
      <c r="N129" s="7" t="s">
        <v>25</v>
      </c>
      <c r="O129" s="7" t="s">
        <v>26</v>
      </c>
      <c r="P129" s="7" t="s">
        <v>26</v>
      </c>
      <c r="Q129" s="7" t="s">
        <v>421</v>
      </c>
      <c r="R129" t="s">
        <v>3632</v>
      </c>
    </row>
    <row r="130" spans="1:18" x14ac:dyDescent="0.3">
      <c r="A130" s="7" t="str">
        <f>HYPERLINK("https://hsdes.intel.com/resource/14013156846","14013156846")</f>
        <v>14013156846</v>
      </c>
      <c r="B130" s="7" t="s">
        <v>422</v>
      </c>
      <c r="C130" s="7" t="s">
        <v>55</v>
      </c>
      <c r="D130" s="7" t="s">
        <v>3612</v>
      </c>
      <c r="E130" s="7" t="s">
        <v>3617</v>
      </c>
      <c r="F130" s="8" t="s">
        <v>3628</v>
      </c>
      <c r="H130" s="7" t="s">
        <v>3620</v>
      </c>
      <c r="I130" s="7" t="s">
        <v>3622</v>
      </c>
      <c r="L130" s="7" t="s">
        <v>30</v>
      </c>
      <c r="M130" s="7" t="s">
        <v>9</v>
      </c>
      <c r="N130" s="7" t="s">
        <v>25</v>
      </c>
      <c r="O130" s="7" t="s">
        <v>423</v>
      </c>
      <c r="P130" s="7" t="s">
        <v>423</v>
      </c>
      <c r="Q130" s="7" t="s">
        <v>424</v>
      </c>
      <c r="R130" t="s">
        <v>3633</v>
      </c>
    </row>
    <row r="131" spans="1:18" x14ac:dyDescent="0.3">
      <c r="A131" s="7" t="str">
        <f>HYPERLINK("https://hsdes.intel.com/resource/14013156847","14013156847")</f>
        <v>14013156847</v>
      </c>
      <c r="B131" s="7" t="s">
        <v>425</v>
      </c>
      <c r="C131" s="7" t="s">
        <v>55</v>
      </c>
      <c r="D131" s="7" t="s">
        <v>3612</v>
      </c>
      <c r="E131" s="7" t="s">
        <v>3617</v>
      </c>
      <c r="F131" s="8" t="s">
        <v>3628</v>
      </c>
      <c r="H131" s="7" t="s">
        <v>3620</v>
      </c>
      <c r="I131" s="7" t="s">
        <v>3622</v>
      </c>
      <c r="L131" s="7" t="s">
        <v>30</v>
      </c>
      <c r="M131" s="7" t="s">
        <v>9</v>
      </c>
      <c r="N131" s="7" t="s">
        <v>25</v>
      </c>
      <c r="O131" s="7" t="s">
        <v>423</v>
      </c>
      <c r="P131" s="7" t="s">
        <v>423</v>
      </c>
      <c r="Q131" s="7" t="s">
        <v>426</v>
      </c>
      <c r="R131" t="s">
        <v>3632</v>
      </c>
    </row>
    <row r="132" spans="1:18" x14ac:dyDescent="0.3">
      <c r="A132" s="7" t="str">
        <f>HYPERLINK("https://hsdes.intel.com/resource/14013156848","14013156848")</f>
        <v>14013156848</v>
      </c>
      <c r="B132" s="7" t="s">
        <v>427</v>
      </c>
      <c r="C132" s="7" t="s">
        <v>55</v>
      </c>
      <c r="D132" s="7" t="s">
        <v>3612</v>
      </c>
      <c r="E132" s="7" t="s">
        <v>3617</v>
      </c>
      <c r="F132" s="8" t="s">
        <v>3628</v>
      </c>
      <c r="H132" s="7" t="s">
        <v>3620</v>
      </c>
      <c r="I132" s="7" t="s">
        <v>3622</v>
      </c>
      <c r="L132" s="7" t="s">
        <v>30</v>
      </c>
      <c r="M132" s="7" t="s">
        <v>9</v>
      </c>
      <c r="N132" s="7" t="s">
        <v>25</v>
      </c>
      <c r="O132" s="7" t="s">
        <v>26</v>
      </c>
      <c r="P132" s="7" t="s">
        <v>423</v>
      </c>
      <c r="Q132" s="7" t="s">
        <v>428</v>
      </c>
      <c r="R132" t="s">
        <v>3632</v>
      </c>
    </row>
    <row r="133" spans="1:18" x14ac:dyDescent="0.3">
      <c r="A133" s="7" t="str">
        <f>HYPERLINK("https://hsdes.intel.com/resource/14013156854","14013156854")</f>
        <v>14013156854</v>
      </c>
      <c r="B133" s="7" t="s">
        <v>429</v>
      </c>
      <c r="C133" s="7" t="s">
        <v>55</v>
      </c>
      <c r="D133" s="7" t="s">
        <v>3613</v>
      </c>
      <c r="E133" s="7" t="s">
        <v>3617</v>
      </c>
      <c r="F133" s="8" t="s">
        <v>3628</v>
      </c>
      <c r="H133" s="7" t="s">
        <v>3620</v>
      </c>
      <c r="I133" s="7" t="s">
        <v>3622</v>
      </c>
      <c r="L133" s="7" t="s">
        <v>30</v>
      </c>
      <c r="M133" s="7" t="s">
        <v>9</v>
      </c>
      <c r="N133" s="7" t="s">
        <v>25</v>
      </c>
      <c r="O133" s="7" t="s">
        <v>286</v>
      </c>
      <c r="P133" s="7" t="s">
        <v>286</v>
      </c>
      <c r="Q133" s="7" t="s">
        <v>430</v>
      </c>
      <c r="R133" t="s">
        <v>3632</v>
      </c>
    </row>
    <row r="134" spans="1:18" x14ac:dyDescent="0.3">
      <c r="A134" s="7" t="str">
        <f>HYPERLINK("https://hsdes.intel.com/resource/14013156857","14013156857")</f>
        <v>14013156857</v>
      </c>
      <c r="B134" s="7" t="s">
        <v>431</v>
      </c>
      <c r="C134" s="7" t="s">
        <v>23</v>
      </c>
      <c r="D134" s="7" t="s">
        <v>3612</v>
      </c>
      <c r="E134" s="7" t="s">
        <v>3617</v>
      </c>
      <c r="F134" s="8" t="s">
        <v>3628</v>
      </c>
      <c r="H134" s="7" t="s">
        <v>3620</v>
      </c>
      <c r="I134" s="7" t="s">
        <v>3624</v>
      </c>
      <c r="L134" s="7" t="s">
        <v>24</v>
      </c>
      <c r="M134" s="7" t="s">
        <v>9</v>
      </c>
      <c r="N134" s="7" t="s">
        <v>25</v>
      </c>
      <c r="O134" s="7" t="s">
        <v>48</v>
      </c>
      <c r="P134" s="7" t="s">
        <v>48</v>
      </c>
      <c r="Q134" s="7" t="s">
        <v>432</v>
      </c>
      <c r="R134" t="s">
        <v>3632</v>
      </c>
    </row>
    <row r="135" spans="1:18" x14ac:dyDescent="0.3">
      <c r="A135" s="7" t="str">
        <f>HYPERLINK("https://hsdes.intel.com/resource/14013156858","14013156858")</f>
        <v>14013156858</v>
      </c>
      <c r="B135" s="7" t="s">
        <v>433</v>
      </c>
      <c r="C135" s="7" t="s">
        <v>23</v>
      </c>
      <c r="D135" s="7" t="s">
        <v>3612</v>
      </c>
      <c r="E135" s="7" t="s">
        <v>3617</v>
      </c>
      <c r="F135" s="8" t="s">
        <v>3628</v>
      </c>
      <c r="H135" s="7" t="s">
        <v>3620</v>
      </c>
      <c r="I135" s="7" t="s">
        <v>3624</v>
      </c>
      <c r="J135" s="7" t="s">
        <v>3652</v>
      </c>
      <c r="L135" s="7" t="s">
        <v>24</v>
      </c>
      <c r="M135" s="7" t="s">
        <v>9</v>
      </c>
      <c r="N135" s="7" t="s">
        <v>25</v>
      </c>
      <c r="O135" s="7" t="s">
        <v>434</v>
      </c>
      <c r="P135" s="7" t="s">
        <v>26</v>
      </c>
      <c r="Q135" s="7" t="s">
        <v>435</v>
      </c>
      <c r="R135" t="s">
        <v>3633</v>
      </c>
    </row>
    <row r="136" spans="1:18" x14ac:dyDescent="0.3">
      <c r="A136" s="7" t="str">
        <f>HYPERLINK("https://hsdes.intel.com/resource/14013156860","14013156860")</f>
        <v>14013156860</v>
      </c>
      <c r="B136" s="7" t="s">
        <v>436</v>
      </c>
      <c r="C136" s="7" t="s">
        <v>55</v>
      </c>
      <c r="D136" s="7" t="s">
        <v>3612</v>
      </c>
      <c r="E136" s="7" t="s">
        <v>3617</v>
      </c>
      <c r="F136" s="8" t="s">
        <v>3628</v>
      </c>
      <c r="H136" s="7" t="s">
        <v>3620</v>
      </c>
      <c r="I136" s="7" t="s">
        <v>3622</v>
      </c>
      <c r="L136" s="7" t="s">
        <v>30</v>
      </c>
      <c r="M136" s="7" t="s">
        <v>9</v>
      </c>
      <c r="N136" s="7" t="s">
        <v>25</v>
      </c>
      <c r="O136" s="7" t="s">
        <v>399</v>
      </c>
      <c r="P136" s="7" t="s">
        <v>399</v>
      </c>
      <c r="Q136" s="7" t="s">
        <v>437</v>
      </c>
      <c r="R136" t="s">
        <v>3632</v>
      </c>
    </row>
    <row r="137" spans="1:18" x14ac:dyDescent="0.3">
      <c r="A137" s="7" t="str">
        <f>HYPERLINK("https://hsdes.intel.com/resource/14013156862","14013156862")</f>
        <v>14013156862</v>
      </c>
      <c r="B137" s="7" t="s">
        <v>438</v>
      </c>
      <c r="C137" s="7" t="s">
        <v>55</v>
      </c>
      <c r="D137" s="7" t="s">
        <v>3612</v>
      </c>
      <c r="E137" s="7" t="s">
        <v>3617</v>
      </c>
      <c r="F137" s="8" t="s">
        <v>3628</v>
      </c>
      <c r="H137" s="7" t="s">
        <v>3620</v>
      </c>
      <c r="I137" s="7" t="s">
        <v>3622</v>
      </c>
      <c r="L137" s="7" t="s">
        <v>30</v>
      </c>
      <c r="M137" s="7" t="s">
        <v>9</v>
      </c>
      <c r="N137" s="7" t="s">
        <v>25</v>
      </c>
      <c r="O137" s="7" t="s">
        <v>399</v>
      </c>
      <c r="P137" s="7" t="s">
        <v>399</v>
      </c>
      <c r="Q137" s="7" t="s">
        <v>439</v>
      </c>
      <c r="R137" t="s">
        <v>3632</v>
      </c>
    </row>
    <row r="138" spans="1:18" x14ac:dyDescent="0.3">
      <c r="A138" s="7" t="str">
        <f>HYPERLINK("https://hsdes.intel.com/resource/14013156866","14013156866")</f>
        <v>14013156866</v>
      </c>
      <c r="B138" s="7" t="s">
        <v>440</v>
      </c>
      <c r="C138" s="7" t="s">
        <v>55</v>
      </c>
      <c r="D138" s="7" t="s">
        <v>3612</v>
      </c>
      <c r="E138" s="7" t="s">
        <v>3617</v>
      </c>
      <c r="F138" s="8" t="s">
        <v>3628</v>
      </c>
      <c r="H138" s="7" t="s">
        <v>3620</v>
      </c>
      <c r="I138" s="7" t="s">
        <v>3622</v>
      </c>
      <c r="L138" s="7" t="s">
        <v>30</v>
      </c>
      <c r="M138" s="7" t="s">
        <v>9</v>
      </c>
      <c r="N138" s="7" t="s">
        <v>25</v>
      </c>
      <c r="O138" s="7" t="s">
        <v>441</v>
      </c>
      <c r="P138" s="7" t="s">
        <v>442</v>
      </c>
      <c r="Q138" s="7" t="s">
        <v>443</v>
      </c>
      <c r="R138" t="s">
        <v>3632</v>
      </c>
    </row>
    <row r="139" spans="1:18" x14ac:dyDescent="0.3">
      <c r="A139" s="7" t="str">
        <f>HYPERLINK("https://hsdes.intel.com/resource/14013156868","14013156868")</f>
        <v>14013156868</v>
      </c>
      <c r="B139" s="7" t="s">
        <v>444</v>
      </c>
      <c r="C139" s="7" t="s">
        <v>55</v>
      </c>
      <c r="D139" s="7" t="s">
        <v>3612</v>
      </c>
      <c r="E139" s="7" t="s">
        <v>3617</v>
      </c>
      <c r="F139" s="8" t="s">
        <v>3628</v>
      </c>
      <c r="H139" s="7" t="s">
        <v>3620</v>
      </c>
      <c r="I139" s="7" t="s">
        <v>3622</v>
      </c>
      <c r="L139" s="7" t="s">
        <v>30</v>
      </c>
      <c r="M139" s="7" t="s">
        <v>9</v>
      </c>
      <c r="N139" s="7" t="s">
        <v>25</v>
      </c>
      <c r="O139" s="7" t="s">
        <v>445</v>
      </c>
      <c r="P139" s="7" t="s">
        <v>423</v>
      </c>
      <c r="Q139" s="7" t="s">
        <v>446</v>
      </c>
      <c r="R139" t="s">
        <v>3632</v>
      </c>
    </row>
    <row r="140" spans="1:18" x14ac:dyDescent="0.3">
      <c r="A140" s="9" t="str">
        <f>HYPERLINK("https://hsdes.intel.com/resource/14013156870","14013156870")</f>
        <v>14013156870</v>
      </c>
      <c r="B140" s="7" t="s">
        <v>447</v>
      </c>
      <c r="C140" s="7" t="s">
        <v>55</v>
      </c>
      <c r="D140" s="7" t="s">
        <v>3612</v>
      </c>
      <c r="E140" s="7" t="s">
        <v>3617</v>
      </c>
      <c r="F140" s="8" t="s">
        <v>3628</v>
      </c>
      <c r="H140" s="16" t="s">
        <v>3620</v>
      </c>
      <c r="I140" s="7" t="s">
        <v>3622</v>
      </c>
      <c r="L140" s="7" t="s">
        <v>30</v>
      </c>
      <c r="M140" s="7" t="s">
        <v>9</v>
      </c>
      <c r="N140" s="7" t="s">
        <v>25</v>
      </c>
      <c r="O140" s="7" t="s">
        <v>399</v>
      </c>
      <c r="P140" s="7" t="s">
        <v>399</v>
      </c>
      <c r="Q140" s="7" t="s">
        <v>448</v>
      </c>
      <c r="R140" t="s">
        <v>3632</v>
      </c>
    </row>
    <row r="141" spans="1:18" x14ac:dyDescent="0.3">
      <c r="A141" s="7" t="str">
        <f>HYPERLINK("https://hsdes.intel.com/resource/14013156872","14013156872")</f>
        <v>14013156872</v>
      </c>
      <c r="B141" s="7" t="s">
        <v>449</v>
      </c>
      <c r="C141" s="7" t="s">
        <v>55</v>
      </c>
      <c r="D141" s="7" t="s">
        <v>3612</v>
      </c>
      <c r="E141" s="7" t="s">
        <v>3617</v>
      </c>
      <c r="F141" s="8" t="s">
        <v>3628</v>
      </c>
      <c r="H141" s="7" t="s">
        <v>3619</v>
      </c>
      <c r="I141" s="7" t="s">
        <v>3622</v>
      </c>
      <c r="L141" s="7" t="s">
        <v>30</v>
      </c>
      <c r="M141" s="7" t="s">
        <v>9</v>
      </c>
      <c r="N141" s="7" t="s">
        <v>25</v>
      </c>
      <c r="O141" s="7" t="s">
        <v>399</v>
      </c>
      <c r="P141" s="7" t="s">
        <v>399</v>
      </c>
      <c r="Q141" s="7" t="s">
        <v>450</v>
      </c>
      <c r="R141" t="s">
        <v>3632</v>
      </c>
    </row>
    <row r="142" spans="1:18" x14ac:dyDescent="0.3">
      <c r="A142" s="7" t="str">
        <f>HYPERLINK("https://hsdes.intel.com/resource/14013156874","14013156874")</f>
        <v>14013156874</v>
      </c>
      <c r="B142" s="7" t="s">
        <v>451</v>
      </c>
      <c r="C142" s="7" t="s">
        <v>55</v>
      </c>
      <c r="D142" s="7" t="s">
        <v>3612</v>
      </c>
      <c r="E142" s="7" t="s">
        <v>3617</v>
      </c>
      <c r="F142" s="8" t="s">
        <v>3628</v>
      </c>
      <c r="H142" s="7" t="s">
        <v>3619</v>
      </c>
      <c r="I142" s="7" t="s">
        <v>3622</v>
      </c>
      <c r="L142" s="7" t="s">
        <v>30</v>
      </c>
      <c r="M142" s="7" t="s">
        <v>9</v>
      </c>
      <c r="N142" s="7" t="s">
        <v>25</v>
      </c>
      <c r="O142" s="7" t="s">
        <v>423</v>
      </c>
      <c r="P142" s="7" t="s">
        <v>423</v>
      </c>
      <c r="Q142" s="7" t="s">
        <v>452</v>
      </c>
      <c r="R142" t="s">
        <v>3632</v>
      </c>
    </row>
    <row r="143" spans="1:18" x14ac:dyDescent="0.3">
      <c r="A143" s="7" t="str">
        <f>HYPERLINK("https://hsdes.intel.com/resource/14013156877","14013156877")</f>
        <v>14013156877</v>
      </c>
      <c r="B143" s="7" t="s">
        <v>453</v>
      </c>
      <c r="C143" s="7" t="s">
        <v>55</v>
      </c>
      <c r="D143" s="7" t="s">
        <v>3612</v>
      </c>
      <c r="E143" s="7" t="s">
        <v>3617</v>
      </c>
      <c r="F143" s="8" t="s">
        <v>3628</v>
      </c>
      <c r="H143" s="7" t="s">
        <v>3619</v>
      </c>
      <c r="I143" s="7" t="s">
        <v>3622</v>
      </c>
      <c r="L143" s="7" t="s">
        <v>30</v>
      </c>
      <c r="M143" s="7" t="s">
        <v>9</v>
      </c>
      <c r="N143" s="7" t="s">
        <v>25</v>
      </c>
      <c r="O143" s="7" t="s">
        <v>423</v>
      </c>
      <c r="P143" s="7" t="s">
        <v>454</v>
      </c>
      <c r="Q143" s="7" t="s">
        <v>455</v>
      </c>
      <c r="R143" t="s">
        <v>3632</v>
      </c>
    </row>
    <row r="144" spans="1:18" x14ac:dyDescent="0.3">
      <c r="A144" s="7" t="str">
        <f>HYPERLINK("https://hsdes.intel.com/resource/14013156879","14013156879")</f>
        <v>14013156879</v>
      </c>
      <c r="B144" s="7" t="s">
        <v>456</v>
      </c>
      <c r="C144" s="7" t="s">
        <v>55</v>
      </c>
      <c r="D144" s="7" t="s">
        <v>3612</v>
      </c>
      <c r="E144" s="7" t="s">
        <v>3617</v>
      </c>
      <c r="F144" s="8" t="s">
        <v>3628</v>
      </c>
      <c r="H144" s="7" t="s">
        <v>3619</v>
      </c>
      <c r="I144" s="7" t="s">
        <v>3622</v>
      </c>
      <c r="L144" s="7" t="s">
        <v>30</v>
      </c>
      <c r="M144" s="7" t="s">
        <v>9</v>
      </c>
      <c r="N144" s="7" t="s">
        <v>25</v>
      </c>
      <c r="O144" s="7" t="s">
        <v>411</v>
      </c>
      <c r="P144" s="7" t="s">
        <v>411</v>
      </c>
      <c r="Q144" s="7" t="s">
        <v>457</v>
      </c>
      <c r="R144" t="s">
        <v>3632</v>
      </c>
    </row>
    <row r="145" spans="1:18" x14ac:dyDescent="0.3">
      <c r="A145" s="7" t="str">
        <f>HYPERLINK("https://hsdes.intel.com/resource/14013156880","14013156880")</f>
        <v>14013156880</v>
      </c>
      <c r="B145" s="7" t="s">
        <v>458</v>
      </c>
      <c r="C145" s="7" t="s">
        <v>29</v>
      </c>
      <c r="D145" s="7" t="s">
        <v>3612</v>
      </c>
      <c r="E145" s="7" t="s">
        <v>3617</v>
      </c>
      <c r="F145" s="8" t="s">
        <v>3628</v>
      </c>
      <c r="H145" s="7" t="s">
        <v>3619</v>
      </c>
      <c r="I145" s="7" t="s">
        <v>3622</v>
      </c>
      <c r="L145" s="7" t="s">
        <v>30</v>
      </c>
      <c r="M145" s="7" t="s">
        <v>9</v>
      </c>
      <c r="N145" s="7" t="s">
        <v>25</v>
      </c>
      <c r="O145" s="7" t="s">
        <v>459</v>
      </c>
      <c r="P145" s="7" t="s">
        <v>459</v>
      </c>
      <c r="Q145" s="7" t="s">
        <v>460</v>
      </c>
      <c r="R145" t="s">
        <v>3632</v>
      </c>
    </row>
    <row r="146" spans="1:18" x14ac:dyDescent="0.3">
      <c r="A146" s="7" t="str">
        <f>HYPERLINK("https://hsdes.intel.com/resource/14013156883","14013156883")</f>
        <v>14013156883</v>
      </c>
      <c r="B146" s="7" t="s">
        <v>461</v>
      </c>
      <c r="C146" s="7" t="s">
        <v>29</v>
      </c>
      <c r="D146" s="7" t="s">
        <v>3612</v>
      </c>
      <c r="E146" s="7" t="s">
        <v>3617</v>
      </c>
      <c r="F146" s="8" t="s">
        <v>3628</v>
      </c>
      <c r="H146" s="7" t="s">
        <v>3619</v>
      </c>
      <c r="I146" s="7" t="s">
        <v>3524</v>
      </c>
      <c r="L146" s="7" t="s">
        <v>8</v>
      </c>
      <c r="M146" s="7" t="s">
        <v>94</v>
      </c>
      <c r="N146" s="7" t="s">
        <v>25</v>
      </c>
      <c r="O146" s="7" t="s">
        <v>378</v>
      </c>
      <c r="P146" s="7" t="s">
        <v>462</v>
      </c>
      <c r="Q146" s="7" t="s">
        <v>463</v>
      </c>
      <c r="R146" t="s">
        <v>3633</v>
      </c>
    </row>
    <row r="147" spans="1:18" x14ac:dyDescent="0.3">
      <c r="A147" s="7" t="str">
        <f>HYPERLINK("https://hsdes.intel.com/resource/14013156893","14013156893")</f>
        <v>14013156893</v>
      </c>
      <c r="B147" s="7" t="s">
        <v>464</v>
      </c>
      <c r="C147" s="7" t="s">
        <v>29</v>
      </c>
      <c r="D147" s="7" t="s">
        <v>3612</v>
      </c>
      <c r="E147" s="7" t="s">
        <v>3617</v>
      </c>
      <c r="F147" s="8" t="s">
        <v>3628</v>
      </c>
      <c r="H147" s="7" t="s">
        <v>3619</v>
      </c>
      <c r="I147" s="7" t="s">
        <v>3622</v>
      </c>
      <c r="L147" s="7" t="s">
        <v>30</v>
      </c>
      <c r="M147" s="7" t="s">
        <v>9</v>
      </c>
      <c r="N147" s="7" t="s">
        <v>25</v>
      </c>
      <c r="O147" s="7" t="s">
        <v>31</v>
      </c>
      <c r="P147" s="7" t="s">
        <v>31</v>
      </c>
      <c r="Q147" s="7" t="s">
        <v>465</v>
      </c>
      <c r="R147" t="s">
        <v>3632</v>
      </c>
    </row>
    <row r="148" spans="1:18" x14ac:dyDescent="0.3">
      <c r="A148" s="7" t="str">
        <f>HYPERLINK("https://hsdes.intel.com/resource/14013156896","14013156896")</f>
        <v>14013156896</v>
      </c>
      <c r="B148" s="7" t="s">
        <v>466</v>
      </c>
      <c r="C148" s="7" t="s">
        <v>55</v>
      </c>
      <c r="D148" s="7" t="s">
        <v>3612</v>
      </c>
      <c r="E148" s="7" t="s">
        <v>3617</v>
      </c>
      <c r="F148" s="8" t="s">
        <v>3628</v>
      </c>
      <c r="H148" s="7" t="s">
        <v>3620</v>
      </c>
      <c r="I148" s="7" t="s">
        <v>3622</v>
      </c>
      <c r="L148" s="7" t="s">
        <v>30</v>
      </c>
      <c r="M148" s="7" t="s">
        <v>9</v>
      </c>
      <c r="N148" s="7" t="s">
        <v>25</v>
      </c>
      <c r="O148" s="7" t="s">
        <v>411</v>
      </c>
      <c r="P148" s="7" t="s">
        <v>411</v>
      </c>
      <c r="Q148" s="7" t="s">
        <v>467</v>
      </c>
      <c r="R148" t="s">
        <v>3632</v>
      </c>
    </row>
    <row r="149" spans="1:18" x14ac:dyDescent="0.3">
      <c r="A149" s="7" t="str">
        <f>HYPERLINK("https://hsdes.intel.com/resource/14013156898","14013156898")</f>
        <v>14013156898</v>
      </c>
      <c r="B149" s="7" t="s">
        <v>468</v>
      </c>
      <c r="C149" s="7" t="s">
        <v>55</v>
      </c>
      <c r="D149" s="7" t="s">
        <v>3612</v>
      </c>
      <c r="E149" s="7" t="s">
        <v>3617</v>
      </c>
      <c r="F149" s="8" t="s">
        <v>3628</v>
      </c>
      <c r="H149" s="7" t="s">
        <v>3619</v>
      </c>
      <c r="I149" s="7" t="s">
        <v>3622</v>
      </c>
      <c r="L149" s="7" t="s">
        <v>30</v>
      </c>
      <c r="M149" s="7" t="s">
        <v>9</v>
      </c>
      <c r="N149" s="7" t="s">
        <v>25</v>
      </c>
      <c r="O149" s="7" t="s">
        <v>411</v>
      </c>
      <c r="P149" s="7" t="s">
        <v>411</v>
      </c>
      <c r="Q149" s="7" t="s">
        <v>469</v>
      </c>
      <c r="R149" t="s">
        <v>3632</v>
      </c>
    </row>
    <row r="150" spans="1:18" x14ac:dyDescent="0.3">
      <c r="A150" s="7" t="str">
        <f>HYPERLINK("https://hsdes.intel.com/resource/14013156900","14013156900")</f>
        <v>14013156900</v>
      </c>
      <c r="B150" s="7" t="s">
        <v>470</v>
      </c>
      <c r="C150" s="7" t="s">
        <v>55</v>
      </c>
      <c r="D150" s="7" t="s">
        <v>3612</v>
      </c>
      <c r="E150" s="7" t="s">
        <v>3617</v>
      </c>
      <c r="F150" s="8" t="s">
        <v>3628</v>
      </c>
      <c r="H150" s="7" t="s">
        <v>3620</v>
      </c>
      <c r="I150" s="7" t="s">
        <v>3622</v>
      </c>
      <c r="L150" s="7" t="s">
        <v>30</v>
      </c>
      <c r="M150" s="7" t="s">
        <v>9</v>
      </c>
      <c r="N150" s="7" t="s">
        <v>25</v>
      </c>
      <c r="O150" s="7" t="s">
        <v>423</v>
      </c>
      <c r="P150" s="7" t="s">
        <v>423</v>
      </c>
      <c r="Q150" s="7" t="s">
        <v>471</v>
      </c>
      <c r="R150" t="s">
        <v>3632</v>
      </c>
    </row>
    <row r="151" spans="1:18" x14ac:dyDescent="0.3">
      <c r="A151" s="7" t="str">
        <f>HYPERLINK("https://hsdes.intel.com/resource/14013156903","14013156903")</f>
        <v>14013156903</v>
      </c>
      <c r="B151" s="7" t="s">
        <v>472</v>
      </c>
      <c r="C151" s="7" t="s">
        <v>55</v>
      </c>
      <c r="D151" s="7" t="s">
        <v>3612</v>
      </c>
      <c r="E151" s="7" t="s">
        <v>3617</v>
      </c>
      <c r="F151" s="8" t="s">
        <v>3628</v>
      </c>
      <c r="H151" s="7" t="s">
        <v>3619</v>
      </c>
      <c r="I151" s="7" t="s">
        <v>3622</v>
      </c>
      <c r="L151" s="7" t="s">
        <v>30</v>
      </c>
      <c r="M151" s="7" t="s">
        <v>9</v>
      </c>
      <c r="N151" s="7" t="s">
        <v>25</v>
      </c>
      <c r="O151" s="7" t="s">
        <v>473</v>
      </c>
      <c r="P151" s="7" t="s">
        <v>473</v>
      </c>
      <c r="Q151" s="7" t="s">
        <v>474</v>
      </c>
      <c r="R151" t="s">
        <v>3632</v>
      </c>
    </row>
    <row r="152" spans="1:18" x14ac:dyDescent="0.3">
      <c r="A152" s="7" t="str">
        <f>HYPERLINK("https://hsdes.intel.com/resource/14013156911","14013156911")</f>
        <v>14013156911</v>
      </c>
      <c r="B152" s="7" t="s">
        <v>475</v>
      </c>
      <c r="C152" s="7" t="s">
        <v>55</v>
      </c>
      <c r="D152" s="7" t="s">
        <v>3612</v>
      </c>
      <c r="E152" s="7" t="s">
        <v>3617</v>
      </c>
      <c r="F152" s="8" t="s">
        <v>3628</v>
      </c>
      <c r="H152" s="7" t="s">
        <v>3619</v>
      </c>
      <c r="I152" s="7" t="s">
        <v>3622</v>
      </c>
      <c r="J152" s="6" t="s">
        <v>3563</v>
      </c>
      <c r="L152" s="7" t="s">
        <v>30</v>
      </c>
      <c r="M152" s="7" t="s">
        <v>9</v>
      </c>
      <c r="N152" s="7" t="s">
        <v>25</v>
      </c>
      <c r="O152" s="7" t="s">
        <v>286</v>
      </c>
      <c r="P152" s="7" t="s">
        <v>286</v>
      </c>
      <c r="Q152" s="7" t="s">
        <v>476</v>
      </c>
      <c r="R152" t="s">
        <v>3632</v>
      </c>
    </row>
    <row r="153" spans="1:18" x14ac:dyDescent="0.3">
      <c r="A153" s="7" t="str">
        <f>HYPERLINK("https://hsdes.intel.com/resource/14013156915","14013156915")</f>
        <v>14013156915</v>
      </c>
      <c r="B153" s="7" t="s">
        <v>477</v>
      </c>
      <c r="C153" s="7" t="s">
        <v>55</v>
      </c>
      <c r="D153" s="7" t="s">
        <v>3612</v>
      </c>
      <c r="E153" s="7" t="s">
        <v>3617</v>
      </c>
      <c r="F153" s="8" t="s">
        <v>3628</v>
      </c>
      <c r="H153" s="7" t="s">
        <v>3619</v>
      </c>
      <c r="I153" s="7" t="s">
        <v>3622</v>
      </c>
      <c r="L153" s="7" t="s">
        <v>30</v>
      </c>
      <c r="M153" s="7" t="s">
        <v>9</v>
      </c>
      <c r="N153" s="7" t="s">
        <v>25</v>
      </c>
      <c r="O153" s="7" t="s">
        <v>286</v>
      </c>
      <c r="P153" s="7" t="s">
        <v>286</v>
      </c>
      <c r="Q153" s="7" t="s">
        <v>478</v>
      </c>
      <c r="R153" t="s">
        <v>3632</v>
      </c>
    </row>
    <row r="154" spans="1:18" x14ac:dyDescent="0.3">
      <c r="A154" s="7" t="str">
        <f>HYPERLINK("https://hsdes.intel.com/resource/14013156931","14013156931")</f>
        <v>14013156931</v>
      </c>
      <c r="B154" s="7" t="s">
        <v>479</v>
      </c>
      <c r="C154" s="7" t="s">
        <v>55</v>
      </c>
      <c r="D154" s="7" t="s">
        <v>3612</v>
      </c>
      <c r="E154" s="7" t="s">
        <v>3617</v>
      </c>
      <c r="F154" s="8" t="s">
        <v>3628</v>
      </c>
      <c r="H154" s="7" t="s">
        <v>3620</v>
      </c>
      <c r="I154" s="7" t="s">
        <v>3622</v>
      </c>
      <c r="L154" s="7" t="s">
        <v>30</v>
      </c>
      <c r="M154" s="7" t="s">
        <v>94</v>
      </c>
      <c r="N154" s="7" t="s">
        <v>25</v>
      </c>
      <c r="O154" s="7" t="s">
        <v>480</v>
      </c>
      <c r="P154" s="7" t="s">
        <v>480</v>
      </c>
      <c r="Q154" s="7" t="s">
        <v>481</v>
      </c>
      <c r="R154" t="s">
        <v>3632</v>
      </c>
    </row>
    <row r="155" spans="1:18" x14ac:dyDescent="0.3">
      <c r="A155" s="7" t="str">
        <f>HYPERLINK("https://hsdes.intel.com/resource/14013156951","14013156951")</f>
        <v>14013156951</v>
      </c>
      <c r="B155" s="7" t="s">
        <v>482</v>
      </c>
      <c r="C155" s="7" t="s">
        <v>121</v>
      </c>
      <c r="D155" s="7" t="s">
        <v>3613</v>
      </c>
      <c r="E155" s="7" t="s">
        <v>3617</v>
      </c>
      <c r="F155" s="8" t="s">
        <v>3628</v>
      </c>
      <c r="H155" s="7" t="s">
        <v>3619</v>
      </c>
      <c r="I155" s="7" t="s">
        <v>3622</v>
      </c>
      <c r="J155" s="7" t="s">
        <v>3588</v>
      </c>
      <c r="L155" s="7" t="s">
        <v>30</v>
      </c>
      <c r="M155" s="7" t="s">
        <v>9</v>
      </c>
      <c r="N155" s="7" t="s">
        <v>483</v>
      </c>
      <c r="O155" s="7" t="s">
        <v>484</v>
      </c>
      <c r="P155" s="7" t="s">
        <v>217</v>
      </c>
      <c r="Q155" s="7" t="s">
        <v>485</v>
      </c>
      <c r="R155" t="s">
        <v>3632</v>
      </c>
    </row>
    <row r="156" spans="1:18" x14ac:dyDescent="0.3">
      <c r="A156" s="7" t="str">
        <f>HYPERLINK("https://hsdes.intel.com/resource/14013156953","14013156953")</f>
        <v>14013156953</v>
      </c>
      <c r="B156" s="7" t="s">
        <v>486</v>
      </c>
      <c r="C156" s="7" t="s">
        <v>55</v>
      </c>
      <c r="D156" s="7" t="s">
        <v>3612</v>
      </c>
      <c r="E156" s="7" t="s">
        <v>3617</v>
      </c>
      <c r="F156" s="8" t="s">
        <v>3628</v>
      </c>
      <c r="H156" s="7" t="s">
        <v>3619</v>
      </c>
      <c r="I156" s="7" t="s">
        <v>3622</v>
      </c>
      <c r="L156" s="7" t="s">
        <v>30</v>
      </c>
      <c r="M156" s="7" t="s">
        <v>9</v>
      </c>
      <c r="N156" s="7" t="s">
        <v>25</v>
      </c>
      <c r="O156" s="7" t="s">
        <v>286</v>
      </c>
      <c r="P156" s="7" t="s">
        <v>286</v>
      </c>
      <c r="Q156" s="7" t="s">
        <v>487</v>
      </c>
      <c r="R156" t="s">
        <v>3632</v>
      </c>
    </row>
    <row r="157" spans="1:18" x14ac:dyDescent="0.3">
      <c r="A157" s="7" t="str">
        <f>HYPERLINK("https://hsdes.intel.com/resource/14013156955","14013156955")</f>
        <v>14013156955</v>
      </c>
      <c r="B157" s="7" t="s">
        <v>488</v>
      </c>
      <c r="C157" s="7" t="s">
        <v>29</v>
      </c>
      <c r="D157" s="7" t="s">
        <v>3613</v>
      </c>
      <c r="E157" s="7" t="s">
        <v>3617</v>
      </c>
      <c r="F157" s="8" t="s">
        <v>3628</v>
      </c>
      <c r="H157" s="7" t="s">
        <v>3619</v>
      </c>
      <c r="I157" s="7" t="s">
        <v>3640</v>
      </c>
      <c r="L157" s="7" t="s">
        <v>30</v>
      </c>
      <c r="M157" s="7" t="s">
        <v>9</v>
      </c>
      <c r="N157" s="7" t="s">
        <v>25</v>
      </c>
      <c r="O157" s="7" t="s">
        <v>31</v>
      </c>
      <c r="P157" s="7" t="s">
        <v>31</v>
      </c>
      <c r="Q157" s="7" t="s">
        <v>489</v>
      </c>
      <c r="R157" t="s">
        <v>3632</v>
      </c>
    </row>
    <row r="158" spans="1:18" x14ac:dyDescent="0.3">
      <c r="A158" s="7" t="str">
        <f>HYPERLINK("https://hsdes.intel.com/resource/14013156976","14013156976")</f>
        <v>14013156976</v>
      </c>
      <c r="B158" s="7" t="s">
        <v>490</v>
      </c>
      <c r="C158" s="7" t="s">
        <v>55</v>
      </c>
      <c r="D158" s="7" t="s">
        <v>3612</v>
      </c>
      <c r="E158" s="7" t="s">
        <v>3617</v>
      </c>
      <c r="F158" s="8" t="s">
        <v>3628</v>
      </c>
      <c r="H158" s="7" t="s">
        <v>3619</v>
      </c>
      <c r="I158" s="7" t="s">
        <v>3622</v>
      </c>
      <c r="L158" s="7" t="s">
        <v>30</v>
      </c>
      <c r="M158" s="7" t="s">
        <v>94</v>
      </c>
      <c r="N158" s="7" t="s">
        <v>25</v>
      </c>
      <c r="O158" s="7" t="s">
        <v>491</v>
      </c>
      <c r="P158" s="7" t="s">
        <v>492</v>
      </c>
      <c r="Q158" s="7" t="s">
        <v>493</v>
      </c>
      <c r="R158" t="s">
        <v>3632</v>
      </c>
    </row>
    <row r="159" spans="1:18" x14ac:dyDescent="0.3">
      <c r="A159" s="7" t="str">
        <f>HYPERLINK("https://hsdes.intel.com/resource/14013156977","14013156977")</f>
        <v>14013156977</v>
      </c>
      <c r="B159" s="7" t="s">
        <v>494</v>
      </c>
      <c r="C159" s="7" t="s">
        <v>55</v>
      </c>
      <c r="D159" s="7" t="s">
        <v>3612</v>
      </c>
      <c r="E159" s="7" t="s">
        <v>3617</v>
      </c>
      <c r="F159" s="8" t="s">
        <v>3628</v>
      </c>
      <c r="H159" s="7" t="s">
        <v>3619</v>
      </c>
      <c r="I159" s="7" t="s">
        <v>3622</v>
      </c>
      <c r="L159" s="7" t="s">
        <v>30</v>
      </c>
      <c r="M159" s="7" t="s">
        <v>9</v>
      </c>
      <c r="N159" s="7" t="s">
        <v>25</v>
      </c>
      <c r="O159" s="7" t="s">
        <v>289</v>
      </c>
      <c r="P159" s="7" t="s">
        <v>289</v>
      </c>
      <c r="Q159" s="7" t="s">
        <v>495</v>
      </c>
      <c r="R159" t="s">
        <v>3632</v>
      </c>
    </row>
    <row r="160" spans="1:18" x14ac:dyDescent="0.3">
      <c r="A160" s="7" t="str">
        <f>HYPERLINK("https://hsdes.intel.com/resource/14013156980","14013156980")</f>
        <v>14013156980</v>
      </c>
      <c r="B160" s="7" t="s">
        <v>496</v>
      </c>
      <c r="C160" s="7" t="s">
        <v>55</v>
      </c>
      <c r="D160" s="7" t="s">
        <v>3612</v>
      </c>
      <c r="E160" s="7" t="s">
        <v>3617</v>
      </c>
      <c r="F160" s="8" t="s">
        <v>3628</v>
      </c>
      <c r="H160" s="7" t="s">
        <v>3619</v>
      </c>
      <c r="I160" s="7" t="s">
        <v>3622</v>
      </c>
      <c r="L160" s="7" t="s">
        <v>30</v>
      </c>
      <c r="M160" s="7" t="s">
        <v>9</v>
      </c>
      <c r="N160" s="7" t="s">
        <v>25</v>
      </c>
      <c r="O160" s="7" t="s">
        <v>497</v>
      </c>
      <c r="P160" s="7" t="s">
        <v>497</v>
      </c>
      <c r="Q160" s="7" t="s">
        <v>498</v>
      </c>
      <c r="R160" t="s">
        <v>3632</v>
      </c>
    </row>
    <row r="161" spans="1:18" x14ac:dyDescent="0.3">
      <c r="A161" s="7" t="str">
        <f>HYPERLINK("https://hsdes.intel.com/resource/14013157004","14013157004")</f>
        <v>14013157004</v>
      </c>
      <c r="B161" s="7" t="s">
        <v>499</v>
      </c>
      <c r="C161" s="7" t="s">
        <v>55</v>
      </c>
      <c r="D161" s="7" t="s">
        <v>3612</v>
      </c>
      <c r="E161" s="7" t="s">
        <v>3617</v>
      </c>
      <c r="F161" s="8" t="s">
        <v>3628</v>
      </c>
      <c r="H161" s="7" t="s">
        <v>3619</v>
      </c>
      <c r="I161" s="7" t="s">
        <v>3622</v>
      </c>
      <c r="J161" s="7" t="s">
        <v>3564</v>
      </c>
      <c r="L161" s="7" t="s">
        <v>30</v>
      </c>
      <c r="M161" s="7" t="s">
        <v>9</v>
      </c>
      <c r="N161" s="7" t="s">
        <v>25</v>
      </c>
      <c r="O161" s="7" t="s">
        <v>411</v>
      </c>
      <c r="P161" s="7" t="s">
        <v>411</v>
      </c>
      <c r="Q161" s="7" t="s">
        <v>500</v>
      </c>
      <c r="R161" t="s">
        <v>3632</v>
      </c>
    </row>
    <row r="162" spans="1:18" x14ac:dyDescent="0.3">
      <c r="A162" s="7" t="str">
        <f>HYPERLINK("https://hsdes.intel.com/resource/14013157008","14013157008")</f>
        <v>14013157008</v>
      </c>
      <c r="B162" s="7" t="s">
        <v>501</v>
      </c>
      <c r="C162" s="7" t="s">
        <v>55</v>
      </c>
      <c r="D162" s="7" t="s">
        <v>3612</v>
      </c>
      <c r="E162" s="7" t="s">
        <v>3617</v>
      </c>
      <c r="F162" s="8" t="s">
        <v>3628</v>
      </c>
      <c r="H162" s="16" t="s">
        <v>3619</v>
      </c>
      <c r="I162" s="7" t="s">
        <v>3622</v>
      </c>
      <c r="L162" s="7" t="s">
        <v>30</v>
      </c>
      <c r="M162" s="7" t="s">
        <v>9</v>
      </c>
      <c r="N162" s="7" t="s">
        <v>25</v>
      </c>
      <c r="O162" s="7" t="s">
        <v>286</v>
      </c>
      <c r="P162" s="7" t="s">
        <v>286</v>
      </c>
      <c r="Q162" s="7" t="s">
        <v>502</v>
      </c>
      <c r="R162" t="s">
        <v>3632</v>
      </c>
    </row>
    <row r="163" spans="1:18" x14ac:dyDescent="0.3">
      <c r="A163" s="7" t="str">
        <f>HYPERLINK("https://hsdes.intel.com/resource/14013157009","14013157009")</f>
        <v>14013157009</v>
      </c>
      <c r="B163" s="7" t="s">
        <v>503</v>
      </c>
      <c r="C163" s="7" t="s">
        <v>55</v>
      </c>
      <c r="D163" s="7" t="s">
        <v>3612</v>
      </c>
      <c r="E163" s="7" t="s">
        <v>3617</v>
      </c>
      <c r="F163" s="8" t="s">
        <v>3628</v>
      </c>
      <c r="H163" s="7" t="s">
        <v>3619</v>
      </c>
      <c r="I163" s="7" t="s">
        <v>3622</v>
      </c>
      <c r="L163" s="7" t="s">
        <v>30</v>
      </c>
      <c r="M163" s="7" t="s">
        <v>9</v>
      </c>
      <c r="N163" s="7" t="s">
        <v>25</v>
      </c>
      <c r="O163" s="7" t="s">
        <v>286</v>
      </c>
      <c r="P163" s="7" t="s">
        <v>286</v>
      </c>
      <c r="Q163" s="7" t="s">
        <v>504</v>
      </c>
      <c r="R163" t="s">
        <v>3632</v>
      </c>
    </row>
    <row r="164" spans="1:18" x14ac:dyDescent="0.3">
      <c r="A164" s="7" t="str">
        <f>HYPERLINK("https://hsdes.intel.com/resource/14013157010","14013157010")</f>
        <v>14013157010</v>
      </c>
      <c r="B164" s="7" t="s">
        <v>505</v>
      </c>
      <c r="C164" s="7" t="s">
        <v>55</v>
      </c>
      <c r="D164" s="7" t="s">
        <v>3612</v>
      </c>
      <c r="E164" s="7" t="s">
        <v>3617</v>
      </c>
      <c r="F164" s="8" t="s">
        <v>3628</v>
      </c>
      <c r="H164" s="7" t="s">
        <v>3618</v>
      </c>
      <c r="J164" s="7" t="s">
        <v>3565</v>
      </c>
      <c r="L164" s="7" t="s">
        <v>30</v>
      </c>
      <c r="M164" s="7" t="s">
        <v>94</v>
      </c>
      <c r="N164" s="7" t="s">
        <v>25</v>
      </c>
      <c r="O164" s="7" t="s">
        <v>480</v>
      </c>
      <c r="P164" s="7" t="s">
        <v>480</v>
      </c>
      <c r="Q164" s="7" t="s">
        <v>506</v>
      </c>
      <c r="R164" t="s">
        <v>3632</v>
      </c>
    </row>
    <row r="165" spans="1:18" x14ac:dyDescent="0.3">
      <c r="A165" s="7" t="str">
        <f>HYPERLINK("https://hsdes.intel.com/resource/14013157012","14013157012")</f>
        <v>14013157012</v>
      </c>
      <c r="B165" s="7" t="s">
        <v>507</v>
      </c>
      <c r="C165" s="7" t="s">
        <v>55</v>
      </c>
      <c r="D165" s="7" t="s">
        <v>3612</v>
      </c>
      <c r="E165" s="7" t="s">
        <v>3617</v>
      </c>
      <c r="F165" s="8" t="s">
        <v>3628</v>
      </c>
      <c r="H165" s="7" t="s">
        <v>3618</v>
      </c>
      <c r="J165" s="7" t="s">
        <v>3565</v>
      </c>
      <c r="L165" s="7" t="s">
        <v>30</v>
      </c>
      <c r="M165" s="7" t="s">
        <v>94</v>
      </c>
      <c r="N165" s="7" t="s">
        <v>25</v>
      </c>
      <c r="O165" s="7" t="s">
        <v>480</v>
      </c>
      <c r="P165" s="7" t="s">
        <v>480</v>
      </c>
      <c r="Q165" s="7" t="s">
        <v>508</v>
      </c>
      <c r="R165" t="s">
        <v>3631</v>
      </c>
    </row>
    <row r="166" spans="1:18" x14ac:dyDescent="0.3">
      <c r="A166" s="7" t="str">
        <f>HYPERLINK("https://hsdes.intel.com/resource/14013157017","14013157017")</f>
        <v>14013157017</v>
      </c>
      <c r="B166" s="7" t="s">
        <v>509</v>
      </c>
      <c r="C166" s="7" t="s">
        <v>55</v>
      </c>
      <c r="D166" s="7" t="s">
        <v>3612</v>
      </c>
      <c r="E166" s="7" t="s">
        <v>3617</v>
      </c>
      <c r="F166" s="8" t="s">
        <v>3628</v>
      </c>
      <c r="H166" s="7" t="s">
        <v>3618</v>
      </c>
      <c r="J166" s="7" t="s">
        <v>3565</v>
      </c>
      <c r="L166" s="7" t="s">
        <v>30</v>
      </c>
      <c r="M166" s="7" t="s">
        <v>94</v>
      </c>
      <c r="N166" s="7" t="s">
        <v>25</v>
      </c>
      <c r="O166" s="7" t="s">
        <v>480</v>
      </c>
      <c r="P166" s="7" t="s">
        <v>480</v>
      </c>
      <c r="Q166" s="7" t="s">
        <v>510</v>
      </c>
      <c r="R166" t="s">
        <v>3632</v>
      </c>
    </row>
    <row r="167" spans="1:18" x14ac:dyDescent="0.3">
      <c r="A167" s="7" t="str">
        <f>HYPERLINK("https://hsdes.intel.com/resource/14013157021","14013157021")</f>
        <v>14013157021</v>
      </c>
      <c r="B167" s="7" t="s">
        <v>511</v>
      </c>
      <c r="C167" s="7" t="s">
        <v>55</v>
      </c>
      <c r="D167" s="7" t="s">
        <v>3612</v>
      </c>
      <c r="E167" s="7" t="s">
        <v>3617</v>
      </c>
      <c r="F167" s="8" t="s">
        <v>3628</v>
      </c>
      <c r="H167" s="7" t="s">
        <v>3618</v>
      </c>
      <c r="J167" s="7" t="s">
        <v>3565</v>
      </c>
      <c r="L167" s="7" t="s">
        <v>30</v>
      </c>
      <c r="M167" s="7" t="s">
        <v>94</v>
      </c>
      <c r="N167" s="7" t="s">
        <v>25</v>
      </c>
      <c r="O167" s="7" t="s">
        <v>480</v>
      </c>
      <c r="P167" s="7" t="s">
        <v>480</v>
      </c>
      <c r="Q167" s="7" t="s">
        <v>512</v>
      </c>
      <c r="R167" t="s">
        <v>3632</v>
      </c>
    </row>
    <row r="168" spans="1:18" x14ac:dyDescent="0.3">
      <c r="A168" s="7" t="str">
        <f>HYPERLINK("https://hsdes.intel.com/resource/14013157052","14013157052")</f>
        <v>14013157052</v>
      </c>
      <c r="B168" s="7" t="s">
        <v>513</v>
      </c>
      <c r="C168" s="7" t="s">
        <v>55</v>
      </c>
      <c r="D168" s="7" t="s">
        <v>3612</v>
      </c>
      <c r="E168" s="7" t="s">
        <v>3617</v>
      </c>
      <c r="F168" s="8" t="s">
        <v>3628</v>
      </c>
      <c r="H168" s="7" t="s">
        <v>3619</v>
      </c>
      <c r="I168" s="7" t="s">
        <v>3622</v>
      </c>
      <c r="L168" s="7" t="s">
        <v>30</v>
      </c>
      <c r="M168" s="7" t="s">
        <v>9</v>
      </c>
      <c r="N168" s="7" t="s">
        <v>25</v>
      </c>
      <c r="O168" s="7" t="s">
        <v>423</v>
      </c>
      <c r="P168" s="7" t="s">
        <v>423</v>
      </c>
      <c r="Q168" s="7" t="s">
        <v>514</v>
      </c>
      <c r="R168" t="s">
        <v>3632</v>
      </c>
    </row>
    <row r="169" spans="1:18" x14ac:dyDescent="0.3">
      <c r="A169" s="7" t="str">
        <f>HYPERLINK("https://hsdes.intel.com/resource/14013157055","14013157055")</f>
        <v>14013157055</v>
      </c>
      <c r="B169" s="7" t="s">
        <v>515</v>
      </c>
      <c r="C169" s="7" t="s">
        <v>55</v>
      </c>
      <c r="D169" s="7" t="s">
        <v>3612</v>
      </c>
      <c r="E169" s="7" t="s">
        <v>3617</v>
      </c>
      <c r="F169" s="8" t="s">
        <v>3628</v>
      </c>
      <c r="H169" s="7" t="s">
        <v>3620</v>
      </c>
      <c r="I169" s="7" t="s">
        <v>3622</v>
      </c>
      <c r="L169" s="7" t="s">
        <v>30</v>
      </c>
      <c r="M169" s="7" t="s">
        <v>9</v>
      </c>
      <c r="N169" s="7" t="s">
        <v>25</v>
      </c>
      <c r="O169" s="7" t="s">
        <v>411</v>
      </c>
      <c r="P169" s="7" t="s">
        <v>411</v>
      </c>
      <c r="Q169" s="7" t="s">
        <v>516</v>
      </c>
      <c r="R169" t="s">
        <v>3632</v>
      </c>
    </row>
    <row r="170" spans="1:18" x14ac:dyDescent="0.3">
      <c r="A170" s="7" t="str">
        <f>HYPERLINK("https://hsdes.intel.com/resource/14013157075","14013157075")</f>
        <v>14013157075</v>
      </c>
      <c r="B170" s="7" t="s">
        <v>517</v>
      </c>
      <c r="C170" s="7" t="s">
        <v>55</v>
      </c>
      <c r="D170" s="7" t="s">
        <v>3612</v>
      </c>
      <c r="E170" s="7" t="s">
        <v>3617</v>
      </c>
      <c r="F170" s="8" t="s">
        <v>3628</v>
      </c>
      <c r="H170" s="7" t="s">
        <v>3620</v>
      </c>
      <c r="I170" s="7" t="s">
        <v>3622</v>
      </c>
      <c r="L170" s="7" t="s">
        <v>30</v>
      </c>
      <c r="M170" s="7" t="s">
        <v>9</v>
      </c>
      <c r="N170" s="7" t="s">
        <v>25</v>
      </c>
      <c r="O170" s="7" t="s">
        <v>286</v>
      </c>
      <c r="P170" s="7" t="s">
        <v>286</v>
      </c>
      <c r="Q170" s="7" t="s">
        <v>518</v>
      </c>
      <c r="R170" t="s">
        <v>3632</v>
      </c>
    </row>
    <row r="171" spans="1:18" x14ac:dyDescent="0.3">
      <c r="A171" s="7" t="str">
        <f>HYPERLINK("https://hsdes.intel.com/resource/14013157081","14013157081")</f>
        <v>14013157081</v>
      </c>
      <c r="B171" s="7" t="s">
        <v>519</v>
      </c>
      <c r="C171" s="7" t="s">
        <v>23</v>
      </c>
      <c r="D171" s="7" t="s">
        <v>3612</v>
      </c>
      <c r="E171" s="7" t="s">
        <v>3617</v>
      </c>
      <c r="F171" s="8" t="s">
        <v>3628</v>
      </c>
      <c r="H171" s="7" t="s">
        <v>3620</v>
      </c>
      <c r="I171" s="7" t="s">
        <v>3624</v>
      </c>
      <c r="L171" s="7" t="s">
        <v>24</v>
      </c>
      <c r="M171" s="7" t="s">
        <v>9</v>
      </c>
      <c r="N171" s="7" t="s">
        <v>39</v>
      </c>
      <c r="O171" s="7" t="s">
        <v>48</v>
      </c>
      <c r="P171" s="7" t="s">
        <v>48</v>
      </c>
      <c r="Q171" s="7" t="s">
        <v>520</v>
      </c>
      <c r="R171" t="s">
        <v>3632</v>
      </c>
    </row>
    <row r="172" spans="1:18" x14ac:dyDescent="0.3">
      <c r="A172" s="7" t="str">
        <f>HYPERLINK("https://hsdes.intel.com/resource/14013157085","14013157085")</f>
        <v>14013157085</v>
      </c>
      <c r="B172" s="7" t="s">
        <v>521</v>
      </c>
      <c r="C172" s="7" t="s">
        <v>55</v>
      </c>
      <c r="D172" s="7" t="s">
        <v>3612</v>
      </c>
      <c r="E172" s="7" t="s">
        <v>3617</v>
      </c>
      <c r="F172" s="8" t="s">
        <v>3628</v>
      </c>
      <c r="H172" s="16" t="s">
        <v>3620</v>
      </c>
      <c r="I172" s="7" t="s">
        <v>3622</v>
      </c>
      <c r="L172" s="7" t="s">
        <v>30</v>
      </c>
      <c r="M172" s="7" t="s">
        <v>9</v>
      </c>
      <c r="N172" s="7" t="s">
        <v>25</v>
      </c>
      <c r="O172" s="7" t="s">
        <v>45</v>
      </c>
      <c r="P172" s="7" t="s">
        <v>45</v>
      </c>
      <c r="Q172" s="7" t="s">
        <v>522</v>
      </c>
      <c r="R172" t="s">
        <v>3632</v>
      </c>
    </row>
    <row r="173" spans="1:18" x14ac:dyDescent="0.3">
      <c r="A173" s="7" t="str">
        <f>HYPERLINK("https://hsdes.intel.com/resource/14013157103","14013157103")</f>
        <v>14013157103</v>
      </c>
      <c r="B173" s="7" t="s">
        <v>523</v>
      </c>
      <c r="C173" s="7" t="s">
        <v>524</v>
      </c>
      <c r="D173" s="7" t="s">
        <v>3612</v>
      </c>
      <c r="E173" s="7" t="s">
        <v>3617</v>
      </c>
      <c r="F173" s="8" t="s">
        <v>3628</v>
      </c>
      <c r="H173" s="7" t="s">
        <v>3620</v>
      </c>
      <c r="I173" s="7" t="s">
        <v>3644</v>
      </c>
      <c r="L173" s="7" t="s">
        <v>8</v>
      </c>
      <c r="M173" s="7" t="s">
        <v>94</v>
      </c>
      <c r="N173" s="7" t="s">
        <v>25</v>
      </c>
      <c r="O173" s="7" t="s">
        <v>378</v>
      </c>
      <c r="P173" s="7" t="s">
        <v>525</v>
      </c>
      <c r="Q173" s="7" t="s">
        <v>526</v>
      </c>
      <c r="R173" t="s">
        <v>3632</v>
      </c>
    </row>
    <row r="174" spans="1:18" x14ac:dyDescent="0.3">
      <c r="A174" s="7" t="str">
        <f>HYPERLINK("https://hsdes.intel.com/resource/14013157109","14013157109")</f>
        <v>14013157109</v>
      </c>
      <c r="B174" s="7" t="s">
        <v>527</v>
      </c>
      <c r="C174" s="7" t="s">
        <v>29</v>
      </c>
      <c r="D174" s="7" t="s">
        <v>3612</v>
      </c>
      <c r="E174" s="7" t="s">
        <v>3617</v>
      </c>
      <c r="F174" s="8" t="s">
        <v>3628</v>
      </c>
      <c r="H174" s="7" t="s">
        <v>3620</v>
      </c>
      <c r="I174" s="7" t="s">
        <v>3622</v>
      </c>
      <c r="L174" s="7" t="s">
        <v>8</v>
      </c>
      <c r="M174" s="7" t="s">
        <v>94</v>
      </c>
      <c r="N174" s="7" t="s">
        <v>25</v>
      </c>
      <c r="O174" s="7" t="s">
        <v>528</v>
      </c>
      <c r="P174" s="7" t="s">
        <v>525</v>
      </c>
      <c r="Q174" s="7" t="s">
        <v>529</v>
      </c>
      <c r="R174" t="s">
        <v>3632</v>
      </c>
    </row>
    <row r="175" spans="1:18" x14ac:dyDescent="0.3">
      <c r="A175" s="7" t="str">
        <f>HYPERLINK("https://hsdes.intel.com/resource/14013157121","14013157121")</f>
        <v>14013157121</v>
      </c>
      <c r="B175" s="7" t="s">
        <v>530</v>
      </c>
      <c r="C175" s="7" t="s">
        <v>531</v>
      </c>
      <c r="D175" s="7" t="s">
        <v>3612</v>
      </c>
      <c r="E175" s="7" t="s">
        <v>3617</v>
      </c>
      <c r="F175" s="8" t="s">
        <v>3628</v>
      </c>
      <c r="H175" s="7" t="s">
        <v>3619</v>
      </c>
      <c r="I175" s="7" t="s">
        <v>3622</v>
      </c>
      <c r="L175" s="7" t="s">
        <v>8</v>
      </c>
      <c r="M175" s="7" t="s">
        <v>94</v>
      </c>
      <c r="N175" s="7" t="s">
        <v>39</v>
      </c>
      <c r="O175" s="7" t="s">
        <v>531</v>
      </c>
      <c r="P175" s="7" t="s">
        <v>394</v>
      </c>
      <c r="Q175" s="7" t="s">
        <v>532</v>
      </c>
      <c r="R175" t="s">
        <v>3632</v>
      </c>
    </row>
    <row r="176" spans="1:18" x14ac:dyDescent="0.3">
      <c r="A176" s="7" t="str">
        <f>HYPERLINK("https://hsdes.intel.com/resource/14013157130","14013157130")</f>
        <v>14013157130</v>
      </c>
      <c r="B176" s="7" t="s">
        <v>533</v>
      </c>
      <c r="C176" s="7" t="s">
        <v>29</v>
      </c>
      <c r="D176" s="7" t="s">
        <v>3612</v>
      </c>
      <c r="E176" s="7" t="s">
        <v>3617</v>
      </c>
      <c r="F176" s="8" t="s">
        <v>3628</v>
      </c>
      <c r="H176" s="7" t="s">
        <v>3619</v>
      </c>
      <c r="I176" s="7" t="s">
        <v>3640</v>
      </c>
      <c r="L176" s="7" t="s">
        <v>8</v>
      </c>
      <c r="M176" s="7" t="s">
        <v>94</v>
      </c>
      <c r="N176" s="7" t="s">
        <v>39</v>
      </c>
      <c r="O176" s="7" t="s">
        <v>378</v>
      </c>
      <c r="P176" s="7" t="s">
        <v>525</v>
      </c>
      <c r="Q176" s="7" t="s">
        <v>534</v>
      </c>
      <c r="R176" t="s">
        <v>3632</v>
      </c>
    </row>
    <row r="177" spans="1:20" x14ac:dyDescent="0.3">
      <c r="A177" s="7" t="str">
        <f>HYPERLINK("https://hsdes.intel.com/resource/14013157133","14013157133")</f>
        <v>14013157133</v>
      </c>
      <c r="B177" s="7" t="s">
        <v>535</v>
      </c>
      <c r="C177" s="7" t="s">
        <v>29</v>
      </c>
      <c r="D177" s="7" t="s">
        <v>3612</v>
      </c>
      <c r="E177" s="7" t="s">
        <v>3617</v>
      </c>
      <c r="F177" s="8" t="s">
        <v>3628</v>
      </c>
      <c r="H177" s="7" t="s">
        <v>3619</v>
      </c>
      <c r="I177" s="7" t="s">
        <v>3643</v>
      </c>
      <c r="L177" s="7" t="s">
        <v>8</v>
      </c>
      <c r="M177" s="7" t="s">
        <v>94</v>
      </c>
      <c r="N177" s="7" t="s">
        <v>39</v>
      </c>
      <c r="O177" s="7" t="s">
        <v>378</v>
      </c>
      <c r="P177" s="7" t="s">
        <v>525</v>
      </c>
      <c r="Q177" s="7" t="s">
        <v>536</v>
      </c>
      <c r="R177" t="s">
        <v>3632</v>
      </c>
    </row>
    <row r="178" spans="1:20" x14ac:dyDescent="0.3">
      <c r="A178" s="7" t="str">
        <f>HYPERLINK("https://hsdes.intel.com/resource/14013157136","14013157136")</f>
        <v>14013157136</v>
      </c>
      <c r="B178" s="7" t="s">
        <v>537</v>
      </c>
      <c r="C178" s="7" t="s">
        <v>29</v>
      </c>
      <c r="D178" s="7" t="s">
        <v>3612</v>
      </c>
      <c r="E178" s="7" t="s">
        <v>3617</v>
      </c>
      <c r="F178" s="8" t="s">
        <v>3628</v>
      </c>
      <c r="H178" s="7" t="s">
        <v>3620</v>
      </c>
      <c r="I178" s="7" t="s">
        <v>3640</v>
      </c>
      <c r="L178" s="7" t="s">
        <v>8</v>
      </c>
      <c r="M178" s="7" t="s">
        <v>94</v>
      </c>
      <c r="N178" s="7" t="s">
        <v>39</v>
      </c>
      <c r="O178" s="7" t="s">
        <v>378</v>
      </c>
      <c r="P178" s="7" t="s">
        <v>525</v>
      </c>
      <c r="Q178" s="7" t="s">
        <v>538</v>
      </c>
      <c r="R178" t="s">
        <v>3632</v>
      </c>
    </row>
    <row r="179" spans="1:20" x14ac:dyDescent="0.3">
      <c r="A179" s="7" t="str">
        <f>HYPERLINK("https://hsdes.intel.com/resource/14013157146","14013157146")</f>
        <v>14013157146</v>
      </c>
      <c r="B179" s="7" t="s">
        <v>539</v>
      </c>
      <c r="C179" s="7" t="s">
        <v>29</v>
      </c>
      <c r="D179" s="7" t="s">
        <v>3612</v>
      </c>
      <c r="E179" s="7" t="s">
        <v>3617</v>
      </c>
      <c r="F179" s="8" t="s">
        <v>3628</v>
      </c>
      <c r="H179" s="7" t="s">
        <v>3619</v>
      </c>
      <c r="I179" s="7" t="s">
        <v>3622</v>
      </c>
      <c r="L179" s="7" t="s">
        <v>8</v>
      </c>
      <c r="M179" s="7" t="s">
        <v>94</v>
      </c>
      <c r="N179" s="7" t="s">
        <v>25</v>
      </c>
      <c r="O179" s="7" t="s">
        <v>528</v>
      </c>
      <c r="P179" s="7" t="s">
        <v>525</v>
      </c>
      <c r="Q179" s="7" t="s">
        <v>540</v>
      </c>
      <c r="R179" t="s">
        <v>3632</v>
      </c>
    </row>
    <row r="180" spans="1:20" x14ac:dyDescent="0.3">
      <c r="A180" s="7" t="str">
        <f>HYPERLINK("https://hsdes.intel.com/resource/14013157151","14013157151")</f>
        <v>14013157151</v>
      </c>
      <c r="B180" s="7" t="s">
        <v>541</v>
      </c>
      <c r="C180" s="7" t="s">
        <v>55</v>
      </c>
      <c r="D180" s="7" t="s">
        <v>3612</v>
      </c>
      <c r="E180" s="7" t="s">
        <v>3617</v>
      </c>
      <c r="F180" s="8" t="s">
        <v>3628</v>
      </c>
      <c r="H180" s="7" t="s">
        <v>3620</v>
      </c>
      <c r="I180" s="7" t="s">
        <v>3622</v>
      </c>
      <c r="L180" s="7" t="s">
        <v>30</v>
      </c>
      <c r="M180" s="7" t="s">
        <v>9</v>
      </c>
      <c r="N180" s="7" t="s">
        <v>25</v>
      </c>
      <c r="O180" s="7" t="s">
        <v>26</v>
      </c>
      <c r="P180" s="7" t="s">
        <v>26</v>
      </c>
      <c r="Q180" s="7" t="s">
        <v>542</v>
      </c>
      <c r="R180" t="s">
        <v>3632</v>
      </c>
    </row>
    <row r="181" spans="1:20" x14ac:dyDescent="0.3">
      <c r="A181" s="7" t="str">
        <f>HYPERLINK("https://hsdes.intel.com/resource/14013157153","14013157153")</f>
        <v>14013157153</v>
      </c>
      <c r="B181" s="7" t="s">
        <v>543</v>
      </c>
      <c r="C181" s="7" t="s">
        <v>55</v>
      </c>
      <c r="D181" s="7" t="s">
        <v>3612</v>
      </c>
      <c r="E181" s="7" t="s">
        <v>3617</v>
      </c>
      <c r="F181" s="8" t="s">
        <v>3628</v>
      </c>
      <c r="H181" s="7" t="s">
        <v>3619</v>
      </c>
      <c r="I181" s="7" t="s">
        <v>3622</v>
      </c>
      <c r="L181" s="7" t="s">
        <v>30</v>
      </c>
      <c r="M181" s="7" t="s">
        <v>9</v>
      </c>
      <c r="N181" s="7" t="s">
        <v>25</v>
      </c>
      <c r="O181" s="7" t="s">
        <v>26</v>
      </c>
      <c r="P181" s="7" t="s">
        <v>26</v>
      </c>
      <c r="Q181" s="7" t="s">
        <v>544</v>
      </c>
      <c r="R181" t="s">
        <v>3632</v>
      </c>
    </row>
    <row r="182" spans="1:20" x14ac:dyDescent="0.3">
      <c r="A182" s="7" t="str">
        <f>HYPERLINK("https://hsdes.intel.com/resource/14013157179","14013157179")</f>
        <v>14013157179</v>
      </c>
      <c r="B182" s="7" t="s">
        <v>545</v>
      </c>
      <c r="C182" s="7" t="s">
        <v>55</v>
      </c>
      <c r="D182" s="7" t="s">
        <v>3612</v>
      </c>
      <c r="E182" s="7" t="s">
        <v>3617</v>
      </c>
      <c r="F182" s="8" t="s">
        <v>3628</v>
      </c>
      <c r="H182" s="7" t="s">
        <v>3620</v>
      </c>
      <c r="I182" s="7" t="s">
        <v>3622</v>
      </c>
      <c r="L182" s="7" t="s">
        <v>30</v>
      </c>
      <c r="M182" s="7" t="s">
        <v>9</v>
      </c>
      <c r="N182" s="7" t="s">
        <v>25</v>
      </c>
      <c r="O182" s="7" t="s">
        <v>423</v>
      </c>
      <c r="P182" s="7" t="s">
        <v>423</v>
      </c>
      <c r="Q182" s="7" t="s">
        <v>546</v>
      </c>
      <c r="R182" t="s">
        <v>3632</v>
      </c>
    </row>
    <row r="183" spans="1:20" x14ac:dyDescent="0.3">
      <c r="A183" s="7" t="str">
        <f>HYPERLINK("https://hsdes.intel.com/resource/14013157181","14013157181")</f>
        <v>14013157181</v>
      </c>
      <c r="B183" s="7" t="s">
        <v>547</v>
      </c>
      <c r="C183" s="7" t="s">
        <v>55</v>
      </c>
      <c r="D183" s="7" t="s">
        <v>3612</v>
      </c>
      <c r="E183" s="7" t="s">
        <v>3617</v>
      </c>
      <c r="F183" s="8" t="s">
        <v>3628</v>
      </c>
      <c r="H183" s="7" t="s">
        <v>3620</v>
      </c>
      <c r="I183" s="7" t="s">
        <v>3622</v>
      </c>
      <c r="L183" s="7" t="s">
        <v>30</v>
      </c>
      <c r="M183" s="7" t="s">
        <v>9</v>
      </c>
      <c r="N183" s="7" t="s">
        <v>25</v>
      </c>
      <c r="O183" s="7" t="s">
        <v>548</v>
      </c>
      <c r="P183" s="7" t="s">
        <v>548</v>
      </c>
      <c r="Q183" s="7" t="s">
        <v>549</v>
      </c>
      <c r="R183" t="s">
        <v>3632</v>
      </c>
    </row>
    <row r="184" spans="1:20" x14ac:dyDescent="0.3">
      <c r="A184" s="9" t="str">
        <f>HYPERLINK("https://hsdes.intel.com/resource/14013157188","14013157188")</f>
        <v>14013157188</v>
      </c>
      <c r="B184" s="7" t="s">
        <v>550</v>
      </c>
      <c r="C184" s="7" t="s">
        <v>551</v>
      </c>
      <c r="D184" s="7" t="s">
        <v>3612</v>
      </c>
      <c r="E184" s="7" t="s">
        <v>3617</v>
      </c>
      <c r="F184" s="8" t="s">
        <v>3628</v>
      </c>
      <c r="H184" s="7" t="s">
        <v>3619</v>
      </c>
      <c r="I184" s="7" t="s">
        <v>3622</v>
      </c>
      <c r="L184" s="7" t="s">
        <v>142</v>
      </c>
      <c r="M184" s="7" t="s">
        <v>9</v>
      </c>
      <c r="N184" s="7" t="s">
        <v>56</v>
      </c>
      <c r="O184" s="7" t="s">
        <v>552</v>
      </c>
      <c r="P184" s="7" t="s">
        <v>553</v>
      </c>
      <c r="Q184" s="7" t="s">
        <v>554</v>
      </c>
      <c r="R184" t="s">
        <v>3632</v>
      </c>
    </row>
    <row r="185" spans="1:20" x14ac:dyDescent="0.3">
      <c r="A185" s="7" t="str">
        <f>HYPERLINK("https://hsdes.intel.com/resource/14013157216","14013157216")</f>
        <v>14013157216</v>
      </c>
      <c r="B185" s="7" t="s">
        <v>555</v>
      </c>
      <c r="C185" s="7" t="s">
        <v>29</v>
      </c>
      <c r="D185" s="7" t="s">
        <v>3612</v>
      </c>
      <c r="E185" s="7" t="s">
        <v>3617</v>
      </c>
      <c r="F185" s="8" t="s">
        <v>3628</v>
      </c>
      <c r="H185" s="7" t="s">
        <v>3619</v>
      </c>
      <c r="I185" s="7" t="s">
        <v>3640</v>
      </c>
      <c r="L185" s="7" t="s">
        <v>8</v>
      </c>
      <c r="M185" s="7" t="s">
        <v>94</v>
      </c>
      <c r="N185" s="7" t="s">
        <v>25</v>
      </c>
      <c r="O185" s="7" t="s">
        <v>378</v>
      </c>
      <c r="P185" s="7" t="s">
        <v>525</v>
      </c>
      <c r="Q185" s="7" t="s">
        <v>556</v>
      </c>
      <c r="R185" t="s">
        <v>3632</v>
      </c>
    </row>
    <row r="186" spans="1:20" x14ac:dyDescent="0.3">
      <c r="A186" s="7" t="str">
        <f>HYPERLINK("https://hsdes.intel.com/resource/14013157222","14013157222")</f>
        <v>14013157222</v>
      </c>
      <c r="B186" s="7" t="s">
        <v>557</v>
      </c>
      <c r="C186" s="7" t="s">
        <v>29</v>
      </c>
      <c r="D186" s="7" t="s">
        <v>3612</v>
      </c>
      <c r="E186" s="7" t="s">
        <v>3617</v>
      </c>
      <c r="F186" s="8" t="s">
        <v>3628</v>
      </c>
      <c r="H186" s="7" t="s">
        <v>3620</v>
      </c>
      <c r="I186" s="7" t="s">
        <v>3643</v>
      </c>
      <c r="L186" s="7" t="s">
        <v>8</v>
      </c>
      <c r="M186" s="7" t="s">
        <v>94</v>
      </c>
      <c r="N186" s="7" t="s">
        <v>39</v>
      </c>
      <c r="O186" s="7" t="s">
        <v>528</v>
      </c>
      <c r="P186" s="7" t="s">
        <v>525</v>
      </c>
      <c r="Q186" s="7" t="s">
        <v>558</v>
      </c>
      <c r="R186" t="s">
        <v>3632</v>
      </c>
    </row>
    <row r="187" spans="1:20" x14ac:dyDescent="0.3">
      <c r="A187" s="7" t="str">
        <f>HYPERLINK("https://hsdes.intel.com/resource/14013157232","14013157232")</f>
        <v>14013157232</v>
      </c>
      <c r="B187" s="7" t="s">
        <v>559</v>
      </c>
      <c r="C187" s="7" t="s">
        <v>560</v>
      </c>
      <c r="D187" s="7" t="s">
        <v>3612</v>
      </c>
      <c r="E187" s="7" t="s">
        <v>3617</v>
      </c>
      <c r="F187" s="8" t="s">
        <v>3628</v>
      </c>
      <c r="H187" s="7" t="s">
        <v>3620</v>
      </c>
      <c r="I187" s="7" t="s">
        <v>3644</v>
      </c>
      <c r="L187" s="7" t="s">
        <v>8</v>
      </c>
      <c r="M187" s="7" t="s">
        <v>94</v>
      </c>
      <c r="N187" s="7" t="s">
        <v>39</v>
      </c>
      <c r="O187" s="7" t="s">
        <v>528</v>
      </c>
      <c r="P187" s="7" t="s">
        <v>525</v>
      </c>
      <c r="Q187" s="7" t="s">
        <v>561</v>
      </c>
      <c r="R187" t="s">
        <v>3632</v>
      </c>
    </row>
    <row r="188" spans="1:20" x14ac:dyDescent="0.3">
      <c r="A188" s="7" t="str">
        <f>HYPERLINK("https://hsdes.intel.com/resource/14013157235","14013157235")</f>
        <v>14013157235</v>
      </c>
      <c r="B188" s="7" t="s">
        <v>562</v>
      </c>
      <c r="C188" s="7" t="s">
        <v>55</v>
      </c>
      <c r="D188" s="7" t="s">
        <v>3612</v>
      </c>
      <c r="E188" s="7" t="s">
        <v>3617</v>
      </c>
      <c r="F188" s="8" t="s">
        <v>3628</v>
      </c>
      <c r="H188" s="7" t="s">
        <v>3618</v>
      </c>
      <c r="J188" s="7" t="s">
        <v>3565</v>
      </c>
      <c r="L188" s="7" t="s">
        <v>30</v>
      </c>
      <c r="M188" s="7" t="s">
        <v>9</v>
      </c>
      <c r="N188" s="7" t="s">
        <v>25</v>
      </c>
      <c r="O188" s="7" t="s">
        <v>563</v>
      </c>
      <c r="P188" s="7" t="s">
        <v>564</v>
      </c>
      <c r="Q188" s="7" t="s">
        <v>565</v>
      </c>
      <c r="R188" t="s">
        <v>3632</v>
      </c>
    </row>
    <row r="189" spans="1:20" x14ac:dyDescent="0.3">
      <c r="A189" s="7" t="str">
        <f>HYPERLINK("https://hsdes.intel.com/resource/14013157237","14013157237")</f>
        <v>14013157237</v>
      </c>
      <c r="B189" s="7" t="s">
        <v>566</v>
      </c>
      <c r="C189" s="7" t="s">
        <v>225</v>
      </c>
      <c r="D189" s="7" t="s">
        <v>3612</v>
      </c>
      <c r="E189" s="7" t="s">
        <v>3617</v>
      </c>
      <c r="F189" s="8" t="s">
        <v>3628</v>
      </c>
      <c r="H189" s="7" t="s">
        <v>3620</v>
      </c>
      <c r="I189" s="7" t="s">
        <v>3622</v>
      </c>
      <c r="L189" s="7" t="s">
        <v>100</v>
      </c>
      <c r="M189" s="7" t="s">
        <v>94</v>
      </c>
      <c r="N189" s="7" t="s">
        <v>226</v>
      </c>
      <c r="O189" s="7" t="s">
        <v>567</v>
      </c>
      <c r="P189" s="7" t="s">
        <v>567</v>
      </c>
      <c r="Q189" s="7" t="s">
        <v>568</v>
      </c>
      <c r="R189" t="s">
        <v>3632</v>
      </c>
    </row>
    <row r="190" spans="1:20" x14ac:dyDescent="0.3">
      <c r="A190" s="7" t="str">
        <f>HYPERLINK("https://hsdes.intel.com/resource/14013157239","14013157239")</f>
        <v>14013157239</v>
      </c>
      <c r="B190" s="7" t="s">
        <v>569</v>
      </c>
      <c r="C190" s="7" t="s">
        <v>55</v>
      </c>
      <c r="D190" s="7" t="s">
        <v>3612</v>
      </c>
      <c r="E190" s="7" t="s">
        <v>3617</v>
      </c>
      <c r="F190" s="8" t="s">
        <v>3628</v>
      </c>
      <c r="H190" s="7" t="s">
        <v>3619</v>
      </c>
      <c r="I190" s="7" t="s">
        <v>3622</v>
      </c>
      <c r="L190" s="7" t="s">
        <v>30</v>
      </c>
      <c r="M190" s="7" t="s">
        <v>9</v>
      </c>
      <c r="N190" s="7" t="s">
        <v>25</v>
      </c>
      <c r="O190" s="7" t="s">
        <v>570</v>
      </c>
      <c r="P190" s="7" t="s">
        <v>571</v>
      </c>
      <c r="Q190" s="7" t="s">
        <v>572</v>
      </c>
      <c r="R190" t="s">
        <v>3632</v>
      </c>
    </row>
    <row r="191" spans="1:20" x14ac:dyDescent="0.3">
      <c r="A191" s="7" t="str">
        <f>HYPERLINK("https://hsdes.intel.com/resource/14013157256","14013157256")</f>
        <v>14013157256</v>
      </c>
      <c r="B191" s="7" t="s">
        <v>573</v>
      </c>
      <c r="C191" s="7" t="s">
        <v>29</v>
      </c>
      <c r="D191" s="7" t="s">
        <v>3612</v>
      </c>
      <c r="E191" s="7" t="s">
        <v>3617</v>
      </c>
      <c r="F191" s="8" t="s">
        <v>3628</v>
      </c>
      <c r="H191" s="7" t="s">
        <v>3619</v>
      </c>
      <c r="I191" s="7" t="s">
        <v>3643</v>
      </c>
      <c r="L191" s="7" t="s">
        <v>8</v>
      </c>
      <c r="M191" s="7" t="s">
        <v>94</v>
      </c>
      <c r="N191" s="7" t="s">
        <v>25</v>
      </c>
      <c r="O191" s="7" t="s">
        <v>378</v>
      </c>
      <c r="P191" s="7" t="s">
        <v>525</v>
      </c>
      <c r="Q191" s="7" t="s">
        <v>574</v>
      </c>
      <c r="R191" t="s">
        <v>3632</v>
      </c>
    </row>
    <row r="192" spans="1:20" x14ac:dyDescent="0.3">
      <c r="A192" s="7" t="str">
        <f>HYPERLINK("https://hsdes.intel.com/resource/14013157270","14013157270")</f>
        <v>14013157270</v>
      </c>
      <c r="B192" s="7" t="s">
        <v>575</v>
      </c>
      <c r="C192" s="7" t="s">
        <v>212</v>
      </c>
      <c r="D192" s="7" t="s">
        <v>3612</v>
      </c>
      <c r="E192" s="7" t="s">
        <v>3617</v>
      </c>
      <c r="F192" s="8" t="s">
        <v>3628</v>
      </c>
      <c r="H192" s="7" t="s">
        <v>3620</v>
      </c>
      <c r="I192" s="7" t="s">
        <v>3645</v>
      </c>
      <c r="L192" s="7" t="s">
        <v>24</v>
      </c>
      <c r="M192" s="7" t="s">
        <v>9</v>
      </c>
      <c r="N192" s="7" t="s">
        <v>39</v>
      </c>
      <c r="O192" s="7" t="s">
        <v>364</v>
      </c>
      <c r="P192" s="7" t="s">
        <v>365</v>
      </c>
      <c r="Q192" s="7" t="s">
        <v>576</v>
      </c>
      <c r="R192" t="s">
        <v>3632</v>
      </c>
      <c r="T192" s="22">
        <v>44819</v>
      </c>
    </row>
    <row r="193" spans="1:18" x14ac:dyDescent="0.3">
      <c r="A193" s="7" t="str">
        <f>HYPERLINK("https://hsdes.intel.com/resource/14013157276","14013157276")</f>
        <v>14013157276</v>
      </c>
      <c r="B193" s="7" t="s">
        <v>577</v>
      </c>
      <c r="C193" s="7" t="s">
        <v>29</v>
      </c>
      <c r="D193" s="7" t="s">
        <v>3612</v>
      </c>
      <c r="E193" s="7" t="s">
        <v>3617</v>
      </c>
      <c r="F193" s="8" t="s">
        <v>3628</v>
      </c>
      <c r="H193" s="7" t="s">
        <v>3619</v>
      </c>
      <c r="I193" s="7" t="s">
        <v>3641</v>
      </c>
      <c r="L193" s="7" t="s">
        <v>8</v>
      </c>
      <c r="M193" s="7" t="s">
        <v>94</v>
      </c>
      <c r="N193" s="7" t="s">
        <v>25</v>
      </c>
      <c r="O193" s="7" t="s">
        <v>378</v>
      </c>
      <c r="P193" s="7" t="s">
        <v>525</v>
      </c>
      <c r="Q193" s="7" t="s">
        <v>578</v>
      </c>
      <c r="R193" t="s">
        <v>3632</v>
      </c>
    </row>
    <row r="194" spans="1:18" x14ac:dyDescent="0.3">
      <c r="A194" s="7" t="str">
        <f>HYPERLINK("https://hsdes.intel.com/resource/14013157278","14013157278")</f>
        <v>14013157278</v>
      </c>
      <c r="B194" s="7" t="s">
        <v>579</v>
      </c>
      <c r="C194" s="7" t="s">
        <v>580</v>
      </c>
      <c r="D194" s="7" t="s">
        <v>3612</v>
      </c>
      <c r="E194" s="7" t="s">
        <v>3617</v>
      </c>
      <c r="F194" s="8" t="s">
        <v>3628</v>
      </c>
      <c r="H194" s="7" t="s">
        <v>3620</v>
      </c>
      <c r="I194" s="7" t="s">
        <v>3644</v>
      </c>
      <c r="L194" s="7" t="s">
        <v>8</v>
      </c>
      <c r="M194" s="7" t="s">
        <v>94</v>
      </c>
      <c r="N194" s="7" t="s">
        <v>39</v>
      </c>
      <c r="O194" s="7" t="s">
        <v>528</v>
      </c>
      <c r="P194" s="7" t="s">
        <v>581</v>
      </c>
      <c r="Q194" s="7" t="s">
        <v>582</v>
      </c>
      <c r="R194" t="s">
        <v>3632</v>
      </c>
    </row>
    <row r="195" spans="1:18" x14ac:dyDescent="0.3">
      <c r="A195" s="7" t="str">
        <f>HYPERLINK("https://hsdes.intel.com/resource/14013157287","14013157287")</f>
        <v>14013157287</v>
      </c>
      <c r="B195" s="7" t="s">
        <v>539</v>
      </c>
      <c r="C195" s="7" t="s">
        <v>55</v>
      </c>
      <c r="D195" s="7" t="s">
        <v>3612</v>
      </c>
      <c r="E195" s="7" t="s">
        <v>3617</v>
      </c>
      <c r="F195" s="8" t="s">
        <v>3628</v>
      </c>
      <c r="H195" s="16" t="s">
        <v>3619</v>
      </c>
      <c r="I195" s="7" t="s">
        <v>3622</v>
      </c>
      <c r="L195" s="7" t="s">
        <v>30</v>
      </c>
      <c r="M195" s="7" t="s">
        <v>9</v>
      </c>
      <c r="N195" s="7" t="s">
        <v>25</v>
      </c>
      <c r="O195" s="7" t="s">
        <v>411</v>
      </c>
      <c r="P195" s="7" t="s">
        <v>583</v>
      </c>
      <c r="Q195" s="7" t="s">
        <v>584</v>
      </c>
      <c r="R195" t="s">
        <v>3632</v>
      </c>
    </row>
    <row r="196" spans="1:18" x14ac:dyDescent="0.3">
      <c r="A196" s="7" t="str">
        <f>HYPERLINK("https://hsdes.intel.com/resource/14013157290","14013157290")</f>
        <v>14013157290</v>
      </c>
      <c r="B196" s="7" t="s">
        <v>585</v>
      </c>
      <c r="C196" s="7" t="s">
        <v>29</v>
      </c>
      <c r="D196" s="7" t="s">
        <v>3612</v>
      </c>
      <c r="E196" s="7" t="s">
        <v>3617</v>
      </c>
      <c r="F196" s="8" t="s">
        <v>3628</v>
      </c>
      <c r="H196" s="7" t="s">
        <v>3619</v>
      </c>
      <c r="I196" s="7" t="s">
        <v>3641</v>
      </c>
      <c r="L196" s="7" t="s">
        <v>8</v>
      </c>
      <c r="M196" s="7" t="s">
        <v>94</v>
      </c>
      <c r="N196" s="7" t="s">
        <v>25</v>
      </c>
      <c r="O196" s="7" t="s">
        <v>586</v>
      </c>
      <c r="P196" s="7" t="s">
        <v>587</v>
      </c>
      <c r="Q196" s="7" t="s">
        <v>588</v>
      </c>
      <c r="R196" t="s">
        <v>3632</v>
      </c>
    </row>
    <row r="197" spans="1:18" x14ac:dyDescent="0.3">
      <c r="A197" s="7" t="str">
        <f>HYPERLINK("https://hsdes.intel.com/resource/14013157294","14013157294")</f>
        <v>14013157294</v>
      </c>
      <c r="B197" s="7" t="s">
        <v>589</v>
      </c>
      <c r="C197" s="7" t="s">
        <v>23</v>
      </c>
      <c r="D197" s="7" t="s">
        <v>3612</v>
      </c>
      <c r="E197" s="7" t="s">
        <v>3617</v>
      </c>
      <c r="F197" s="8" t="s">
        <v>3628</v>
      </c>
      <c r="H197" s="7" t="s">
        <v>3619</v>
      </c>
      <c r="I197" s="7" t="s">
        <v>3624</v>
      </c>
      <c r="J197" s="7" t="s">
        <v>3652</v>
      </c>
      <c r="L197" s="7" t="s">
        <v>24</v>
      </c>
      <c r="M197" s="7" t="s">
        <v>94</v>
      </c>
      <c r="N197" s="7" t="s">
        <v>25</v>
      </c>
      <c r="O197" s="7" t="s">
        <v>26</v>
      </c>
      <c r="P197" s="7" t="s">
        <v>26</v>
      </c>
      <c r="Q197" s="7" t="s">
        <v>590</v>
      </c>
      <c r="R197" t="s">
        <v>3632</v>
      </c>
    </row>
    <row r="198" spans="1:18" x14ac:dyDescent="0.3">
      <c r="A198" s="7" t="str">
        <f>HYPERLINK("https://hsdes.intel.com/resource/14013157299","14013157299")</f>
        <v>14013157299</v>
      </c>
      <c r="B198" s="7" t="s">
        <v>591</v>
      </c>
      <c r="C198" s="7" t="s">
        <v>23</v>
      </c>
      <c r="D198" s="7" t="s">
        <v>3612</v>
      </c>
      <c r="E198" s="7" t="s">
        <v>3617</v>
      </c>
      <c r="F198" s="8" t="s">
        <v>3628</v>
      </c>
      <c r="H198" s="7" t="s">
        <v>3620</v>
      </c>
      <c r="I198" s="7" t="s">
        <v>3624</v>
      </c>
      <c r="L198" s="7" t="s">
        <v>24</v>
      </c>
      <c r="M198" s="7" t="s">
        <v>94</v>
      </c>
      <c r="N198" s="7" t="s">
        <v>25</v>
      </c>
      <c r="O198" s="7" t="s">
        <v>26</v>
      </c>
      <c r="P198" s="7" t="s">
        <v>26</v>
      </c>
      <c r="Q198" s="7" t="s">
        <v>592</v>
      </c>
      <c r="R198" t="s">
        <v>3632</v>
      </c>
    </row>
    <row r="199" spans="1:18" x14ac:dyDescent="0.3">
      <c r="A199" s="7" t="str">
        <f>HYPERLINK("https://hsdes.intel.com/resource/14013157301","14013157301")</f>
        <v>14013157301</v>
      </c>
      <c r="B199" s="7" t="s">
        <v>593</v>
      </c>
      <c r="C199" s="7" t="s">
        <v>55</v>
      </c>
      <c r="D199" s="7" t="s">
        <v>3612</v>
      </c>
      <c r="E199" s="7" t="s">
        <v>3617</v>
      </c>
      <c r="F199" s="8" t="s">
        <v>3628</v>
      </c>
      <c r="H199" s="7" t="s">
        <v>3620</v>
      </c>
      <c r="I199" s="7" t="s">
        <v>3622</v>
      </c>
      <c r="L199" s="7" t="s">
        <v>30</v>
      </c>
      <c r="M199" s="7" t="s">
        <v>9</v>
      </c>
      <c r="N199" s="7" t="s">
        <v>39</v>
      </c>
      <c r="O199" s="7" t="s">
        <v>594</v>
      </c>
      <c r="P199" s="7" t="s">
        <v>594</v>
      </c>
      <c r="Q199" s="7" t="s">
        <v>595</v>
      </c>
      <c r="R199" t="s">
        <v>3632</v>
      </c>
    </row>
    <row r="200" spans="1:18" x14ac:dyDescent="0.3">
      <c r="A200" s="7" t="str">
        <f>HYPERLINK("https://hsdes.intel.com/resource/14013157313","14013157313")</f>
        <v>14013157313</v>
      </c>
      <c r="B200" s="7" t="s">
        <v>596</v>
      </c>
      <c r="C200" s="7" t="s">
        <v>55</v>
      </c>
      <c r="D200" s="7" t="s">
        <v>3612</v>
      </c>
      <c r="E200" s="7" t="s">
        <v>3617</v>
      </c>
      <c r="F200" s="8" t="s">
        <v>3628</v>
      </c>
      <c r="H200" s="7" t="s">
        <v>3619</v>
      </c>
      <c r="I200" s="7" t="s">
        <v>3622</v>
      </c>
      <c r="L200" s="7" t="s">
        <v>30</v>
      </c>
      <c r="M200" s="7" t="s">
        <v>9</v>
      </c>
      <c r="N200" s="7" t="s">
        <v>25</v>
      </c>
      <c r="O200" s="7" t="s">
        <v>411</v>
      </c>
      <c r="P200" s="7" t="s">
        <v>411</v>
      </c>
      <c r="Q200" s="7" t="s">
        <v>597</v>
      </c>
      <c r="R200" t="s">
        <v>3632</v>
      </c>
    </row>
    <row r="201" spans="1:18" x14ac:dyDescent="0.3">
      <c r="A201" s="7" t="str">
        <f>HYPERLINK("https://hsdes.intel.com/resource/14013157315","14013157315")</f>
        <v>14013157315</v>
      </c>
      <c r="B201" s="7" t="s">
        <v>598</v>
      </c>
      <c r="C201" s="7" t="s">
        <v>55</v>
      </c>
      <c r="D201" s="7" t="s">
        <v>3612</v>
      </c>
      <c r="E201" s="7" t="s">
        <v>3617</v>
      </c>
      <c r="F201" s="8" t="s">
        <v>3628</v>
      </c>
      <c r="H201" s="16" t="s">
        <v>3619</v>
      </c>
      <c r="I201" s="7" t="s">
        <v>3622</v>
      </c>
      <c r="L201" s="7" t="s">
        <v>30</v>
      </c>
      <c r="M201" s="7" t="s">
        <v>9</v>
      </c>
      <c r="N201" s="7" t="s">
        <v>39</v>
      </c>
      <c r="O201" s="7" t="s">
        <v>411</v>
      </c>
      <c r="P201" s="7" t="s">
        <v>411</v>
      </c>
      <c r="Q201" s="7" t="s">
        <v>599</v>
      </c>
      <c r="R201" t="s">
        <v>3632</v>
      </c>
    </row>
    <row r="202" spans="1:18" x14ac:dyDescent="0.3">
      <c r="A202" s="7" t="str">
        <f>HYPERLINK("https://hsdes.intel.com/resource/14013157319","14013157319")</f>
        <v>14013157319</v>
      </c>
      <c r="B202" s="7" t="s">
        <v>600</v>
      </c>
      <c r="C202" s="7" t="s">
        <v>55</v>
      </c>
      <c r="D202" s="7" t="s">
        <v>3612</v>
      </c>
      <c r="E202" s="7" t="s">
        <v>3617</v>
      </c>
      <c r="F202" s="8" t="s">
        <v>3628</v>
      </c>
      <c r="H202" s="7" t="s">
        <v>3619</v>
      </c>
      <c r="I202" s="7" t="s">
        <v>3622</v>
      </c>
      <c r="L202" s="7" t="s">
        <v>30</v>
      </c>
      <c r="M202" s="7" t="s">
        <v>9</v>
      </c>
      <c r="N202" s="7" t="s">
        <v>39</v>
      </c>
      <c r="O202" s="7" t="s">
        <v>286</v>
      </c>
      <c r="P202" s="7" t="s">
        <v>286</v>
      </c>
      <c r="Q202" s="7" t="s">
        <v>601</v>
      </c>
      <c r="R202" t="s">
        <v>3632</v>
      </c>
    </row>
    <row r="203" spans="1:18" x14ac:dyDescent="0.3">
      <c r="A203" s="7" t="str">
        <f>HYPERLINK("https://hsdes.intel.com/resource/14013157332","14013157332")</f>
        <v>14013157332</v>
      </c>
      <c r="B203" s="7" t="s">
        <v>602</v>
      </c>
      <c r="C203" s="7" t="s">
        <v>55</v>
      </c>
      <c r="D203" s="7" t="s">
        <v>3612</v>
      </c>
      <c r="E203" s="7" t="s">
        <v>3617</v>
      </c>
      <c r="F203" s="8" t="s">
        <v>3628</v>
      </c>
      <c r="H203" s="7" t="s">
        <v>3619</v>
      </c>
      <c r="I203" s="7" t="s">
        <v>3622</v>
      </c>
      <c r="L203" s="7" t="s">
        <v>30</v>
      </c>
      <c r="M203" s="7" t="s">
        <v>9</v>
      </c>
      <c r="N203" s="7" t="s">
        <v>25</v>
      </c>
      <c r="O203" s="7" t="s">
        <v>286</v>
      </c>
      <c r="P203" s="7" t="s">
        <v>286</v>
      </c>
      <c r="Q203" s="7" t="s">
        <v>603</v>
      </c>
      <c r="R203" t="s">
        <v>3632</v>
      </c>
    </row>
    <row r="204" spans="1:18" x14ac:dyDescent="0.3">
      <c r="A204" s="7" t="str">
        <f>HYPERLINK("https://hsdes.intel.com/resource/14013157335","14013157335")</f>
        <v>14013157335</v>
      </c>
      <c r="B204" s="7" t="s">
        <v>604</v>
      </c>
      <c r="C204" s="7" t="s">
        <v>29</v>
      </c>
      <c r="D204" s="7" t="s">
        <v>3612</v>
      </c>
      <c r="E204" s="7" t="s">
        <v>3617</v>
      </c>
      <c r="F204" s="8" t="s">
        <v>3628</v>
      </c>
      <c r="H204" s="7" t="s">
        <v>3619</v>
      </c>
      <c r="I204" s="7" t="s">
        <v>3524</v>
      </c>
      <c r="L204" s="7" t="s">
        <v>8</v>
      </c>
      <c r="M204" s="7" t="s">
        <v>94</v>
      </c>
      <c r="N204" s="7" t="s">
        <v>25</v>
      </c>
      <c r="O204" s="7" t="s">
        <v>528</v>
      </c>
      <c r="P204" s="7" t="s">
        <v>525</v>
      </c>
      <c r="Q204" s="7" t="s">
        <v>605</v>
      </c>
      <c r="R204" t="s">
        <v>3632</v>
      </c>
    </row>
    <row r="205" spans="1:18" x14ac:dyDescent="0.3">
      <c r="A205" s="7" t="str">
        <f>HYPERLINK("https://hsdes.intel.com/resource/14013157343","14013157343")</f>
        <v>14013157343</v>
      </c>
      <c r="B205" s="7" t="s">
        <v>606</v>
      </c>
      <c r="C205" s="7" t="s">
        <v>55</v>
      </c>
      <c r="D205" s="7" t="s">
        <v>3612</v>
      </c>
      <c r="E205" s="7" t="s">
        <v>3617</v>
      </c>
      <c r="F205" s="8" t="s">
        <v>3628</v>
      </c>
      <c r="H205" s="7" t="s">
        <v>3619</v>
      </c>
      <c r="I205" s="7" t="s">
        <v>3622</v>
      </c>
      <c r="L205" s="7" t="s">
        <v>30</v>
      </c>
      <c r="M205" s="7" t="s">
        <v>9</v>
      </c>
      <c r="N205" s="7" t="s">
        <v>25</v>
      </c>
      <c r="O205" s="7" t="s">
        <v>48</v>
      </c>
      <c r="P205" s="7" t="s">
        <v>48</v>
      </c>
      <c r="Q205" s="7" t="s">
        <v>607</v>
      </c>
      <c r="R205" t="s">
        <v>3632</v>
      </c>
    </row>
    <row r="206" spans="1:18" x14ac:dyDescent="0.3">
      <c r="A206" s="7" t="str">
        <f>HYPERLINK("https://hsdes.intel.com/resource/14013157345","14013157345")</f>
        <v>14013157345</v>
      </c>
      <c r="B206" s="7" t="s">
        <v>608</v>
      </c>
      <c r="C206" s="7" t="s">
        <v>55</v>
      </c>
      <c r="D206" s="7" t="s">
        <v>3612</v>
      </c>
      <c r="E206" s="7" t="s">
        <v>3617</v>
      </c>
      <c r="F206" s="8" t="s">
        <v>3628</v>
      </c>
      <c r="H206" s="7" t="s">
        <v>3620</v>
      </c>
      <c r="I206" s="7" t="s">
        <v>3654</v>
      </c>
      <c r="J206" s="7" t="s">
        <v>3526</v>
      </c>
      <c r="L206" s="7" t="s">
        <v>30</v>
      </c>
      <c r="M206" s="7" t="s">
        <v>9</v>
      </c>
      <c r="N206" s="7" t="s">
        <v>39</v>
      </c>
      <c r="O206" s="7" t="s">
        <v>26</v>
      </c>
      <c r="P206" s="7" t="s">
        <v>26</v>
      </c>
      <c r="Q206" s="7" t="s">
        <v>609</v>
      </c>
      <c r="R206" t="s">
        <v>3632</v>
      </c>
    </row>
    <row r="207" spans="1:18" x14ac:dyDescent="0.3">
      <c r="A207" s="7" t="str">
        <f>HYPERLINK("https://hsdes.intel.com/resource/14013157347","14013157347")</f>
        <v>14013157347</v>
      </c>
      <c r="B207" s="7" t="s">
        <v>610</v>
      </c>
      <c r="C207" s="7" t="s">
        <v>55</v>
      </c>
      <c r="D207" s="7" t="s">
        <v>3612</v>
      </c>
      <c r="E207" s="7" t="s">
        <v>3617</v>
      </c>
      <c r="F207" s="8" t="s">
        <v>3628</v>
      </c>
      <c r="H207" s="7" t="s">
        <v>3619</v>
      </c>
      <c r="I207" s="7" t="s">
        <v>3622</v>
      </c>
      <c r="L207" s="7" t="s">
        <v>30</v>
      </c>
      <c r="M207" s="7" t="s">
        <v>9</v>
      </c>
      <c r="N207" s="7" t="s">
        <v>25</v>
      </c>
      <c r="O207" s="7" t="s">
        <v>611</v>
      </c>
      <c r="P207" s="7" t="s">
        <v>611</v>
      </c>
      <c r="Q207" s="7" t="s">
        <v>612</v>
      </c>
      <c r="R207" t="s">
        <v>3632</v>
      </c>
    </row>
    <row r="208" spans="1:18" x14ac:dyDescent="0.3">
      <c r="A208" s="7" t="str">
        <f>HYPERLINK("https://hsdes.intel.com/resource/14013157360","14013157360")</f>
        <v>14013157360</v>
      </c>
      <c r="B208" s="7" t="s">
        <v>613</v>
      </c>
      <c r="C208" s="7" t="s">
        <v>55</v>
      </c>
      <c r="D208" s="7" t="s">
        <v>3612</v>
      </c>
      <c r="E208" s="7" t="s">
        <v>3617</v>
      </c>
      <c r="F208" s="8" t="s">
        <v>3628</v>
      </c>
      <c r="H208" s="7" t="s">
        <v>3619</v>
      </c>
      <c r="I208" s="7" t="s">
        <v>3622</v>
      </c>
      <c r="L208" s="7" t="s">
        <v>30</v>
      </c>
      <c r="M208" s="7" t="s">
        <v>94</v>
      </c>
      <c r="N208" s="7" t="s">
        <v>25</v>
      </c>
      <c r="O208" s="7" t="s">
        <v>45</v>
      </c>
      <c r="P208" s="7" t="s">
        <v>45</v>
      </c>
      <c r="Q208" s="7" t="s">
        <v>614</v>
      </c>
      <c r="R208" t="s">
        <v>3632</v>
      </c>
    </row>
    <row r="209" spans="1:18" x14ac:dyDescent="0.3">
      <c r="A209" s="7" t="str">
        <f>HYPERLINK("https://hsdes.intel.com/resource/14013157372","14013157372")</f>
        <v>14013157372</v>
      </c>
      <c r="B209" s="7" t="s">
        <v>615</v>
      </c>
      <c r="C209" s="7" t="s">
        <v>55</v>
      </c>
      <c r="D209" s="7" t="s">
        <v>3612</v>
      </c>
      <c r="E209" s="7" t="s">
        <v>3617</v>
      </c>
      <c r="F209" s="8" t="s">
        <v>3628</v>
      </c>
      <c r="H209" s="7" t="s">
        <v>3619</v>
      </c>
      <c r="I209" s="7" t="s">
        <v>3622</v>
      </c>
      <c r="L209" s="7" t="s">
        <v>30</v>
      </c>
      <c r="M209" s="7" t="s">
        <v>9</v>
      </c>
      <c r="N209" s="7" t="s">
        <v>25</v>
      </c>
      <c r="O209" s="7" t="s">
        <v>286</v>
      </c>
      <c r="P209" s="7" t="s">
        <v>286</v>
      </c>
      <c r="Q209" s="7" t="s">
        <v>616</v>
      </c>
      <c r="R209" t="s">
        <v>3632</v>
      </c>
    </row>
    <row r="210" spans="1:18" x14ac:dyDescent="0.3">
      <c r="A210" s="7" t="str">
        <f>HYPERLINK("https://hsdes.intel.com/resource/14013157378","14013157378")</f>
        <v>14013157378</v>
      </c>
      <c r="B210" s="7" t="s">
        <v>617</v>
      </c>
      <c r="C210" s="7" t="s">
        <v>55</v>
      </c>
      <c r="D210" s="7" t="s">
        <v>3612</v>
      </c>
      <c r="E210" s="7" t="s">
        <v>3617</v>
      </c>
      <c r="F210" s="8" t="s">
        <v>3628</v>
      </c>
      <c r="H210" s="7" t="s">
        <v>3618</v>
      </c>
      <c r="J210" s="7" t="s">
        <v>3565</v>
      </c>
      <c r="L210" s="7" t="s">
        <v>30</v>
      </c>
      <c r="M210" s="7" t="s">
        <v>94</v>
      </c>
      <c r="N210" s="7" t="s">
        <v>25</v>
      </c>
      <c r="O210" s="7" t="s">
        <v>618</v>
      </c>
      <c r="P210" s="7" t="s">
        <v>619</v>
      </c>
      <c r="Q210" s="7" t="s">
        <v>620</v>
      </c>
      <c r="R210" t="s">
        <v>3632</v>
      </c>
    </row>
    <row r="211" spans="1:18" x14ac:dyDescent="0.3">
      <c r="A211" s="7" t="str">
        <f>HYPERLINK("https://hsdes.intel.com/resource/14013157437","14013157437")</f>
        <v>14013157437</v>
      </c>
      <c r="B211" s="7" t="s">
        <v>621</v>
      </c>
      <c r="C211" s="7" t="s">
        <v>55</v>
      </c>
      <c r="D211" s="7" t="s">
        <v>3612</v>
      </c>
      <c r="E211" s="7" t="s">
        <v>3617</v>
      </c>
      <c r="F211" s="8" t="s">
        <v>3628</v>
      </c>
      <c r="H211" s="7" t="s">
        <v>3619</v>
      </c>
      <c r="I211" s="7" t="s">
        <v>3622</v>
      </c>
      <c r="L211" s="7" t="s">
        <v>30</v>
      </c>
      <c r="M211" s="7" t="s">
        <v>9</v>
      </c>
      <c r="N211" s="7" t="s">
        <v>39</v>
      </c>
      <c r="O211" s="7" t="s">
        <v>286</v>
      </c>
      <c r="P211" s="7" t="s">
        <v>286</v>
      </c>
      <c r="Q211" s="7" t="s">
        <v>622</v>
      </c>
      <c r="R211" t="s">
        <v>3632</v>
      </c>
    </row>
    <row r="212" spans="1:18" x14ac:dyDescent="0.3">
      <c r="A212" s="7" t="str">
        <f>HYPERLINK("https://hsdes.intel.com/resource/14013157449","14013157449")</f>
        <v>14013157449</v>
      </c>
      <c r="B212" s="7" t="s">
        <v>623</v>
      </c>
      <c r="C212" s="7" t="s">
        <v>29</v>
      </c>
      <c r="D212" s="7" t="s">
        <v>3612</v>
      </c>
      <c r="E212" s="7" t="s">
        <v>3617</v>
      </c>
      <c r="F212" s="8" t="s">
        <v>3628</v>
      </c>
      <c r="H212" s="7" t="s">
        <v>3619</v>
      </c>
      <c r="I212" s="7" t="s">
        <v>3524</v>
      </c>
      <c r="L212" s="7" t="s">
        <v>8</v>
      </c>
      <c r="M212" s="7" t="s">
        <v>94</v>
      </c>
      <c r="N212" s="7" t="s">
        <v>39</v>
      </c>
      <c r="O212" s="7" t="s">
        <v>528</v>
      </c>
      <c r="P212" s="7" t="s">
        <v>525</v>
      </c>
      <c r="Q212" s="7" t="s">
        <v>624</v>
      </c>
      <c r="R212" t="s">
        <v>3631</v>
      </c>
    </row>
    <row r="213" spans="1:18" x14ac:dyDescent="0.3">
      <c r="A213" s="7" t="str">
        <f>HYPERLINK("https://hsdes.intel.com/resource/14013157450","14013157450")</f>
        <v>14013157450</v>
      </c>
      <c r="B213" s="7" t="s">
        <v>625</v>
      </c>
      <c r="C213" s="7" t="s">
        <v>29</v>
      </c>
      <c r="D213" s="7" t="s">
        <v>3612</v>
      </c>
      <c r="E213" s="7" t="s">
        <v>3617</v>
      </c>
      <c r="F213" s="8" t="s">
        <v>3628</v>
      </c>
      <c r="H213" s="7" t="s">
        <v>3619</v>
      </c>
      <c r="I213" s="7" t="s">
        <v>3524</v>
      </c>
      <c r="L213" s="7" t="s">
        <v>8</v>
      </c>
      <c r="M213" s="7" t="s">
        <v>94</v>
      </c>
      <c r="N213" s="7" t="s">
        <v>39</v>
      </c>
      <c r="O213" s="7" t="s">
        <v>528</v>
      </c>
      <c r="P213" s="7" t="s">
        <v>525</v>
      </c>
      <c r="Q213" s="7" t="s">
        <v>626</v>
      </c>
      <c r="R213" t="s">
        <v>3631</v>
      </c>
    </row>
    <row r="214" spans="1:18" x14ac:dyDescent="0.3">
      <c r="A214" s="7" t="str">
        <f>HYPERLINK("https://hsdes.intel.com/resource/14013157452","14013157452")</f>
        <v>14013157452</v>
      </c>
      <c r="B214" s="7" t="s">
        <v>627</v>
      </c>
      <c r="C214" s="7" t="s">
        <v>29</v>
      </c>
      <c r="D214" s="7" t="s">
        <v>3612</v>
      </c>
      <c r="E214" s="7" t="s">
        <v>3617</v>
      </c>
      <c r="F214" s="8" t="s">
        <v>3628</v>
      </c>
      <c r="H214" s="7" t="s">
        <v>3618</v>
      </c>
      <c r="J214" s="7" t="s">
        <v>3573</v>
      </c>
      <c r="L214" s="7" t="s">
        <v>8</v>
      </c>
      <c r="M214" s="7" t="s">
        <v>9</v>
      </c>
      <c r="N214" s="7" t="s">
        <v>39</v>
      </c>
      <c r="O214" s="7" t="s">
        <v>528</v>
      </c>
      <c r="P214" s="7" t="s">
        <v>525</v>
      </c>
      <c r="Q214" s="7" t="s">
        <v>628</v>
      </c>
      <c r="R214" t="s">
        <v>3631</v>
      </c>
    </row>
    <row r="215" spans="1:18" x14ac:dyDescent="0.3">
      <c r="A215" s="7" t="str">
        <f>HYPERLINK("https://hsdes.intel.com/resource/14013157454","14013157454")</f>
        <v>14013157454</v>
      </c>
      <c r="B215" s="7" t="s">
        <v>629</v>
      </c>
      <c r="C215" s="7" t="s">
        <v>29</v>
      </c>
      <c r="D215" s="7" t="s">
        <v>3612</v>
      </c>
      <c r="E215" s="7" t="s">
        <v>3617</v>
      </c>
      <c r="F215" s="8" t="s">
        <v>3628</v>
      </c>
      <c r="H215" s="7" t="s">
        <v>3619</v>
      </c>
      <c r="I215" s="7" t="s">
        <v>3641</v>
      </c>
      <c r="L215" s="7" t="s">
        <v>8</v>
      </c>
      <c r="M215" s="7" t="s">
        <v>94</v>
      </c>
      <c r="N215" s="7" t="s">
        <v>25</v>
      </c>
      <c r="O215" s="7" t="s">
        <v>378</v>
      </c>
      <c r="P215" s="7" t="s">
        <v>394</v>
      </c>
      <c r="Q215" s="7" t="s">
        <v>630</v>
      </c>
      <c r="R215" t="s">
        <v>3632</v>
      </c>
    </row>
    <row r="216" spans="1:18" x14ac:dyDescent="0.3">
      <c r="A216" s="7" t="str">
        <f>HYPERLINK("https://hsdes.intel.com/resource/14013157474","14013157474")</f>
        <v>14013157474</v>
      </c>
      <c r="B216" s="7" t="s">
        <v>631</v>
      </c>
      <c r="C216" s="7" t="s">
        <v>55</v>
      </c>
      <c r="D216" s="7" t="s">
        <v>3613</v>
      </c>
      <c r="E216" s="7" t="s">
        <v>3617</v>
      </c>
      <c r="F216" s="8" t="s">
        <v>3628</v>
      </c>
      <c r="H216" s="7" t="s">
        <v>3619</v>
      </c>
      <c r="I216" s="7" t="s">
        <v>3622</v>
      </c>
      <c r="L216" s="7" t="s">
        <v>30</v>
      </c>
      <c r="M216" s="7" t="s">
        <v>9</v>
      </c>
      <c r="N216" s="7" t="s">
        <v>25</v>
      </c>
      <c r="O216" s="7" t="s">
        <v>632</v>
      </c>
      <c r="P216" s="7" t="s">
        <v>633</v>
      </c>
      <c r="Q216" s="7" t="s">
        <v>634</v>
      </c>
      <c r="R216" t="s">
        <v>3632</v>
      </c>
    </row>
    <row r="217" spans="1:18" x14ac:dyDescent="0.3">
      <c r="A217" s="7" t="str">
        <f>HYPERLINK("https://hsdes.intel.com/resource/14013157476","14013157476")</f>
        <v>14013157476</v>
      </c>
      <c r="B217" s="7" t="s">
        <v>635</v>
      </c>
      <c r="C217" s="7" t="s">
        <v>55</v>
      </c>
      <c r="D217" s="7" t="s">
        <v>3613</v>
      </c>
      <c r="E217" s="7" t="s">
        <v>3617</v>
      </c>
      <c r="F217" s="8" t="s">
        <v>3628</v>
      </c>
      <c r="H217" s="7" t="s">
        <v>3619</v>
      </c>
      <c r="I217" s="7" t="s">
        <v>3622</v>
      </c>
      <c r="L217" s="7" t="s">
        <v>30</v>
      </c>
      <c r="M217" s="7" t="s">
        <v>9</v>
      </c>
      <c r="N217" s="7" t="s">
        <v>25</v>
      </c>
      <c r="O217" s="7" t="s">
        <v>636</v>
      </c>
      <c r="P217" s="7" t="s">
        <v>636</v>
      </c>
      <c r="Q217" s="7" t="s">
        <v>637</v>
      </c>
      <c r="R217" t="s">
        <v>3632</v>
      </c>
    </row>
    <row r="218" spans="1:18" x14ac:dyDescent="0.3">
      <c r="A218" s="7" t="str">
        <f>HYPERLINK("https://hsdes.intel.com/resource/14013157506","14013157506")</f>
        <v>14013157506</v>
      </c>
      <c r="B218" s="7" t="s">
        <v>638</v>
      </c>
      <c r="C218" s="7" t="s">
        <v>55</v>
      </c>
      <c r="D218" s="7" t="s">
        <v>3612</v>
      </c>
      <c r="E218" s="7" t="s">
        <v>3617</v>
      </c>
      <c r="F218" s="8" t="s">
        <v>3628</v>
      </c>
      <c r="H218" s="7" t="s">
        <v>3618</v>
      </c>
      <c r="J218" s="7" t="s">
        <v>3530</v>
      </c>
      <c r="L218" s="7" t="s">
        <v>30</v>
      </c>
      <c r="M218" s="7" t="s">
        <v>9</v>
      </c>
      <c r="N218" s="7" t="s">
        <v>25</v>
      </c>
      <c r="O218" s="7" t="s">
        <v>639</v>
      </c>
      <c r="P218" s="7" t="s">
        <v>639</v>
      </c>
      <c r="Q218" s="7" t="s">
        <v>640</v>
      </c>
      <c r="R218" t="s">
        <v>3632</v>
      </c>
    </row>
    <row r="219" spans="1:18" x14ac:dyDescent="0.3">
      <c r="A219" s="7" t="str">
        <f>HYPERLINK("https://hsdes.intel.com/resource/14013157514","14013157514")</f>
        <v>14013157514</v>
      </c>
      <c r="B219" s="7" t="s">
        <v>641</v>
      </c>
      <c r="C219" s="7" t="s">
        <v>55</v>
      </c>
      <c r="D219" s="7" t="s">
        <v>3612</v>
      </c>
      <c r="E219" s="7" t="s">
        <v>3617</v>
      </c>
      <c r="F219" s="8" t="s">
        <v>3628</v>
      </c>
      <c r="H219" s="7" t="s">
        <v>3619</v>
      </c>
      <c r="I219" s="7" t="s">
        <v>3622</v>
      </c>
      <c r="L219" s="7" t="s">
        <v>30</v>
      </c>
      <c r="M219" s="7" t="s">
        <v>9</v>
      </c>
      <c r="N219" s="7" t="s">
        <v>25</v>
      </c>
      <c r="O219" s="7" t="s">
        <v>639</v>
      </c>
      <c r="P219" s="7" t="s">
        <v>639</v>
      </c>
      <c r="Q219" s="7" t="s">
        <v>642</v>
      </c>
      <c r="R219" t="s">
        <v>3632</v>
      </c>
    </row>
    <row r="220" spans="1:18" x14ac:dyDescent="0.3">
      <c r="A220" s="7" t="str">
        <f>HYPERLINK("https://hsdes.intel.com/resource/14013157520","14013157520")</f>
        <v>14013157520</v>
      </c>
      <c r="B220" s="7" t="s">
        <v>643</v>
      </c>
      <c r="C220" s="7" t="s">
        <v>55</v>
      </c>
      <c r="D220" s="7" t="s">
        <v>3612</v>
      </c>
      <c r="E220" s="7" t="s">
        <v>3617</v>
      </c>
      <c r="F220" s="8" t="s">
        <v>3628</v>
      </c>
      <c r="H220" s="7" t="s">
        <v>3620</v>
      </c>
      <c r="I220" s="7" t="s">
        <v>3622</v>
      </c>
      <c r="L220" s="7" t="s">
        <v>30</v>
      </c>
      <c r="M220" s="7" t="s">
        <v>9</v>
      </c>
      <c r="N220" s="7" t="s">
        <v>25</v>
      </c>
      <c r="O220" s="7" t="s">
        <v>644</v>
      </c>
      <c r="P220" s="7" t="s">
        <v>644</v>
      </c>
      <c r="Q220" s="7" t="s">
        <v>645</v>
      </c>
      <c r="R220" t="s">
        <v>3632</v>
      </c>
    </row>
    <row r="221" spans="1:18" x14ac:dyDescent="0.3">
      <c r="A221" s="7" t="str">
        <f>HYPERLINK("https://hsdes.intel.com/resource/14013157529","14013157529")</f>
        <v>14013157529</v>
      </c>
      <c r="B221" s="7" t="s">
        <v>646</v>
      </c>
      <c r="C221" s="7" t="s">
        <v>55</v>
      </c>
      <c r="D221" s="7" t="s">
        <v>3612</v>
      </c>
      <c r="E221" s="7" t="s">
        <v>3617</v>
      </c>
      <c r="F221" s="8" t="s">
        <v>3628</v>
      </c>
      <c r="H221" s="7" t="s">
        <v>3620</v>
      </c>
      <c r="I221" s="7" t="s">
        <v>3622</v>
      </c>
      <c r="L221" s="7" t="s">
        <v>30</v>
      </c>
      <c r="M221" s="7" t="s">
        <v>9</v>
      </c>
      <c r="N221" s="7" t="s">
        <v>226</v>
      </c>
      <c r="O221" s="7" t="s">
        <v>639</v>
      </c>
      <c r="P221" s="7" t="s">
        <v>639</v>
      </c>
      <c r="Q221" s="7" t="s">
        <v>647</v>
      </c>
      <c r="R221" t="s">
        <v>3632</v>
      </c>
    </row>
    <row r="222" spans="1:18" x14ac:dyDescent="0.3">
      <c r="A222" s="7" t="str">
        <f>HYPERLINK("https://hsdes.intel.com/resource/14013157531","14013157531")</f>
        <v>14013157531</v>
      </c>
      <c r="B222" s="7" t="s">
        <v>648</v>
      </c>
      <c r="C222" s="7" t="s">
        <v>55</v>
      </c>
      <c r="D222" s="7" t="s">
        <v>3612</v>
      </c>
      <c r="E222" s="7" t="s">
        <v>3617</v>
      </c>
      <c r="F222" s="8" t="s">
        <v>3628</v>
      </c>
      <c r="H222" s="7" t="s">
        <v>3620</v>
      </c>
      <c r="I222" s="7" t="s">
        <v>3622</v>
      </c>
      <c r="L222" s="7" t="s">
        <v>30</v>
      </c>
      <c r="M222" s="7" t="s">
        <v>9</v>
      </c>
      <c r="N222" s="7" t="s">
        <v>39</v>
      </c>
      <c r="O222" s="7" t="s">
        <v>639</v>
      </c>
      <c r="P222" s="7" t="s">
        <v>639</v>
      </c>
      <c r="Q222" s="7" t="s">
        <v>649</v>
      </c>
      <c r="R222" t="s">
        <v>3632</v>
      </c>
    </row>
    <row r="223" spans="1:18" x14ac:dyDescent="0.3">
      <c r="A223" s="7" t="str">
        <f>HYPERLINK("https://hsdes.intel.com/resource/14013157558","14013157558")</f>
        <v>14013157558</v>
      </c>
      <c r="B223" s="7" t="s">
        <v>650</v>
      </c>
      <c r="C223" s="7" t="s">
        <v>580</v>
      </c>
      <c r="D223" s="7" t="s">
        <v>3612</v>
      </c>
      <c r="E223" s="7" t="s">
        <v>3617</v>
      </c>
      <c r="F223" s="8" t="s">
        <v>3628</v>
      </c>
      <c r="H223" s="7" t="s">
        <v>3618</v>
      </c>
      <c r="J223" s="7" t="s">
        <v>3530</v>
      </c>
      <c r="L223" s="7" t="s">
        <v>8</v>
      </c>
      <c r="M223" s="7" t="s">
        <v>94</v>
      </c>
      <c r="N223" s="7" t="s">
        <v>39</v>
      </c>
      <c r="O223" s="7" t="s">
        <v>528</v>
      </c>
      <c r="P223" s="7" t="s">
        <v>581</v>
      </c>
      <c r="Q223" s="7" t="s">
        <v>651</v>
      </c>
      <c r="R223" t="s">
        <v>3631</v>
      </c>
    </row>
    <row r="224" spans="1:18" x14ac:dyDescent="0.3">
      <c r="A224" s="7" t="str">
        <f>HYPERLINK("https://hsdes.intel.com/resource/14013157560","14013157560")</f>
        <v>14013157560</v>
      </c>
      <c r="B224" s="7" t="s">
        <v>652</v>
      </c>
      <c r="C224" s="7" t="s">
        <v>55</v>
      </c>
      <c r="D224" s="7" t="s">
        <v>3613</v>
      </c>
      <c r="E224" s="7" t="s">
        <v>3617</v>
      </c>
      <c r="F224" s="8" t="s">
        <v>3628</v>
      </c>
      <c r="H224" s="7" t="s">
        <v>3618</v>
      </c>
      <c r="J224" s="7" t="s">
        <v>3561</v>
      </c>
      <c r="L224" s="7" t="s">
        <v>30</v>
      </c>
      <c r="M224" s="7" t="s">
        <v>94</v>
      </c>
      <c r="N224" s="7" t="s">
        <v>25</v>
      </c>
      <c r="O224" s="7" t="s">
        <v>217</v>
      </c>
      <c r="P224" s="7" t="s">
        <v>217</v>
      </c>
      <c r="Q224" s="7" t="s">
        <v>653</v>
      </c>
      <c r="R224" t="s">
        <v>3632</v>
      </c>
    </row>
    <row r="225" spans="1:20" x14ac:dyDescent="0.3">
      <c r="A225" s="7" t="str">
        <f>HYPERLINK("https://hsdes.intel.com/resource/14013157562","14013157562")</f>
        <v>14013157562</v>
      </c>
      <c r="B225" s="7" t="s">
        <v>654</v>
      </c>
      <c r="C225" s="7" t="s">
        <v>55</v>
      </c>
      <c r="D225" s="7" t="s">
        <v>3612</v>
      </c>
      <c r="E225" s="7" t="s">
        <v>3617</v>
      </c>
      <c r="F225" s="8" t="s">
        <v>3628</v>
      </c>
      <c r="H225" s="7" t="s">
        <v>3619</v>
      </c>
      <c r="I225" s="7" t="s">
        <v>3622</v>
      </c>
      <c r="L225" s="7" t="s">
        <v>30</v>
      </c>
      <c r="M225" s="7" t="s">
        <v>94</v>
      </c>
      <c r="N225" s="7" t="s">
        <v>25</v>
      </c>
      <c r="O225" s="7" t="s">
        <v>399</v>
      </c>
      <c r="P225" s="7" t="s">
        <v>399</v>
      </c>
      <c r="Q225" s="7" t="s">
        <v>655</v>
      </c>
      <c r="R225" t="s">
        <v>3632</v>
      </c>
    </row>
    <row r="226" spans="1:20" x14ac:dyDescent="0.3">
      <c r="A226" s="7" t="str">
        <f>HYPERLINK("https://hsdes.intel.com/resource/14013157564","14013157564")</f>
        <v>14013157564</v>
      </c>
      <c r="B226" s="7" t="s">
        <v>656</v>
      </c>
      <c r="C226" s="7" t="s">
        <v>55</v>
      </c>
      <c r="D226" s="7" t="s">
        <v>3612</v>
      </c>
      <c r="E226" s="7" t="s">
        <v>3617</v>
      </c>
      <c r="F226" s="8" t="s">
        <v>3628</v>
      </c>
      <c r="H226" s="7" t="s">
        <v>3619</v>
      </c>
      <c r="I226" s="7" t="s">
        <v>3622</v>
      </c>
      <c r="L226" s="7" t="s">
        <v>30</v>
      </c>
      <c r="M226" s="7" t="s">
        <v>9</v>
      </c>
      <c r="N226" s="7" t="s">
        <v>25</v>
      </c>
      <c r="O226" s="7" t="s">
        <v>411</v>
      </c>
      <c r="P226" s="7" t="s">
        <v>411</v>
      </c>
      <c r="Q226" s="7" t="s">
        <v>657</v>
      </c>
      <c r="R226" t="s">
        <v>3632</v>
      </c>
    </row>
    <row r="227" spans="1:20" x14ac:dyDescent="0.3">
      <c r="A227" s="7" t="str">
        <f>HYPERLINK("https://hsdes.intel.com/resource/14013157573","14013157573")</f>
        <v>14013157573</v>
      </c>
      <c r="B227" s="7" t="s">
        <v>658</v>
      </c>
      <c r="C227" s="7" t="s">
        <v>55</v>
      </c>
      <c r="D227" s="7" t="s">
        <v>3612</v>
      </c>
      <c r="E227" s="7" t="s">
        <v>3617</v>
      </c>
      <c r="F227" s="8" t="s">
        <v>3628</v>
      </c>
      <c r="H227" s="7" t="s">
        <v>3618</v>
      </c>
      <c r="J227" s="7" t="s">
        <v>3572</v>
      </c>
      <c r="L227" s="7" t="s">
        <v>30</v>
      </c>
      <c r="M227" s="7" t="s">
        <v>94</v>
      </c>
      <c r="N227" s="7" t="s">
        <v>25</v>
      </c>
      <c r="O227" s="7" t="s">
        <v>659</v>
      </c>
      <c r="P227" s="7" t="s">
        <v>619</v>
      </c>
      <c r="Q227" s="7" t="s">
        <v>660</v>
      </c>
      <c r="R227" t="s">
        <v>3631</v>
      </c>
    </row>
    <row r="228" spans="1:20" x14ac:dyDescent="0.3">
      <c r="A228" s="7" t="str">
        <f>HYPERLINK("https://hsdes.intel.com/resource/14013157584","14013157584")</f>
        <v>14013157584</v>
      </c>
      <c r="B228" s="7" t="s">
        <v>661</v>
      </c>
      <c r="C228" s="7" t="s">
        <v>23</v>
      </c>
      <c r="D228" s="7" t="s">
        <v>3612</v>
      </c>
      <c r="E228" s="7" t="s">
        <v>3617</v>
      </c>
      <c r="F228" s="8" t="s">
        <v>3628</v>
      </c>
      <c r="H228" s="7" t="s">
        <v>3620</v>
      </c>
      <c r="I228" s="7" t="s">
        <v>3624</v>
      </c>
      <c r="L228" s="7" t="s">
        <v>24</v>
      </c>
      <c r="M228" s="7" t="s">
        <v>9</v>
      </c>
      <c r="N228" s="7" t="s">
        <v>25</v>
      </c>
      <c r="O228" s="7" t="s">
        <v>48</v>
      </c>
      <c r="P228" s="7" t="s">
        <v>48</v>
      </c>
      <c r="Q228" s="7" t="s">
        <v>662</v>
      </c>
      <c r="R228" t="s">
        <v>3632</v>
      </c>
    </row>
    <row r="229" spans="1:20" x14ac:dyDescent="0.3">
      <c r="A229" s="7" t="str">
        <f>HYPERLINK("https://hsdes.intel.com/resource/14013157619","14013157619")</f>
        <v>14013157619</v>
      </c>
      <c r="B229" s="7" t="s">
        <v>663</v>
      </c>
      <c r="C229" s="7" t="s">
        <v>23</v>
      </c>
      <c r="D229" s="7" t="s">
        <v>3612</v>
      </c>
      <c r="E229" s="7" t="s">
        <v>3617</v>
      </c>
      <c r="F229" s="8" t="s">
        <v>3628</v>
      </c>
      <c r="H229" s="7" t="s">
        <v>3619</v>
      </c>
      <c r="I229" s="7" t="s">
        <v>3624</v>
      </c>
      <c r="L229" s="7" t="s">
        <v>24</v>
      </c>
      <c r="M229" s="7" t="s">
        <v>94</v>
      </c>
      <c r="N229" s="7" t="s">
        <v>25</v>
      </c>
      <c r="O229" s="7" t="s">
        <v>26</v>
      </c>
      <c r="P229" s="7" t="s">
        <v>26</v>
      </c>
      <c r="Q229" s="7" t="s">
        <v>664</v>
      </c>
      <c r="R229" t="s">
        <v>3632</v>
      </c>
    </row>
    <row r="230" spans="1:20" x14ac:dyDescent="0.3">
      <c r="A230" s="7" t="str">
        <f>HYPERLINK("https://hsdes.intel.com/resource/14013157627","14013157627")</f>
        <v>14013157627</v>
      </c>
      <c r="B230" s="7" t="s">
        <v>665</v>
      </c>
      <c r="C230" s="7" t="s">
        <v>55</v>
      </c>
      <c r="D230" s="7" t="s">
        <v>3612</v>
      </c>
      <c r="E230" s="7" t="s">
        <v>3617</v>
      </c>
      <c r="F230" s="8" t="s">
        <v>3628</v>
      </c>
      <c r="H230" s="7" t="s">
        <v>3619</v>
      </c>
      <c r="I230" s="7" t="s">
        <v>3622</v>
      </c>
      <c r="L230" s="7" t="s">
        <v>30</v>
      </c>
      <c r="M230" s="7" t="s">
        <v>94</v>
      </c>
      <c r="N230" s="7" t="s">
        <v>25</v>
      </c>
      <c r="O230" s="7" t="s">
        <v>611</v>
      </c>
      <c r="P230" s="7" t="s">
        <v>611</v>
      </c>
      <c r="Q230" s="7" t="s">
        <v>666</v>
      </c>
      <c r="R230" t="s">
        <v>3632</v>
      </c>
    </row>
    <row r="231" spans="1:20" x14ac:dyDescent="0.3">
      <c r="A231" s="7" t="str">
        <f>HYPERLINK("https://hsdes.intel.com/resource/14013157652","14013157652")</f>
        <v>14013157652</v>
      </c>
      <c r="B231" s="7" t="s">
        <v>667</v>
      </c>
      <c r="C231" s="7" t="s">
        <v>23</v>
      </c>
      <c r="D231" s="7" t="s">
        <v>3612</v>
      </c>
      <c r="E231" s="7" t="s">
        <v>3617</v>
      </c>
      <c r="F231" s="8" t="s">
        <v>3628</v>
      </c>
      <c r="H231" s="7" t="s">
        <v>3619</v>
      </c>
      <c r="I231" s="7" t="s">
        <v>3624</v>
      </c>
      <c r="L231" s="7" t="s">
        <v>24</v>
      </c>
      <c r="M231" s="7" t="s">
        <v>94</v>
      </c>
      <c r="N231" s="7" t="s">
        <v>25</v>
      </c>
      <c r="O231" s="7" t="s">
        <v>668</v>
      </c>
      <c r="P231" s="7" t="s">
        <v>26</v>
      </c>
      <c r="Q231" s="7" t="s">
        <v>669</v>
      </c>
      <c r="R231" t="s">
        <v>3632</v>
      </c>
    </row>
    <row r="232" spans="1:20" x14ac:dyDescent="0.3">
      <c r="A232" s="9" t="str">
        <f>HYPERLINK("https://hsdes.intel.com/resource/14013157670","14013157670")</f>
        <v>14013157670</v>
      </c>
      <c r="B232" s="7" t="s">
        <v>670</v>
      </c>
      <c r="C232" s="7" t="s">
        <v>212</v>
      </c>
      <c r="D232" s="7" t="s">
        <v>3612</v>
      </c>
      <c r="E232" s="7" t="s">
        <v>3617</v>
      </c>
      <c r="F232" s="8" t="s">
        <v>3628</v>
      </c>
      <c r="H232" s="7" t="s">
        <v>3620</v>
      </c>
      <c r="I232" s="7" t="s">
        <v>3645</v>
      </c>
      <c r="L232" s="7" t="s">
        <v>24</v>
      </c>
      <c r="M232" s="7" t="s">
        <v>9</v>
      </c>
      <c r="N232" s="7" t="s">
        <v>39</v>
      </c>
      <c r="O232" s="7" t="s">
        <v>364</v>
      </c>
      <c r="P232" s="7" t="s">
        <v>365</v>
      </c>
      <c r="Q232" s="7" t="s">
        <v>671</v>
      </c>
      <c r="R232" t="s">
        <v>3631</v>
      </c>
      <c r="T232" s="22">
        <v>44819</v>
      </c>
    </row>
    <row r="233" spans="1:20" x14ac:dyDescent="0.3">
      <c r="A233" s="7" t="str">
        <f>HYPERLINK("https://hsdes.intel.com/resource/14013157672","14013157672")</f>
        <v>14013157672</v>
      </c>
      <c r="B233" s="7" t="s">
        <v>672</v>
      </c>
      <c r="C233" s="7" t="s">
        <v>55</v>
      </c>
      <c r="D233" s="7" t="s">
        <v>3612</v>
      </c>
      <c r="E233" s="7" t="s">
        <v>3617</v>
      </c>
      <c r="F233" s="8" t="s">
        <v>3628</v>
      </c>
      <c r="H233" s="7" t="s">
        <v>3619</v>
      </c>
      <c r="I233" s="7" t="s">
        <v>3622</v>
      </c>
      <c r="L233" s="7" t="s">
        <v>30</v>
      </c>
      <c r="M233" s="7" t="s">
        <v>9</v>
      </c>
      <c r="N233" s="7" t="s">
        <v>25</v>
      </c>
      <c r="O233" s="7" t="s">
        <v>673</v>
      </c>
      <c r="P233" s="7" t="s">
        <v>674</v>
      </c>
      <c r="Q233" s="7" t="s">
        <v>675</v>
      </c>
      <c r="R233" t="s">
        <v>3632</v>
      </c>
    </row>
    <row r="234" spans="1:20" x14ac:dyDescent="0.3">
      <c r="A234" s="7" t="str">
        <f>HYPERLINK("https://hsdes.intel.com/resource/14013157676","14013157676")</f>
        <v>14013157676</v>
      </c>
      <c r="B234" s="7" t="s">
        <v>676</v>
      </c>
      <c r="C234" s="7" t="s">
        <v>55</v>
      </c>
      <c r="D234" s="7" t="s">
        <v>3612</v>
      </c>
      <c r="E234" s="7" t="s">
        <v>3617</v>
      </c>
      <c r="F234" s="8" t="s">
        <v>3628</v>
      </c>
      <c r="H234" s="7" t="s">
        <v>3619</v>
      </c>
      <c r="I234" s="7" t="s">
        <v>3622</v>
      </c>
      <c r="L234" s="7" t="s">
        <v>30</v>
      </c>
      <c r="M234" s="7" t="s">
        <v>94</v>
      </c>
      <c r="N234" s="7" t="s">
        <v>25</v>
      </c>
      <c r="O234" s="7" t="s">
        <v>677</v>
      </c>
      <c r="P234" s="7" t="s">
        <v>678</v>
      </c>
      <c r="Q234" s="7" t="s">
        <v>679</v>
      </c>
      <c r="R234" t="s">
        <v>3632</v>
      </c>
    </row>
    <row r="235" spans="1:20" x14ac:dyDescent="0.3">
      <c r="A235" s="7" t="str">
        <f>HYPERLINK("https://hsdes.intel.com/resource/14013157677","14013157677")</f>
        <v>14013157677</v>
      </c>
      <c r="B235" s="7" t="s">
        <v>680</v>
      </c>
      <c r="C235" s="7" t="s">
        <v>55</v>
      </c>
      <c r="D235" s="7" t="s">
        <v>3612</v>
      </c>
      <c r="E235" s="7" t="s">
        <v>3617</v>
      </c>
      <c r="F235" s="8" t="s">
        <v>3628</v>
      </c>
      <c r="H235" s="7" t="s">
        <v>3619</v>
      </c>
      <c r="I235" s="7" t="s">
        <v>3644</v>
      </c>
      <c r="L235" s="7" t="s">
        <v>30</v>
      </c>
      <c r="M235" s="7" t="s">
        <v>94</v>
      </c>
      <c r="N235" s="7" t="s">
        <v>25</v>
      </c>
      <c r="O235" s="7" t="s">
        <v>681</v>
      </c>
      <c r="P235" s="7" t="s">
        <v>682</v>
      </c>
      <c r="Q235" s="7" t="s">
        <v>683</v>
      </c>
      <c r="R235" t="s">
        <v>3632</v>
      </c>
    </row>
    <row r="236" spans="1:20" x14ac:dyDescent="0.3">
      <c r="A236" s="7" t="str">
        <f>HYPERLINK("https://hsdes.intel.com/resource/14013157679","14013157679")</f>
        <v>14013157679</v>
      </c>
      <c r="B236" s="7" t="s">
        <v>684</v>
      </c>
      <c r="C236" s="7" t="s">
        <v>55</v>
      </c>
      <c r="D236" s="7" t="s">
        <v>3612</v>
      </c>
      <c r="E236" s="7" t="s">
        <v>3617</v>
      </c>
      <c r="F236" s="8" t="s">
        <v>3628</v>
      </c>
      <c r="H236" s="7" t="s">
        <v>3620</v>
      </c>
      <c r="I236" s="7" t="s">
        <v>3644</v>
      </c>
      <c r="L236" s="7" t="s">
        <v>30</v>
      </c>
      <c r="M236" s="7" t="s">
        <v>94</v>
      </c>
      <c r="N236" s="7" t="s">
        <v>25</v>
      </c>
      <c r="O236" s="7" t="s">
        <v>681</v>
      </c>
      <c r="P236" s="7" t="s">
        <v>682</v>
      </c>
      <c r="Q236" s="7" t="s">
        <v>685</v>
      </c>
      <c r="R236" t="s">
        <v>3632</v>
      </c>
    </row>
    <row r="237" spans="1:20" x14ac:dyDescent="0.3">
      <c r="A237" s="7" t="str">
        <f>HYPERLINK("https://hsdes.intel.com/resource/14013157684","14013157684")</f>
        <v>14013157684</v>
      </c>
      <c r="B237" s="7" t="s">
        <v>686</v>
      </c>
      <c r="C237" s="7" t="s">
        <v>55</v>
      </c>
      <c r="D237" s="7" t="s">
        <v>3612</v>
      </c>
      <c r="E237" s="7" t="s">
        <v>3617</v>
      </c>
      <c r="F237" s="8" t="s">
        <v>3628</v>
      </c>
      <c r="H237" s="7" t="s">
        <v>3620</v>
      </c>
      <c r="I237" s="7" t="s">
        <v>3644</v>
      </c>
      <c r="L237" s="7" t="s">
        <v>30</v>
      </c>
      <c r="M237" s="7" t="s">
        <v>94</v>
      </c>
      <c r="N237" s="7" t="s">
        <v>25</v>
      </c>
      <c r="O237" s="7" t="s">
        <v>687</v>
      </c>
      <c r="P237" s="7" t="s">
        <v>687</v>
      </c>
      <c r="Q237" s="7" t="s">
        <v>688</v>
      </c>
      <c r="R237" t="s">
        <v>3632</v>
      </c>
    </row>
    <row r="238" spans="1:20" x14ac:dyDescent="0.3">
      <c r="A238" s="7" t="str">
        <f>HYPERLINK("https://hsdes.intel.com/resource/14013157693","14013157693")</f>
        <v>14013157693</v>
      </c>
      <c r="B238" s="7" t="s">
        <v>689</v>
      </c>
      <c r="C238" s="7" t="s">
        <v>55</v>
      </c>
      <c r="D238" s="7" t="s">
        <v>3612</v>
      </c>
      <c r="E238" s="7" t="s">
        <v>3617</v>
      </c>
      <c r="F238" s="8" t="s">
        <v>3628</v>
      </c>
      <c r="H238" s="7" t="s">
        <v>3620</v>
      </c>
      <c r="I238" s="7" t="s">
        <v>3644</v>
      </c>
      <c r="L238" s="7" t="s">
        <v>30</v>
      </c>
      <c r="M238" s="7" t="s">
        <v>94</v>
      </c>
      <c r="N238" s="7" t="s">
        <v>25</v>
      </c>
      <c r="O238" s="7" t="s">
        <v>690</v>
      </c>
      <c r="P238" s="7" t="s">
        <v>690</v>
      </c>
      <c r="Q238" s="7" t="s">
        <v>691</v>
      </c>
      <c r="R238" t="s">
        <v>3632</v>
      </c>
    </row>
    <row r="239" spans="1:20" x14ac:dyDescent="0.3">
      <c r="A239" s="7" t="str">
        <f>HYPERLINK("https://hsdes.intel.com/resource/14013157705","14013157705")</f>
        <v>14013157705</v>
      </c>
      <c r="B239" s="7" t="s">
        <v>692</v>
      </c>
      <c r="C239" s="7" t="s">
        <v>7</v>
      </c>
      <c r="D239" s="7" t="s">
        <v>3613</v>
      </c>
      <c r="E239" s="7" t="s">
        <v>3617</v>
      </c>
      <c r="F239" s="8" t="s">
        <v>3628</v>
      </c>
      <c r="H239" s="7" t="s">
        <v>3620</v>
      </c>
      <c r="I239" s="7" t="s">
        <v>3644</v>
      </c>
      <c r="L239" s="7" t="s">
        <v>8</v>
      </c>
      <c r="M239" s="7" t="s">
        <v>94</v>
      </c>
      <c r="N239" s="7" t="s">
        <v>10</v>
      </c>
      <c r="O239" s="7" t="s">
        <v>693</v>
      </c>
      <c r="P239" s="7" t="s">
        <v>694</v>
      </c>
      <c r="Q239" s="7" t="s">
        <v>695</v>
      </c>
      <c r="R239" t="s">
        <v>3633</v>
      </c>
    </row>
    <row r="240" spans="1:20" x14ac:dyDescent="0.3">
      <c r="A240" s="7" t="str">
        <f>HYPERLINK("https://hsdes.intel.com/resource/14013157715","14013157715")</f>
        <v>14013157715</v>
      </c>
      <c r="B240" s="7" t="s">
        <v>696</v>
      </c>
      <c r="C240" s="7" t="s">
        <v>55</v>
      </c>
      <c r="D240" s="7" t="s">
        <v>3612</v>
      </c>
      <c r="E240" s="7" t="s">
        <v>3617</v>
      </c>
      <c r="F240" s="8" t="s">
        <v>3628</v>
      </c>
      <c r="H240" s="7" t="s">
        <v>3620</v>
      </c>
      <c r="I240" s="7" t="s">
        <v>3644</v>
      </c>
      <c r="L240" s="7" t="s">
        <v>30</v>
      </c>
      <c r="M240" s="7" t="s">
        <v>94</v>
      </c>
      <c r="N240" s="7" t="s">
        <v>25</v>
      </c>
      <c r="O240" s="7" t="s">
        <v>639</v>
      </c>
      <c r="P240" s="7" t="s">
        <v>639</v>
      </c>
      <c r="Q240" s="7" t="s">
        <v>697</v>
      </c>
      <c r="R240" t="s">
        <v>3632</v>
      </c>
    </row>
    <row r="241" spans="1:20" x14ac:dyDescent="0.3">
      <c r="A241" s="10" t="str">
        <f>HYPERLINK("https://hsdes.intel.com/resource/14013157742","14013157742")</f>
        <v>14013157742</v>
      </c>
      <c r="B241" s="7" t="s">
        <v>698</v>
      </c>
      <c r="C241" s="7" t="s">
        <v>55</v>
      </c>
      <c r="D241" s="7" t="s">
        <v>3612</v>
      </c>
      <c r="E241" s="7" t="s">
        <v>3617</v>
      </c>
      <c r="F241" s="8" t="s">
        <v>3628</v>
      </c>
      <c r="H241" s="7" t="s">
        <v>3620</v>
      </c>
      <c r="I241" s="7" t="s">
        <v>3644</v>
      </c>
      <c r="L241" s="7" t="s">
        <v>30</v>
      </c>
      <c r="M241" s="7" t="s">
        <v>9</v>
      </c>
      <c r="N241" s="7" t="s">
        <v>226</v>
      </c>
      <c r="O241" s="7" t="s">
        <v>639</v>
      </c>
      <c r="P241" s="7" t="s">
        <v>639</v>
      </c>
      <c r="Q241" s="7" t="s">
        <v>699</v>
      </c>
      <c r="R241" t="s">
        <v>3632</v>
      </c>
    </row>
    <row r="242" spans="1:20" x14ac:dyDescent="0.3">
      <c r="A242" s="7" t="str">
        <f>HYPERLINK("https://hsdes.intel.com/resource/14013157743","14013157743")</f>
        <v>14013157743</v>
      </c>
      <c r="B242" s="7" t="s">
        <v>700</v>
      </c>
      <c r="C242" s="7" t="s">
        <v>55</v>
      </c>
      <c r="D242" s="7" t="s">
        <v>3613</v>
      </c>
      <c r="E242" s="7" t="s">
        <v>3617</v>
      </c>
      <c r="F242" s="8" t="s">
        <v>3628</v>
      </c>
      <c r="H242" s="7" t="s">
        <v>3620</v>
      </c>
      <c r="I242" s="7" t="s">
        <v>3622</v>
      </c>
      <c r="L242" s="7" t="s">
        <v>30</v>
      </c>
      <c r="M242" s="7" t="s">
        <v>9</v>
      </c>
      <c r="N242" s="7" t="s">
        <v>56</v>
      </c>
      <c r="O242" s="7" t="s">
        <v>365</v>
      </c>
      <c r="P242" s="7" t="s">
        <v>365</v>
      </c>
      <c r="Q242" s="7" t="s">
        <v>701</v>
      </c>
      <c r="R242" t="s">
        <v>3631</v>
      </c>
    </row>
    <row r="243" spans="1:20" x14ac:dyDescent="0.3">
      <c r="A243" s="7" t="str">
        <f>HYPERLINK("https://hsdes.intel.com/resource/14013157749","14013157749")</f>
        <v>14013157749</v>
      </c>
      <c r="B243" s="7" t="s">
        <v>702</v>
      </c>
      <c r="C243" s="7" t="s">
        <v>23</v>
      </c>
      <c r="D243" s="7" t="s">
        <v>3612</v>
      </c>
      <c r="E243" s="7" t="s">
        <v>3617</v>
      </c>
      <c r="F243" s="8" t="s">
        <v>3628</v>
      </c>
      <c r="H243" s="7" t="s">
        <v>3619</v>
      </c>
      <c r="I243" s="7" t="s">
        <v>3624</v>
      </c>
      <c r="J243" s="7" t="s">
        <v>3652</v>
      </c>
      <c r="L243" s="7" t="s">
        <v>24</v>
      </c>
      <c r="M243" s="7" t="s">
        <v>9</v>
      </c>
      <c r="N243" s="7" t="s">
        <v>25</v>
      </c>
      <c r="O243" s="7" t="s">
        <v>48</v>
      </c>
      <c r="P243" s="7" t="s">
        <v>48</v>
      </c>
      <c r="Q243" s="7" t="s">
        <v>703</v>
      </c>
      <c r="R243" t="s">
        <v>3632</v>
      </c>
    </row>
    <row r="244" spans="1:20" x14ac:dyDescent="0.3">
      <c r="A244" s="7" t="str">
        <f>HYPERLINK("https://hsdes.intel.com/resource/14013157753","14013157753")</f>
        <v>14013157753</v>
      </c>
      <c r="B244" s="7" t="s">
        <v>621</v>
      </c>
      <c r="C244" s="7" t="s">
        <v>55</v>
      </c>
      <c r="D244" s="7" t="s">
        <v>3612</v>
      </c>
      <c r="E244" s="7" t="s">
        <v>3617</v>
      </c>
      <c r="F244" s="8" t="s">
        <v>3628</v>
      </c>
      <c r="H244" s="7" t="s">
        <v>3620</v>
      </c>
      <c r="I244" s="7" t="s">
        <v>3644</v>
      </c>
      <c r="L244" s="7" t="s">
        <v>30</v>
      </c>
      <c r="M244" s="7" t="s">
        <v>9</v>
      </c>
      <c r="N244" s="7" t="s">
        <v>39</v>
      </c>
      <c r="O244" s="7" t="s">
        <v>286</v>
      </c>
      <c r="P244" s="7" t="s">
        <v>286</v>
      </c>
      <c r="Q244" s="7" t="s">
        <v>704</v>
      </c>
      <c r="R244" t="s">
        <v>3632</v>
      </c>
    </row>
    <row r="245" spans="1:20" x14ac:dyDescent="0.3">
      <c r="A245" s="7" t="str">
        <f>HYPERLINK("https://hsdes.intel.com/resource/14013157767","14013157767")</f>
        <v>14013157767</v>
      </c>
      <c r="B245" s="7" t="s">
        <v>705</v>
      </c>
      <c r="C245" s="7" t="s">
        <v>212</v>
      </c>
      <c r="D245" s="7" t="s">
        <v>3612</v>
      </c>
      <c r="E245" s="7" t="s">
        <v>3617</v>
      </c>
      <c r="F245" s="8" t="s">
        <v>3628</v>
      </c>
      <c r="H245" s="7" t="s">
        <v>3619</v>
      </c>
      <c r="I245" s="7" t="s">
        <v>3645</v>
      </c>
      <c r="L245" s="7" t="s">
        <v>24</v>
      </c>
      <c r="M245" s="7" t="s">
        <v>9</v>
      </c>
      <c r="N245" s="7" t="s">
        <v>39</v>
      </c>
      <c r="O245" s="7" t="s">
        <v>365</v>
      </c>
      <c r="P245" s="7" t="s">
        <v>365</v>
      </c>
      <c r="Q245" s="7" t="s">
        <v>706</v>
      </c>
      <c r="R245" t="s">
        <v>3632</v>
      </c>
      <c r="T245" s="22">
        <v>44819</v>
      </c>
    </row>
    <row r="246" spans="1:20" x14ac:dyDescent="0.3">
      <c r="A246" s="7" t="str">
        <f>HYPERLINK("https://hsdes.intel.com/resource/14013157781","14013157781")</f>
        <v>14013157781</v>
      </c>
      <c r="B246" s="7" t="s">
        <v>707</v>
      </c>
      <c r="C246" s="7" t="s">
        <v>551</v>
      </c>
      <c r="D246" s="7" t="s">
        <v>3612</v>
      </c>
      <c r="E246" s="7" t="s">
        <v>3617</v>
      </c>
      <c r="F246" s="8" t="s">
        <v>3628</v>
      </c>
      <c r="H246" s="7" t="s">
        <v>3619</v>
      </c>
      <c r="I246" s="7" t="s">
        <v>3622</v>
      </c>
      <c r="L246" s="7" t="s">
        <v>142</v>
      </c>
      <c r="M246" s="7" t="s">
        <v>94</v>
      </c>
      <c r="N246" s="7" t="s">
        <v>56</v>
      </c>
      <c r="O246" s="7" t="s">
        <v>708</v>
      </c>
      <c r="P246" s="7" t="s">
        <v>709</v>
      </c>
      <c r="Q246" s="7" t="s">
        <v>710</v>
      </c>
      <c r="R246" t="s">
        <v>3632</v>
      </c>
    </row>
    <row r="247" spans="1:20" x14ac:dyDescent="0.3">
      <c r="A247" s="7" t="str">
        <f>HYPERLINK("https://hsdes.intel.com/resource/14013157784","14013157784")</f>
        <v>14013157784</v>
      </c>
      <c r="B247" s="7" t="s">
        <v>711</v>
      </c>
      <c r="C247" s="7" t="s">
        <v>212</v>
      </c>
      <c r="D247" s="7" t="s">
        <v>3613</v>
      </c>
      <c r="E247" s="7" t="s">
        <v>3617</v>
      </c>
      <c r="F247" s="8" t="s">
        <v>3628</v>
      </c>
      <c r="H247" s="7" t="s">
        <v>3619</v>
      </c>
      <c r="I247" s="7" t="s">
        <v>3645</v>
      </c>
      <c r="L247" s="7" t="s">
        <v>24</v>
      </c>
      <c r="M247" s="7" t="s">
        <v>9</v>
      </c>
      <c r="N247" s="7" t="s">
        <v>56</v>
      </c>
      <c r="O247" s="7" t="s">
        <v>712</v>
      </c>
      <c r="P247" s="7" t="s">
        <v>365</v>
      </c>
      <c r="Q247" s="7" t="s">
        <v>713</v>
      </c>
      <c r="R247" t="s">
        <v>3631</v>
      </c>
      <c r="T247" s="22">
        <v>44819</v>
      </c>
    </row>
    <row r="248" spans="1:20" x14ac:dyDescent="0.3">
      <c r="A248" s="7" t="str">
        <f>HYPERLINK("https://hsdes.intel.com/resource/14013157801","14013157801")</f>
        <v>14013157801</v>
      </c>
      <c r="B248" s="7" t="s">
        <v>714</v>
      </c>
      <c r="C248" s="7" t="s">
        <v>55</v>
      </c>
      <c r="D248" s="7" t="s">
        <v>3612</v>
      </c>
      <c r="E248" s="7" t="s">
        <v>3617</v>
      </c>
      <c r="F248" s="8" t="s">
        <v>3628</v>
      </c>
      <c r="H248" s="7" t="s">
        <v>3619</v>
      </c>
      <c r="I248" s="7" t="s">
        <v>3622</v>
      </c>
      <c r="L248" s="7" t="s">
        <v>30</v>
      </c>
      <c r="M248" s="7" t="s">
        <v>9</v>
      </c>
      <c r="N248" s="7" t="s">
        <v>39</v>
      </c>
      <c r="O248" s="7" t="s">
        <v>715</v>
      </c>
      <c r="P248" s="7" t="s">
        <v>716</v>
      </c>
      <c r="Q248" s="7" t="s">
        <v>717</v>
      </c>
      <c r="R248" t="s">
        <v>3632</v>
      </c>
    </row>
    <row r="249" spans="1:20" x14ac:dyDescent="0.3">
      <c r="A249" s="7" t="str">
        <f>HYPERLINK("https://hsdes.intel.com/resource/14013157808","14013157808")</f>
        <v>14013157808</v>
      </c>
      <c r="B249" s="7" t="s">
        <v>718</v>
      </c>
      <c r="C249" s="7" t="s">
        <v>55</v>
      </c>
      <c r="D249" s="7" t="s">
        <v>3612</v>
      </c>
      <c r="E249" s="7" t="s">
        <v>3617</v>
      </c>
      <c r="F249" s="8" t="s">
        <v>3628</v>
      </c>
      <c r="H249" s="7" t="s">
        <v>3619</v>
      </c>
      <c r="I249" s="7" t="s">
        <v>3622</v>
      </c>
      <c r="L249" s="7" t="s">
        <v>30</v>
      </c>
      <c r="M249" s="7" t="s">
        <v>9</v>
      </c>
      <c r="N249" s="7" t="s">
        <v>39</v>
      </c>
      <c r="O249" s="7" t="s">
        <v>78</v>
      </c>
      <c r="P249" s="7" t="s">
        <v>319</v>
      </c>
      <c r="Q249" s="7" t="s">
        <v>719</v>
      </c>
      <c r="R249" t="s">
        <v>3632</v>
      </c>
    </row>
    <row r="250" spans="1:20" x14ac:dyDescent="0.3">
      <c r="A250" s="7" t="str">
        <f>HYPERLINK("https://hsdes.intel.com/resource/14013157811","14013157811")</f>
        <v>14013157811</v>
      </c>
      <c r="B250" s="7" t="s">
        <v>720</v>
      </c>
      <c r="C250" s="7" t="s">
        <v>55</v>
      </c>
      <c r="D250" s="7" t="s">
        <v>3612</v>
      </c>
      <c r="E250" s="7" t="s">
        <v>3617</v>
      </c>
      <c r="F250" s="8" t="s">
        <v>3628</v>
      </c>
      <c r="H250" s="7" t="s">
        <v>3619</v>
      </c>
      <c r="I250" s="7" t="s">
        <v>3644</v>
      </c>
      <c r="L250" s="7" t="s">
        <v>30</v>
      </c>
      <c r="M250" s="7" t="s">
        <v>9</v>
      </c>
      <c r="N250" s="7" t="s">
        <v>39</v>
      </c>
      <c r="O250" s="7" t="s">
        <v>721</v>
      </c>
      <c r="P250" s="7" t="s">
        <v>319</v>
      </c>
      <c r="Q250" s="7" t="s">
        <v>722</v>
      </c>
      <c r="R250" t="s">
        <v>3632</v>
      </c>
    </row>
    <row r="251" spans="1:20" x14ac:dyDescent="0.3">
      <c r="A251" s="7" t="str">
        <f>HYPERLINK("https://hsdes.intel.com/resource/14013157817","14013157817")</f>
        <v>14013157817</v>
      </c>
      <c r="B251" s="7" t="s">
        <v>732</v>
      </c>
      <c r="C251" s="7" t="s">
        <v>55</v>
      </c>
      <c r="D251" s="7" t="s">
        <v>3612</v>
      </c>
      <c r="E251" s="7" t="s">
        <v>3617</v>
      </c>
      <c r="F251" s="8" t="s">
        <v>3628</v>
      </c>
      <c r="H251" s="7" t="s">
        <v>3618</v>
      </c>
      <c r="J251" s="7" t="s">
        <v>3531</v>
      </c>
      <c r="L251" s="7" t="s">
        <v>30</v>
      </c>
      <c r="M251" s="7" t="s">
        <v>9</v>
      </c>
      <c r="N251" s="7" t="s">
        <v>39</v>
      </c>
      <c r="O251" s="7" t="s">
        <v>723</v>
      </c>
      <c r="P251" s="7" t="s">
        <v>724</v>
      </c>
      <c r="Q251" s="7" t="s">
        <v>725</v>
      </c>
      <c r="R251" t="s">
        <v>3632</v>
      </c>
    </row>
    <row r="252" spans="1:20" x14ac:dyDescent="0.3">
      <c r="A252" s="7" t="str">
        <f>HYPERLINK("https://hsdes.intel.com/resource/14013157822","14013157822")</f>
        <v>14013157822</v>
      </c>
      <c r="B252" s="7" t="s">
        <v>726</v>
      </c>
      <c r="C252" s="7" t="s">
        <v>55</v>
      </c>
      <c r="D252" s="7" t="s">
        <v>3612</v>
      </c>
      <c r="E252" s="7" t="s">
        <v>3617</v>
      </c>
      <c r="F252" s="8" t="s">
        <v>3628</v>
      </c>
      <c r="H252" s="7" t="s">
        <v>3619</v>
      </c>
      <c r="I252" s="7" t="s">
        <v>3644</v>
      </c>
      <c r="L252" s="7" t="s">
        <v>30</v>
      </c>
      <c r="M252" s="7" t="s">
        <v>9</v>
      </c>
      <c r="N252" s="7" t="s">
        <v>39</v>
      </c>
      <c r="O252" s="7" t="s">
        <v>727</v>
      </c>
      <c r="P252" s="7" t="s">
        <v>727</v>
      </c>
      <c r="Q252" s="7" t="s">
        <v>728</v>
      </c>
      <c r="R252" t="s">
        <v>3632</v>
      </c>
    </row>
    <row r="253" spans="1:20" x14ac:dyDescent="0.3">
      <c r="A253" s="7" t="str">
        <f>HYPERLINK("https://hsdes.intel.com/resource/14013157826","14013157826")</f>
        <v>14013157826</v>
      </c>
      <c r="B253" s="7" t="s">
        <v>729</v>
      </c>
      <c r="C253" s="7" t="s">
        <v>220</v>
      </c>
      <c r="D253" s="7" t="s">
        <v>3613</v>
      </c>
      <c r="E253" s="7" t="s">
        <v>3617</v>
      </c>
      <c r="F253" s="8" t="s">
        <v>3628</v>
      </c>
      <c r="H253" s="7" t="s">
        <v>3619</v>
      </c>
      <c r="I253" s="7" t="s">
        <v>3622</v>
      </c>
      <c r="L253" s="7" t="s">
        <v>30</v>
      </c>
      <c r="M253" s="7" t="s">
        <v>9</v>
      </c>
      <c r="N253" s="7" t="s">
        <v>39</v>
      </c>
      <c r="O253" s="7" t="s">
        <v>730</v>
      </c>
      <c r="P253" s="7" t="s">
        <v>222</v>
      </c>
      <c r="Q253" s="7" t="s">
        <v>731</v>
      </c>
      <c r="R253" t="s">
        <v>3633</v>
      </c>
    </row>
    <row r="254" spans="1:20" x14ac:dyDescent="0.3">
      <c r="A254" s="7" t="str">
        <f>HYPERLINK("https://hsdes.intel.com/resource/14013157922","14013157922")</f>
        <v>14013157922</v>
      </c>
      <c r="B254" s="7" t="s">
        <v>732</v>
      </c>
      <c r="C254" s="7" t="s">
        <v>55</v>
      </c>
      <c r="D254" s="7" t="s">
        <v>3612</v>
      </c>
      <c r="E254" s="7" t="s">
        <v>3617</v>
      </c>
      <c r="F254" s="8" t="s">
        <v>3628</v>
      </c>
      <c r="H254" s="7" t="s">
        <v>3619</v>
      </c>
      <c r="I254" s="7" t="s">
        <v>3622</v>
      </c>
      <c r="L254" s="7" t="s">
        <v>30</v>
      </c>
      <c r="M254" s="7" t="s">
        <v>9</v>
      </c>
      <c r="N254" s="7" t="s">
        <v>39</v>
      </c>
      <c r="O254" s="7" t="s">
        <v>78</v>
      </c>
      <c r="P254" s="7" t="s">
        <v>78</v>
      </c>
      <c r="Q254" s="7" t="s">
        <v>733</v>
      </c>
      <c r="R254" t="s">
        <v>3632</v>
      </c>
    </row>
    <row r="255" spans="1:20" x14ac:dyDescent="0.3">
      <c r="A255" s="7" t="str">
        <f>HYPERLINK("https://hsdes.intel.com/resource/14013158076","14013158076")</f>
        <v>14013158076</v>
      </c>
      <c r="B255" s="7" t="s">
        <v>734</v>
      </c>
      <c r="C255" s="7" t="s">
        <v>7</v>
      </c>
      <c r="D255" s="7" t="s">
        <v>3612</v>
      </c>
      <c r="E255" s="7" t="s">
        <v>3617</v>
      </c>
      <c r="F255" s="8" t="s">
        <v>3628</v>
      </c>
      <c r="H255" s="7" t="s">
        <v>3620</v>
      </c>
      <c r="I255" s="7" t="s">
        <v>3644</v>
      </c>
      <c r="L255" s="7" t="s">
        <v>8</v>
      </c>
      <c r="M255" s="7" t="s">
        <v>9</v>
      </c>
      <c r="N255" s="7" t="s">
        <v>10</v>
      </c>
      <c r="O255" s="7" t="s">
        <v>310</v>
      </c>
      <c r="P255" s="7" t="s">
        <v>735</v>
      </c>
      <c r="Q255" s="7" t="s">
        <v>736</v>
      </c>
      <c r="R255" t="s">
        <v>3632</v>
      </c>
    </row>
    <row r="256" spans="1:20" x14ac:dyDescent="0.3">
      <c r="A256" s="7" t="str">
        <f>HYPERLINK("https://hsdes.intel.com/resource/14013158089","14013158089")</f>
        <v>14013158089</v>
      </c>
      <c r="B256" s="7" t="s">
        <v>737</v>
      </c>
      <c r="C256" s="7" t="s">
        <v>7</v>
      </c>
      <c r="D256" s="7" t="s">
        <v>3612</v>
      </c>
      <c r="E256" s="7" t="s">
        <v>3617</v>
      </c>
      <c r="F256" s="8" t="s">
        <v>3628</v>
      </c>
      <c r="H256" s="7" t="s">
        <v>3619</v>
      </c>
      <c r="I256" s="7" t="s">
        <v>3524</v>
      </c>
      <c r="L256" s="7" t="s">
        <v>8</v>
      </c>
      <c r="M256" s="7" t="s">
        <v>9</v>
      </c>
      <c r="N256" s="7" t="s">
        <v>738</v>
      </c>
      <c r="O256" s="7" t="s">
        <v>739</v>
      </c>
      <c r="P256" s="7" t="s">
        <v>12</v>
      </c>
      <c r="Q256" s="7" t="s">
        <v>740</v>
      </c>
      <c r="R256" t="s">
        <v>3633</v>
      </c>
    </row>
    <row r="257" spans="1:20" x14ac:dyDescent="0.3">
      <c r="A257" s="7" t="str">
        <f>HYPERLINK("https://hsdes.intel.com/resource/14013158096","14013158096")</f>
        <v>14013158096</v>
      </c>
      <c r="B257" s="7" t="s">
        <v>741</v>
      </c>
      <c r="C257" s="7" t="s">
        <v>7</v>
      </c>
      <c r="D257" s="7" t="s">
        <v>3612</v>
      </c>
      <c r="E257" s="7" t="s">
        <v>3617</v>
      </c>
      <c r="F257" s="8" t="s">
        <v>3628</v>
      </c>
      <c r="H257" s="7" t="s">
        <v>3619</v>
      </c>
      <c r="I257" s="7" t="s">
        <v>3524</v>
      </c>
      <c r="L257" s="7" t="s">
        <v>8</v>
      </c>
      <c r="M257" s="7" t="s">
        <v>9</v>
      </c>
      <c r="N257" s="7" t="s">
        <v>10</v>
      </c>
      <c r="O257" s="7" t="s">
        <v>742</v>
      </c>
      <c r="P257" s="7" t="s">
        <v>319</v>
      </c>
      <c r="Q257" s="7" t="s">
        <v>743</v>
      </c>
      <c r="R257" t="s">
        <v>3631</v>
      </c>
    </row>
    <row r="258" spans="1:20" x14ac:dyDescent="0.3">
      <c r="A258" s="7" t="str">
        <f>HYPERLINK("https://hsdes.intel.com/resource/14013158099","14013158099")</f>
        <v>14013158099</v>
      </c>
      <c r="B258" s="7" t="s">
        <v>744</v>
      </c>
      <c r="C258" s="7" t="s">
        <v>55</v>
      </c>
      <c r="D258" s="7" t="s">
        <v>3612</v>
      </c>
      <c r="E258" s="7" t="s">
        <v>3617</v>
      </c>
      <c r="F258" s="8" t="s">
        <v>3628</v>
      </c>
      <c r="H258" s="7" t="s">
        <v>3619</v>
      </c>
      <c r="I258" s="7" t="s">
        <v>3622</v>
      </c>
      <c r="L258" s="7" t="s">
        <v>30</v>
      </c>
      <c r="M258" s="7" t="s">
        <v>9</v>
      </c>
      <c r="N258" s="7" t="s">
        <v>39</v>
      </c>
      <c r="O258" s="7" t="s">
        <v>745</v>
      </c>
      <c r="P258" s="7" t="s">
        <v>746</v>
      </c>
      <c r="Q258" s="7" t="s">
        <v>747</v>
      </c>
      <c r="R258" t="s">
        <v>3631</v>
      </c>
    </row>
    <row r="259" spans="1:20" x14ac:dyDescent="0.3">
      <c r="A259" s="7" t="str">
        <f>HYPERLINK("https://hsdes.intel.com/resource/14013158101","14013158101")</f>
        <v>14013158101</v>
      </c>
      <c r="B259" s="7" t="s">
        <v>748</v>
      </c>
      <c r="C259" s="7" t="s">
        <v>55</v>
      </c>
      <c r="D259" s="7" t="s">
        <v>3612</v>
      </c>
      <c r="E259" s="7" t="s">
        <v>3617</v>
      </c>
      <c r="F259" s="8" t="s">
        <v>3628</v>
      </c>
      <c r="H259" s="7" t="s">
        <v>3619</v>
      </c>
      <c r="I259" s="7" t="s">
        <v>3622</v>
      </c>
      <c r="L259" s="7" t="s">
        <v>30</v>
      </c>
      <c r="M259" s="7" t="s">
        <v>9</v>
      </c>
      <c r="N259" s="7" t="s">
        <v>39</v>
      </c>
      <c r="O259" s="7" t="s">
        <v>749</v>
      </c>
      <c r="P259" s="7" t="s">
        <v>750</v>
      </c>
      <c r="Q259" s="7" t="s">
        <v>751</v>
      </c>
      <c r="R259" t="s">
        <v>3631</v>
      </c>
    </row>
    <row r="260" spans="1:20" x14ac:dyDescent="0.3">
      <c r="A260" s="7" t="str">
        <f>HYPERLINK("https://hsdes.intel.com/resource/14013158103","14013158103")</f>
        <v>14013158103</v>
      </c>
      <c r="B260" s="7" t="s">
        <v>752</v>
      </c>
      <c r="C260" s="7" t="s">
        <v>7</v>
      </c>
      <c r="D260" s="7" t="s">
        <v>3612</v>
      </c>
      <c r="E260" s="7" t="s">
        <v>3617</v>
      </c>
      <c r="F260" s="8" t="s">
        <v>3628</v>
      </c>
      <c r="H260" s="7" t="s">
        <v>3618</v>
      </c>
      <c r="I260" s="7" t="s">
        <v>3524</v>
      </c>
      <c r="J260" s="7" t="s">
        <v>3537</v>
      </c>
      <c r="L260" s="7" t="s">
        <v>8</v>
      </c>
      <c r="M260" s="7" t="s">
        <v>9</v>
      </c>
      <c r="N260" s="7" t="s">
        <v>10</v>
      </c>
      <c r="O260" s="7" t="s">
        <v>753</v>
      </c>
      <c r="P260" s="7" t="s">
        <v>754</v>
      </c>
      <c r="Q260" s="7" t="s">
        <v>755</v>
      </c>
      <c r="R260" t="s">
        <v>3632</v>
      </c>
    </row>
    <row r="261" spans="1:20" x14ac:dyDescent="0.3">
      <c r="A261" s="7" t="str">
        <f>HYPERLINK("https://hsdes.intel.com/resource/14013158122","14013158122")</f>
        <v>14013158122</v>
      </c>
      <c r="B261" s="7" t="s">
        <v>756</v>
      </c>
      <c r="C261" s="7" t="s">
        <v>133</v>
      </c>
      <c r="D261" s="7" t="s">
        <v>3612</v>
      </c>
      <c r="E261" s="7" t="s">
        <v>3617</v>
      </c>
      <c r="F261" s="8" t="s">
        <v>3628</v>
      </c>
      <c r="H261" s="16" t="s">
        <v>3619</v>
      </c>
      <c r="I261" s="7" t="s">
        <v>3641</v>
      </c>
      <c r="L261" s="7" t="s">
        <v>24</v>
      </c>
      <c r="M261" s="7" t="s">
        <v>9</v>
      </c>
      <c r="N261" s="7" t="s">
        <v>39</v>
      </c>
      <c r="O261" s="7" t="s">
        <v>95</v>
      </c>
      <c r="P261" s="7" t="s">
        <v>95</v>
      </c>
      <c r="Q261" s="7" t="s">
        <v>757</v>
      </c>
      <c r="R261" t="s">
        <v>3632</v>
      </c>
    </row>
    <row r="262" spans="1:20" x14ac:dyDescent="0.3">
      <c r="A262" s="7" t="str">
        <f>HYPERLINK("https://hsdes.intel.com/resource/14013158128","14013158128")</f>
        <v>14013158128</v>
      </c>
      <c r="B262" s="7" t="s">
        <v>758</v>
      </c>
      <c r="C262" s="7" t="s">
        <v>55</v>
      </c>
      <c r="D262" s="7" t="s">
        <v>3612</v>
      </c>
      <c r="E262" s="7" t="s">
        <v>3617</v>
      </c>
      <c r="F262" s="8" t="s">
        <v>3628</v>
      </c>
      <c r="H262" s="7" t="s">
        <v>3620</v>
      </c>
      <c r="I262" s="7" t="s">
        <v>3622</v>
      </c>
      <c r="L262" s="7" t="s">
        <v>30</v>
      </c>
      <c r="M262" s="7" t="s">
        <v>9</v>
      </c>
      <c r="N262" s="7" t="s">
        <v>39</v>
      </c>
      <c r="O262" s="7" t="s">
        <v>48</v>
      </c>
      <c r="P262" s="7" t="s">
        <v>48</v>
      </c>
      <c r="Q262" s="7" t="s">
        <v>759</v>
      </c>
      <c r="R262" t="s">
        <v>3632</v>
      </c>
    </row>
    <row r="263" spans="1:20" x14ac:dyDescent="0.3">
      <c r="A263" s="7" t="str">
        <f>HYPERLINK("https://hsdes.intel.com/resource/14013158163","14013158163")</f>
        <v>14013158163</v>
      </c>
      <c r="B263" s="7" t="s">
        <v>760</v>
      </c>
      <c r="C263" s="7" t="s">
        <v>212</v>
      </c>
      <c r="D263" s="7" t="s">
        <v>3612</v>
      </c>
      <c r="E263" s="7" t="s">
        <v>3617</v>
      </c>
      <c r="F263" s="8" t="s">
        <v>3628</v>
      </c>
      <c r="H263" s="7" t="s">
        <v>3620</v>
      </c>
      <c r="I263" s="7" t="s">
        <v>3645</v>
      </c>
      <c r="L263" s="7" t="s">
        <v>24</v>
      </c>
      <c r="M263" s="7" t="s">
        <v>9</v>
      </c>
      <c r="N263" s="7" t="s">
        <v>39</v>
      </c>
      <c r="O263" s="7" t="s">
        <v>761</v>
      </c>
      <c r="P263" s="7" t="s">
        <v>762</v>
      </c>
      <c r="Q263" s="7" t="s">
        <v>763</v>
      </c>
      <c r="R263" t="s">
        <v>3631</v>
      </c>
      <c r="T263" s="22">
        <v>44819</v>
      </c>
    </row>
    <row r="264" spans="1:20" x14ac:dyDescent="0.3">
      <c r="A264" s="7" t="str">
        <f>HYPERLINK("https://hsdes.intel.com/resource/14013158170","14013158170")</f>
        <v>14013158170</v>
      </c>
      <c r="B264" s="7" t="s">
        <v>764</v>
      </c>
      <c r="C264" s="7" t="s">
        <v>63</v>
      </c>
      <c r="D264" s="7" t="s">
        <v>3612</v>
      </c>
      <c r="E264" s="7" t="s">
        <v>3617</v>
      </c>
      <c r="F264" s="8" t="s">
        <v>3628</v>
      </c>
      <c r="H264" s="7" t="s">
        <v>3618</v>
      </c>
      <c r="J264" s="6" t="s">
        <v>3562</v>
      </c>
      <c r="L264" s="7" t="s">
        <v>64</v>
      </c>
      <c r="M264" s="7" t="s">
        <v>9</v>
      </c>
      <c r="N264" s="7" t="s">
        <v>56</v>
      </c>
      <c r="O264" s="7" t="s">
        <v>765</v>
      </c>
      <c r="P264" s="7" t="s">
        <v>766</v>
      </c>
      <c r="Q264" s="7" t="s">
        <v>767</v>
      </c>
      <c r="R264" t="s">
        <v>3632</v>
      </c>
    </row>
    <row r="265" spans="1:20" x14ac:dyDescent="0.3">
      <c r="A265" s="7" t="str">
        <f>HYPERLINK("https://hsdes.intel.com/resource/14013158179","14013158179")</f>
        <v>14013158179</v>
      </c>
      <c r="B265" s="7" t="s">
        <v>768</v>
      </c>
      <c r="C265" s="7" t="s">
        <v>175</v>
      </c>
      <c r="D265" s="7" t="s">
        <v>3612</v>
      </c>
      <c r="E265" s="7" t="s">
        <v>3617</v>
      </c>
      <c r="F265" s="8" t="s">
        <v>3628</v>
      </c>
      <c r="H265" s="7" t="s">
        <v>3618</v>
      </c>
      <c r="J265" s="7" t="s">
        <v>3568</v>
      </c>
      <c r="L265" s="7" t="s">
        <v>38</v>
      </c>
      <c r="M265" s="7" t="s">
        <v>94</v>
      </c>
      <c r="N265" s="7" t="s">
        <v>39</v>
      </c>
      <c r="O265" s="7" t="s">
        <v>769</v>
      </c>
      <c r="P265" s="7" t="s">
        <v>770</v>
      </c>
      <c r="Q265" s="7" t="s">
        <v>771</v>
      </c>
      <c r="R265" t="s">
        <v>3632</v>
      </c>
    </row>
    <row r="266" spans="1:20" x14ac:dyDescent="0.3">
      <c r="A266" s="7" t="str">
        <f>HYPERLINK("https://hsdes.intel.com/resource/14013158182","14013158182")</f>
        <v>14013158182</v>
      </c>
      <c r="B266" s="7" t="s">
        <v>772</v>
      </c>
      <c r="C266" s="7" t="s">
        <v>37</v>
      </c>
      <c r="D266" s="7" t="s">
        <v>3612</v>
      </c>
      <c r="E266" s="7" t="s">
        <v>3617</v>
      </c>
      <c r="F266" s="8" t="s">
        <v>3628</v>
      </c>
      <c r="H266" s="7" t="s">
        <v>3620</v>
      </c>
      <c r="I266" s="7" t="s">
        <v>3644</v>
      </c>
      <c r="L266" s="7" t="s">
        <v>38</v>
      </c>
      <c r="M266" s="7" t="s">
        <v>9</v>
      </c>
      <c r="N266" s="7" t="s">
        <v>39</v>
      </c>
      <c r="O266" s="7" t="s">
        <v>81</v>
      </c>
      <c r="P266" s="7" t="s">
        <v>82</v>
      </c>
      <c r="Q266" s="7" t="s">
        <v>773</v>
      </c>
      <c r="R266" t="s">
        <v>3632</v>
      </c>
    </row>
    <row r="267" spans="1:20" x14ac:dyDescent="0.3">
      <c r="A267" s="9" t="str">
        <f>HYPERLINK("https://hsdes.intel.com/resource/14013158193","14013158193")</f>
        <v>14013158193</v>
      </c>
      <c r="B267" s="7" t="s">
        <v>774</v>
      </c>
      <c r="C267" s="7" t="s">
        <v>775</v>
      </c>
      <c r="D267" s="7" t="s">
        <v>3612</v>
      </c>
      <c r="E267" s="7" t="s">
        <v>3617</v>
      </c>
      <c r="F267" s="8" t="s">
        <v>3628</v>
      </c>
      <c r="H267" s="7" t="s">
        <v>3619</v>
      </c>
      <c r="I267" s="7" t="s">
        <v>3622</v>
      </c>
      <c r="L267" s="7" t="s">
        <v>142</v>
      </c>
      <c r="M267" s="7" t="s">
        <v>9</v>
      </c>
      <c r="N267" s="7" t="s">
        <v>56</v>
      </c>
      <c r="O267" s="7" t="s">
        <v>776</v>
      </c>
      <c r="P267" s="7" t="s">
        <v>776</v>
      </c>
      <c r="Q267" s="7" t="s">
        <v>777</v>
      </c>
      <c r="R267" t="s">
        <v>3632</v>
      </c>
    </row>
    <row r="268" spans="1:20" x14ac:dyDescent="0.3">
      <c r="A268" s="7" t="str">
        <f>HYPERLINK("https://hsdes.intel.com/resource/14013158200","14013158200")</f>
        <v>14013158200</v>
      </c>
      <c r="B268" s="7" t="s">
        <v>778</v>
      </c>
      <c r="C268" s="7" t="s">
        <v>23</v>
      </c>
      <c r="D268" s="7" t="s">
        <v>3612</v>
      </c>
      <c r="E268" s="7" t="s">
        <v>3617</v>
      </c>
      <c r="F268" s="8" t="s">
        <v>3628</v>
      </c>
      <c r="H268" s="7" t="s">
        <v>3619</v>
      </c>
      <c r="I268" s="7" t="s">
        <v>3624</v>
      </c>
      <c r="L268" s="7" t="s">
        <v>24</v>
      </c>
      <c r="M268" s="7" t="s">
        <v>9</v>
      </c>
      <c r="N268" s="7" t="s">
        <v>25</v>
      </c>
      <c r="O268" s="7" t="s">
        <v>26</v>
      </c>
      <c r="P268" s="7" t="s">
        <v>26</v>
      </c>
      <c r="Q268" s="7" t="s">
        <v>779</v>
      </c>
      <c r="R268" t="s">
        <v>3632</v>
      </c>
    </row>
    <row r="269" spans="1:20" x14ac:dyDescent="0.3">
      <c r="A269" s="7" t="str">
        <f>HYPERLINK("https://hsdes.intel.com/resource/14013158232","14013158232")</f>
        <v>14013158232</v>
      </c>
      <c r="B269" s="7" t="s">
        <v>780</v>
      </c>
      <c r="C269" s="7" t="s">
        <v>161</v>
      </c>
      <c r="D269" s="7" t="s">
        <v>3612</v>
      </c>
      <c r="E269" s="7" t="s">
        <v>3617</v>
      </c>
      <c r="F269" s="8" t="s">
        <v>3628</v>
      </c>
      <c r="H269" s="7" t="s">
        <v>3619</v>
      </c>
      <c r="I269" s="7" t="s">
        <v>3524</v>
      </c>
      <c r="L269" s="7" t="s">
        <v>100</v>
      </c>
      <c r="M269" s="7" t="s">
        <v>94</v>
      </c>
      <c r="N269" s="7" t="s">
        <v>39</v>
      </c>
      <c r="O269" s="7" t="s">
        <v>781</v>
      </c>
      <c r="P269" s="7" t="s">
        <v>781</v>
      </c>
      <c r="Q269" s="7" t="s">
        <v>782</v>
      </c>
      <c r="R269" t="s">
        <v>3632</v>
      </c>
    </row>
    <row r="270" spans="1:20" x14ac:dyDescent="0.3">
      <c r="A270" s="7" t="str">
        <f>HYPERLINK("https://hsdes.intel.com/resource/14013158240","14013158240")</f>
        <v>14013158240</v>
      </c>
      <c r="B270" s="7" t="s">
        <v>783</v>
      </c>
      <c r="C270" s="7" t="s">
        <v>161</v>
      </c>
      <c r="D270" s="7" t="s">
        <v>3612</v>
      </c>
      <c r="E270" s="7" t="s">
        <v>3617</v>
      </c>
      <c r="F270" s="8" t="s">
        <v>3628</v>
      </c>
      <c r="H270" s="7" t="s">
        <v>3619</v>
      </c>
      <c r="I270" s="7" t="s">
        <v>3524</v>
      </c>
      <c r="L270" s="7" t="s">
        <v>100</v>
      </c>
      <c r="M270" s="7" t="s">
        <v>94</v>
      </c>
      <c r="N270" s="7" t="s">
        <v>39</v>
      </c>
      <c r="O270" s="7" t="s">
        <v>781</v>
      </c>
      <c r="P270" s="7" t="s">
        <v>781</v>
      </c>
      <c r="Q270" s="7" t="s">
        <v>784</v>
      </c>
      <c r="R270" t="s">
        <v>3632</v>
      </c>
    </row>
    <row r="271" spans="1:20" x14ac:dyDescent="0.3">
      <c r="A271" s="7" t="str">
        <f>HYPERLINK("https://hsdes.intel.com/resource/14013158242","14013158242")</f>
        <v>14013158242</v>
      </c>
      <c r="B271" s="7" t="s">
        <v>785</v>
      </c>
      <c r="C271" s="7" t="s">
        <v>175</v>
      </c>
      <c r="D271" s="7" t="s">
        <v>3612</v>
      </c>
      <c r="E271" s="7" t="s">
        <v>3617</v>
      </c>
      <c r="F271" s="8" t="s">
        <v>3628</v>
      </c>
      <c r="H271" s="7" t="s">
        <v>3619</v>
      </c>
      <c r="I271" s="7" t="s">
        <v>3622</v>
      </c>
      <c r="L271" s="7" t="s">
        <v>38</v>
      </c>
      <c r="M271" s="7" t="s">
        <v>94</v>
      </c>
      <c r="N271" s="7" t="s">
        <v>786</v>
      </c>
      <c r="O271" s="7" t="s">
        <v>787</v>
      </c>
      <c r="P271" s="7" t="s">
        <v>788</v>
      </c>
      <c r="Q271" s="7" t="s">
        <v>789</v>
      </c>
      <c r="R271" t="s">
        <v>3632</v>
      </c>
    </row>
    <row r="272" spans="1:20" x14ac:dyDescent="0.3">
      <c r="A272" s="7" t="str">
        <f>HYPERLINK("https://hsdes.intel.com/resource/14013158256","14013158256")</f>
        <v>14013158256</v>
      </c>
      <c r="B272" s="7" t="s">
        <v>790</v>
      </c>
      <c r="C272" s="7" t="s">
        <v>7</v>
      </c>
      <c r="D272" s="7" t="s">
        <v>3613</v>
      </c>
      <c r="E272" s="7" t="s">
        <v>3617</v>
      </c>
      <c r="F272" s="8" t="s">
        <v>3628</v>
      </c>
      <c r="H272" s="7" t="s">
        <v>3620</v>
      </c>
      <c r="I272" s="7" t="s">
        <v>3644</v>
      </c>
      <c r="L272" s="7" t="s">
        <v>8</v>
      </c>
      <c r="M272" s="7" t="s">
        <v>9</v>
      </c>
      <c r="N272" s="7" t="s">
        <v>10</v>
      </c>
      <c r="O272" s="7" t="s">
        <v>791</v>
      </c>
      <c r="P272" s="7" t="s">
        <v>792</v>
      </c>
      <c r="Q272" s="7" t="s">
        <v>793</v>
      </c>
      <c r="R272" t="s">
        <v>3632</v>
      </c>
    </row>
    <row r="273" spans="1:18" x14ac:dyDescent="0.3">
      <c r="A273" s="7" t="str">
        <f>HYPERLINK("https://hsdes.intel.com/resource/14013158274","14013158274")</f>
        <v>14013158274</v>
      </c>
      <c r="B273" s="7" t="s">
        <v>794</v>
      </c>
      <c r="C273" s="7" t="s">
        <v>161</v>
      </c>
      <c r="D273" s="7" t="s">
        <v>3612</v>
      </c>
      <c r="E273" s="7" t="s">
        <v>3617</v>
      </c>
      <c r="F273" s="8" t="s">
        <v>3628</v>
      </c>
      <c r="H273" s="7" t="s">
        <v>3618</v>
      </c>
      <c r="J273" s="6" t="s">
        <v>3529</v>
      </c>
      <c r="L273" s="7" t="s">
        <v>38</v>
      </c>
      <c r="M273" s="7" t="s">
        <v>94</v>
      </c>
      <c r="N273" s="7" t="s">
        <v>56</v>
      </c>
      <c r="O273" s="7" t="s">
        <v>795</v>
      </c>
      <c r="P273" s="7" t="s">
        <v>796</v>
      </c>
      <c r="Q273" s="7" t="s">
        <v>797</v>
      </c>
      <c r="R273" t="s">
        <v>3632</v>
      </c>
    </row>
    <row r="274" spans="1:18" x14ac:dyDescent="0.3">
      <c r="A274" s="7" t="str">
        <f>HYPERLINK("https://hsdes.intel.com/resource/14013158276","14013158276")</f>
        <v>14013158276</v>
      </c>
      <c r="B274" s="7" t="s">
        <v>798</v>
      </c>
      <c r="C274" s="7" t="s">
        <v>121</v>
      </c>
      <c r="D274" s="7" t="s">
        <v>3612</v>
      </c>
      <c r="E274" s="7" t="s">
        <v>3617</v>
      </c>
      <c r="F274" s="8" t="s">
        <v>3628</v>
      </c>
      <c r="H274" s="7" t="s">
        <v>3619</v>
      </c>
      <c r="I274" s="7" t="s">
        <v>3622</v>
      </c>
      <c r="L274" s="7" t="s">
        <v>142</v>
      </c>
      <c r="M274" s="7" t="s">
        <v>9</v>
      </c>
      <c r="N274" s="7" t="s">
        <v>39</v>
      </c>
      <c r="O274" s="7" t="s">
        <v>217</v>
      </c>
      <c r="P274" s="7" t="s">
        <v>217</v>
      </c>
      <c r="Q274" s="7" t="s">
        <v>799</v>
      </c>
      <c r="R274" t="s">
        <v>3632</v>
      </c>
    </row>
    <row r="275" spans="1:18" x14ac:dyDescent="0.3">
      <c r="A275" s="7" t="str">
        <f>HYPERLINK("https://hsdes.intel.com/resource/14013158278","14013158278")</f>
        <v>14013158278</v>
      </c>
      <c r="B275" s="7" t="s">
        <v>800</v>
      </c>
      <c r="C275" s="7" t="s">
        <v>175</v>
      </c>
      <c r="D275" s="7" t="s">
        <v>3612</v>
      </c>
      <c r="E275" s="7" t="s">
        <v>3617</v>
      </c>
      <c r="F275" s="8" t="s">
        <v>3628</v>
      </c>
      <c r="H275" s="7" t="s">
        <v>3619</v>
      </c>
      <c r="I275" s="7" t="s">
        <v>3622</v>
      </c>
      <c r="L275" s="7" t="s">
        <v>38</v>
      </c>
      <c r="M275" s="7" t="s">
        <v>94</v>
      </c>
      <c r="N275" s="7" t="s">
        <v>786</v>
      </c>
      <c r="O275" s="7" t="s">
        <v>801</v>
      </c>
      <c r="P275" s="7" t="s">
        <v>788</v>
      </c>
      <c r="Q275" s="7" t="s">
        <v>802</v>
      </c>
      <c r="R275" t="s">
        <v>3631</v>
      </c>
    </row>
    <row r="276" spans="1:18" x14ac:dyDescent="0.3">
      <c r="A276" s="7" t="str">
        <f>HYPERLINK("https://hsdes.intel.com/resource/14013158290","14013158290")</f>
        <v>14013158290</v>
      </c>
      <c r="B276" s="7" t="s">
        <v>803</v>
      </c>
      <c r="C276" s="7" t="s">
        <v>55</v>
      </c>
      <c r="D276" s="7" t="s">
        <v>3612</v>
      </c>
      <c r="E276" s="7" t="s">
        <v>3617</v>
      </c>
      <c r="F276" s="8" t="s">
        <v>3628</v>
      </c>
      <c r="H276" s="7" t="s">
        <v>3619</v>
      </c>
      <c r="I276" s="7" t="s">
        <v>3649</v>
      </c>
      <c r="J276" s="7" t="s">
        <v>3579</v>
      </c>
      <c r="L276" s="7" t="s">
        <v>30</v>
      </c>
      <c r="M276" s="7" t="s">
        <v>94</v>
      </c>
      <c r="N276" s="7" t="s">
        <v>804</v>
      </c>
      <c r="O276" s="7" t="s">
        <v>805</v>
      </c>
      <c r="P276" s="7" t="s">
        <v>806</v>
      </c>
      <c r="Q276" s="7" t="s">
        <v>807</v>
      </c>
      <c r="R276" t="s">
        <v>3632</v>
      </c>
    </row>
    <row r="277" spans="1:18" x14ac:dyDescent="0.3">
      <c r="A277" s="7" t="str">
        <f>HYPERLINK("https://hsdes.intel.com/resource/14013158293","14013158293")</f>
        <v>14013158293</v>
      </c>
      <c r="B277" s="7" t="s">
        <v>808</v>
      </c>
      <c r="C277" s="7" t="s">
        <v>161</v>
      </c>
      <c r="D277" s="7" t="s">
        <v>3612</v>
      </c>
      <c r="E277" s="7" t="s">
        <v>3617</v>
      </c>
      <c r="F277" s="8" t="s">
        <v>3628</v>
      </c>
      <c r="H277" s="7" t="s">
        <v>3618</v>
      </c>
      <c r="J277" s="7" t="s">
        <v>3528</v>
      </c>
      <c r="L277" s="7" t="s">
        <v>38</v>
      </c>
      <c r="M277" s="7" t="s">
        <v>9</v>
      </c>
      <c r="N277" s="7" t="s">
        <v>39</v>
      </c>
      <c r="O277" s="7" t="s">
        <v>809</v>
      </c>
      <c r="P277" s="7" t="s">
        <v>810</v>
      </c>
      <c r="Q277" s="7" t="s">
        <v>811</v>
      </c>
      <c r="R277" t="s">
        <v>3632</v>
      </c>
    </row>
    <row r="278" spans="1:18" x14ac:dyDescent="0.3">
      <c r="A278" s="7" t="str">
        <f>HYPERLINK("https://hsdes.intel.com/resource/14013158295","14013158295")</f>
        <v>14013158295</v>
      </c>
      <c r="B278" s="7" t="s">
        <v>812</v>
      </c>
      <c r="C278" s="7" t="s">
        <v>524</v>
      </c>
      <c r="D278" s="7" t="s">
        <v>3612</v>
      </c>
      <c r="E278" s="7" t="s">
        <v>3617</v>
      </c>
      <c r="F278" s="8" t="s">
        <v>3628</v>
      </c>
      <c r="H278" s="7" t="s">
        <v>3618</v>
      </c>
      <c r="J278" s="7" t="s">
        <v>3573</v>
      </c>
      <c r="L278" s="7" t="s">
        <v>8</v>
      </c>
      <c r="M278" s="7" t="s">
        <v>9</v>
      </c>
      <c r="N278" s="7" t="s">
        <v>56</v>
      </c>
      <c r="O278" s="7" t="s">
        <v>813</v>
      </c>
      <c r="P278" s="7" t="s">
        <v>814</v>
      </c>
      <c r="Q278" s="7" t="s">
        <v>815</v>
      </c>
      <c r="R278" t="s">
        <v>3633</v>
      </c>
    </row>
    <row r="279" spans="1:18" x14ac:dyDescent="0.3">
      <c r="A279" s="7" t="str">
        <f>HYPERLINK("https://hsdes.intel.com/resource/14013158308","14013158308")</f>
        <v>14013158308</v>
      </c>
      <c r="B279" s="7" t="s">
        <v>816</v>
      </c>
      <c r="C279" s="7" t="s">
        <v>7</v>
      </c>
      <c r="D279" s="7" t="s">
        <v>3613</v>
      </c>
      <c r="E279" s="7" t="s">
        <v>3617</v>
      </c>
      <c r="F279" s="8" t="s">
        <v>3628</v>
      </c>
      <c r="H279" s="7" t="s">
        <v>3620</v>
      </c>
      <c r="I279" s="7" t="s">
        <v>3644</v>
      </c>
      <c r="L279" s="7" t="s">
        <v>8</v>
      </c>
      <c r="M279" s="7" t="s">
        <v>9</v>
      </c>
      <c r="N279" s="7" t="s">
        <v>10</v>
      </c>
      <c r="O279" s="7" t="s">
        <v>817</v>
      </c>
      <c r="P279" s="7" t="s">
        <v>792</v>
      </c>
      <c r="Q279" s="7" t="s">
        <v>818</v>
      </c>
      <c r="R279" t="s">
        <v>3632</v>
      </c>
    </row>
    <row r="280" spans="1:18" x14ac:dyDescent="0.3">
      <c r="A280" s="7" t="str">
        <f>HYPERLINK("https://hsdes.intel.com/resource/14013158313","14013158313")</f>
        <v>14013158313</v>
      </c>
      <c r="B280" s="7" t="s">
        <v>819</v>
      </c>
      <c r="C280" s="7" t="s">
        <v>7</v>
      </c>
      <c r="D280" s="7" t="s">
        <v>3612</v>
      </c>
      <c r="E280" s="7" t="s">
        <v>3617</v>
      </c>
      <c r="F280" s="8" t="s">
        <v>3628</v>
      </c>
      <c r="H280" s="7" t="s">
        <v>3620</v>
      </c>
      <c r="I280" s="7" t="s">
        <v>3644</v>
      </c>
      <c r="L280" s="7" t="s">
        <v>8</v>
      </c>
      <c r="M280" s="7" t="s">
        <v>9</v>
      </c>
      <c r="N280" s="7" t="s">
        <v>738</v>
      </c>
      <c r="O280" s="7" t="s">
        <v>817</v>
      </c>
      <c r="P280" s="7" t="s">
        <v>820</v>
      </c>
      <c r="Q280" s="7" t="s">
        <v>821</v>
      </c>
      <c r="R280" t="s">
        <v>3633</v>
      </c>
    </row>
    <row r="281" spans="1:18" x14ac:dyDescent="0.3">
      <c r="A281" s="7" t="str">
        <f>HYPERLINK("https://hsdes.intel.com/resource/14013158318","14013158318")</f>
        <v>14013158318</v>
      </c>
      <c r="B281" s="7" t="s">
        <v>822</v>
      </c>
      <c r="C281" s="7" t="s">
        <v>55</v>
      </c>
      <c r="D281" s="7" t="s">
        <v>3612</v>
      </c>
      <c r="E281" s="7" t="s">
        <v>3617</v>
      </c>
      <c r="F281" s="8" t="s">
        <v>3628</v>
      </c>
      <c r="H281" s="7" t="s">
        <v>3620</v>
      </c>
      <c r="I281" s="7" t="s">
        <v>3644</v>
      </c>
      <c r="L281" s="7" t="s">
        <v>30</v>
      </c>
      <c r="M281" s="7" t="s">
        <v>9</v>
      </c>
      <c r="N281" s="7" t="s">
        <v>823</v>
      </c>
      <c r="O281" s="7" t="s">
        <v>78</v>
      </c>
      <c r="P281" s="7" t="s">
        <v>78</v>
      </c>
      <c r="Q281" s="7" t="s">
        <v>824</v>
      </c>
      <c r="R281" t="s">
        <v>3632</v>
      </c>
    </row>
    <row r="282" spans="1:18" x14ac:dyDescent="0.3">
      <c r="A282" s="7" t="str">
        <f>HYPERLINK("https://hsdes.intel.com/resource/14013158370","14013158370")</f>
        <v>14013158370</v>
      </c>
      <c r="B282" s="7" t="s">
        <v>825</v>
      </c>
      <c r="C282" s="7" t="s">
        <v>341</v>
      </c>
      <c r="D282" s="7" t="s">
        <v>3612</v>
      </c>
      <c r="E282" s="7" t="s">
        <v>3617</v>
      </c>
      <c r="F282" s="8" t="s">
        <v>3628</v>
      </c>
      <c r="H282" s="7" t="s">
        <v>3619</v>
      </c>
      <c r="I282" s="7" t="s">
        <v>3622</v>
      </c>
      <c r="L282" s="7" t="s">
        <v>64</v>
      </c>
      <c r="M282" s="7" t="s">
        <v>9</v>
      </c>
      <c r="N282" s="7" t="s">
        <v>25</v>
      </c>
      <c r="O282" s="7" t="s">
        <v>826</v>
      </c>
      <c r="P282" s="7" t="s">
        <v>827</v>
      </c>
      <c r="Q282" s="7" t="s">
        <v>828</v>
      </c>
      <c r="R282" t="s">
        <v>3632</v>
      </c>
    </row>
    <row r="283" spans="1:18" x14ac:dyDescent="0.3">
      <c r="A283" s="7" t="str">
        <f>HYPERLINK("https://hsdes.intel.com/resource/14013158378","14013158378")</f>
        <v>14013158378</v>
      </c>
      <c r="B283" s="7" t="s">
        <v>829</v>
      </c>
      <c r="C283" s="7" t="s">
        <v>112</v>
      </c>
      <c r="D283" s="7" t="s">
        <v>3613</v>
      </c>
      <c r="E283" s="7" t="s">
        <v>3617</v>
      </c>
      <c r="F283" s="8" t="s">
        <v>3628</v>
      </c>
      <c r="H283" s="7" t="s">
        <v>3619</v>
      </c>
      <c r="I283" s="7" t="s">
        <v>3622</v>
      </c>
      <c r="L283" s="7" t="s">
        <v>30</v>
      </c>
      <c r="M283" s="7" t="s">
        <v>94</v>
      </c>
      <c r="N283" s="7" t="s">
        <v>56</v>
      </c>
      <c r="O283" s="7" t="s">
        <v>830</v>
      </c>
      <c r="P283" s="7" t="s">
        <v>831</v>
      </c>
      <c r="Q283" s="7" t="s">
        <v>832</v>
      </c>
      <c r="R283" t="s">
        <v>3631</v>
      </c>
    </row>
    <row r="284" spans="1:18" x14ac:dyDescent="0.3">
      <c r="A284" s="7" t="str">
        <f>HYPERLINK("https://hsdes.intel.com/resource/14013158384","14013158384")</f>
        <v>14013158384</v>
      </c>
      <c r="B284" s="7" t="s">
        <v>833</v>
      </c>
      <c r="C284" s="7" t="s">
        <v>23</v>
      </c>
      <c r="D284" s="7" t="s">
        <v>3612</v>
      </c>
      <c r="E284" s="7" t="s">
        <v>3617</v>
      </c>
      <c r="F284" s="8" t="s">
        <v>3628</v>
      </c>
      <c r="H284" s="7" t="s">
        <v>3619</v>
      </c>
      <c r="I284" s="7" t="s">
        <v>3624</v>
      </c>
      <c r="L284" s="7" t="s">
        <v>24</v>
      </c>
      <c r="M284" s="7" t="s">
        <v>9</v>
      </c>
      <c r="N284" s="7" t="s">
        <v>25</v>
      </c>
      <c r="O284" s="7" t="s">
        <v>834</v>
      </c>
      <c r="P284" s="7" t="s">
        <v>217</v>
      </c>
      <c r="Q284" s="7" t="s">
        <v>835</v>
      </c>
      <c r="R284" t="s">
        <v>3632</v>
      </c>
    </row>
    <row r="285" spans="1:18" x14ac:dyDescent="0.3">
      <c r="A285" s="7" t="str">
        <f>HYPERLINK("https://hsdes.intel.com/resource/14013158395","14013158395")</f>
        <v>14013158395</v>
      </c>
      <c r="B285" s="7" t="s">
        <v>836</v>
      </c>
      <c r="C285" s="7" t="s">
        <v>7</v>
      </c>
      <c r="D285" s="7" t="s">
        <v>3612</v>
      </c>
      <c r="E285" s="7" t="s">
        <v>3617</v>
      </c>
      <c r="F285" s="8" t="s">
        <v>3628</v>
      </c>
      <c r="H285" s="7" t="s">
        <v>3618</v>
      </c>
      <c r="I285" s="7" t="s">
        <v>3524</v>
      </c>
      <c r="J285" s="7" t="s">
        <v>3531</v>
      </c>
      <c r="L285" s="7" t="s">
        <v>8</v>
      </c>
      <c r="M285" s="7" t="s">
        <v>9</v>
      </c>
      <c r="N285" s="7" t="s">
        <v>10</v>
      </c>
      <c r="O285" s="7" t="s">
        <v>60</v>
      </c>
      <c r="P285" s="7" t="s">
        <v>60</v>
      </c>
      <c r="Q285" s="7" t="s">
        <v>837</v>
      </c>
      <c r="R285" t="s">
        <v>3631</v>
      </c>
    </row>
    <row r="286" spans="1:18" x14ac:dyDescent="0.3">
      <c r="A286" s="7" t="str">
        <f>HYPERLINK("https://hsdes.intel.com/resource/14013158397","14013158397")</f>
        <v>14013158397</v>
      </c>
      <c r="B286" s="7" t="s">
        <v>838</v>
      </c>
      <c r="C286" s="7" t="s">
        <v>133</v>
      </c>
      <c r="D286" s="7" t="s">
        <v>3612</v>
      </c>
      <c r="E286" s="7" t="s">
        <v>3617</v>
      </c>
      <c r="F286" s="8" t="s">
        <v>3628</v>
      </c>
      <c r="H286" s="7" t="s">
        <v>3620</v>
      </c>
      <c r="I286" s="7" t="s">
        <v>3640</v>
      </c>
      <c r="L286" s="7" t="s">
        <v>8</v>
      </c>
      <c r="M286" s="7" t="s">
        <v>9</v>
      </c>
      <c r="N286" s="7" t="s">
        <v>56</v>
      </c>
      <c r="O286" s="7" t="s">
        <v>839</v>
      </c>
      <c r="P286" s="7" t="s">
        <v>839</v>
      </c>
      <c r="Q286" s="7" t="s">
        <v>840</v>
      </c>
      <c r="R286" t="s">
        <v>3632</v>
      </c>
    </row>
    <row r="287" spans="1:18" x14ac:dyDescent="0.3">
      <c r="A287" s="7" t="str">
        <f>HYPERLINK("https://hsdes.intel.com/resource/14013158406","14013158406")</f>
        <v>14013158406</v>
      </c>
      <c r="B287" s="7" t="s">
        <v>841</v>
      </c>
      <c r="C287" s="7" t="s">
        <v>55</v>
      </c>
      <c r="D287" s="7" t="s">
        <v>3612</v>
      </c>
      <c r="E287" s="7" t="s">
        <v>3617</v>
      </c>
      <c r="F287" s="8" t="s">
        <v>3628</v>
      </c>
      <c r="H287" s="7" t="s">
        <v>3620</v>
      </c>
      <c r="I287" s="7" t="s">
        <v>3622</v>
      </c>
      <c r="L287" s="7" t="s">
        <v>30</v>
      </c>
      <c r="M287" s="7" t="s">
        <v>9</v>
      </c>
      <c r="N287" s="7" t="s">
        <v>39</v>
      </c>
      <c r="O287" s="7" t="s">
        <v>842</v>
      </c>
      <c r="P287" s="7" t="s">
        <v>319</v>
      </c>
      <c r="Q287" s="7" t="s">
        <v>843</v>
      </c>
      <c r="R287" t="s">
        <v>3632</v>
      </c>
    </row>
    <row r="288" spans="1:18" x14ac:dyDescent="0.3">
      <c r="A288" s="7" t="str">
        <f>HYPERLINK("https://hsdes.intel.com/resource/14013158414","14013158414")</f>
        <v>14013158414</v>
      </c>
      <c r="B288" s="7" t="s">
        <v>844</v>
      </c>
      <c r="C288" s="7" t="s">
        <v>845</v>
      </c>
      <c r="D288" s="7" t="s">
        <v>3612</v>
      </c>
      <c r="E288" s="7" t="s">
        <v>3617</v>
      </c>
      <c r="F288" s="8" t="s">
        <v>3628</v>
      </c>
      <c r="H288" s="7" t="s">
        <v>3619</v>
      </c>
      <c r="I288" s="7" t="s">
        <v>3622</v>
      </c>
      <c r="L288" s="7" t="s">
        <v>142</v>
      </c>
      <c r="M288" s="7" t="s">
        <v>9</v>
      </c>
      <c r="N288" s="7" t="s">
        <v>56</v>
      </c>
      <c r="O288" s="7" t="s">
        <v>846</v>
      </c>
      <c r="P288" s="7" t="s">
        <v>847</v>
      </c>
      <c r="Q288" s="7" t="s">
        <v>848</v>
      </c>
      <c r="R288" t="s">
        <v>3632</v>
      </c>
    </row>
    <row r="289" spans="1:18" x14ac:dyDescent="0.3">
      <c r="A289" s="7" t="str">
        <f>HYPERLINK("https://hsdes.intel.com/resource/14013158435","14013158435")</f>
        <v>14013158435</v>
      </c>
      <c r="B289" s="7" t="s">
        <v>849</v>
      </c>
      <c r="C289" s="7" t="s">
        <v>121</v>
      </c>
      <c r="D289" s="7" t="s">
        <v>3613</v>
      </c>
      <c r="E289" s="7" t="s">
        <v>3617</v>
      </c>
      <c r="F289" s="8" t="s">
        <v>3628</v>
      </c>
      <c r="H289" s="7" t="s">
        <v>3619</v>
      </c>
      <c r="I289" s="7" t="s">
        <v>3622</v>
      </c>
      <c r="L289" s="7" t="s">
        <v>30</v>
      </c>
      <c r="M289" s="7" t="s">
        <v>9</v>
      </c>
      <c r="N289" s="7" t="s">
        <v>122</v>
      </c>
      <c r="O289" s="7" t="s">
        <v>850</v>
      </c>
      <c r="P289" s="7" t="s">
        <v>143</v>
      </c>
      <c r="Q289" s="7" t="s">
        <v>851</v>
      </c>
      <c r="R289" t="s">
        <v>3632</v>
      </c>
    </row>
    <row r="290" spans="1:18" x14ac:dyDescent="0.3">
      <c r="A290" s="7" t="str">
        <f>HYPERLINK("https://hsdes.intel.com/resource/14013158443","14013158443")</f>
        <v>14013158443</v>
      </c>
      <c r="B290" s="7" t="s">
        <v>852</v>
      </c>
      <c r="C290" s="7" t="s">
        <v>55</v>
      </c>
      <c r="D290" s="7" t="s">
        <v>3612</v>
      </c>
      <c r="E290" s="7" t="s">
        <v>3617</v>
      </c>
      <c r="F290" s="8" t="s">
        <v>3628</v>
      </c>
      <c r="H290" s="7" t="s">
        <v>3620</v>
      </c>
      <c r="I290" s="7" t="s">
        <v>3644</v>
      </c>
      <c r="L290" s="7" t="s">
        <v>30</v>
      </c>
      <c r="M290" s="7" t="s">
        <v>9</v>
      </c>
      <c r="N290" s="7" t="s">
        <v>39</v>
      </c>
      <c r="O290" s="7" t="s">
        <v>853</v>
      </c>
      <c r="P290" s="7" t="s">
        <v>854</v>
      </c>
      <c r="Q290" s="7" t="s">
        <v>855</v>
      </c>
      <c r="R290" t="s">
        <v>3632</v>
      </c>
    </row>
    <row r="291" spans="1:18" x14ac:dyDescent="0.3">
      <c r="A291" s="7" t="str">
        <f>HYPERLINK("https://hsdes.intel.com/resource/14013158446","14013158446")</f>
        <v>14013158446</v>
      </c>
      <c r="B291" s="7" t="s">
        <v>856</v>
      </c>
      <c r="C291" s="7" t="s">
        <v>55</v>
      </c>
      <c r="D291" s="7" t="s">
        <v>3612</v>
      </c>
      <c r="E291" s="7" t="s">
        <v>3617</v>
      </c>
      <c r="F291" s="8" t="s">
        <v>3628</v>
      </c>
      <c r="H291" s="7" t="s">
        <v>3620</v>
      </c>
      <c r="I291" s="7" t="s">
        <v>3644</v>
      </c>
      <c r="L291" s="7" t="s">
        <v>30</v>
      </c>
      <c r="M291" s="7" t="s">
        <v>9</v>
      </c>
      <c r="N291" s="7" t="s">
        <v>39</v>
      </c>
      <c r="O291" s="7" t="s">
        <v>857</v>
      </c>
      <c r="P291" s="7" t="s">
        <v>858</v>
      </c>
      <c r="Q291" s="7" t="s">
        <v>859</v>
      </c>
      <c r="R291" t="s">
        <v>3633</v>
      </c>
    </row>
    <row r="292" spans="1:18" x14ac:dyDescent="0.3">
      <c r="A292" s="7" t="str">
        <f>HYPERLINK("https://hsdes.intel.com/resource/14013158464","14013158464")</f>
        <v>14013158464</v>
      </c>
      <c r="B292" s="7" t="s">
        <v>860</v>
      </c>
      <c r="C292" s="7" t="s">
        <v>121</v>
      </c>
      <c r="D292" s="7" t="s">
        <v>3612</v>
      </c>
      <c r="E292" s="7" t="s">
        <v>3617</v>
      </c>
      <c r="F292" s="8" t="s">
        <v>3628</v>
      </c>
      <c r="H292" s="7" t="s">
        <v>3619</v>
      </c>
      <c r="I292" s="7" t="s">
        <v>3622</v>
      </c>
      <c r="L292" s="7" t="s">
        <v>142</v>
      </c>
      <c r="M292" s="7" t="s">
        <v>9</v>
      </c>
      <c r="N292" s="7" t="s">
        <v>39</v>
      </c>
      <c r="O292" s="7" t="s">
        <v>861</v>
      </c>
      <c r="P292" s="7" t="s">
        <v>217</v>
      </c>
      <c r="Q292" s="7" t="s">
        <v>862</v>
      </c>
      <c r="R292" t="s">
        <v>3631</v>
      </c>
    </row>
    <row r="293" spans="1:18" x14ac:dyDescent="0.3">
      <c r="A293" s="7" t="str">
        <f>HYPERLINK("https://hsdes.intel.com/resource/14013158470","14013158470")</f>
        <v>14013158470</v>
      </c>
      <c r="B293" s="7" t="s">
        <v>863</v>
      </c>
      <c r="C293" s="7" t="s">
        <v>55</v>
      </c>
      <c r="D293" s="7" t="s">
        <v>3612</v>
      </c>
      <c r="E293" s="7" t="s">
        <v>3617</v>
      </c>
      <c r="F293" s="8" t="s">
        <v>3628</v>
      </c>
      <c r="H293" s="7" t="s">
        <v>3620</v>
      </c>
      <c r="I293" s="7" t="s">
        <v>3649</v>
      </c>
      <c r="L293" s="7" t="s">
        <v>30</v>
      </c>
      <c r="M293" s="7" t="s">
        <v>9</v>
      </c>
      <c r="N293" s="7" t="s">
        <v>56</v>
      </c>
      <c r="O293" s="7" t="s">
        <v>864</v>
      </c>
      <c r="P293" s="7" t="s">
        <v>864</v>
      </c>
      <c r="Q293" s="7" t="s">
        <v>865</v>
      </c>
      <c r="R293" t="s">
        <v>3632</v>
      </c>
    </row>
    <row r="294" spans="1:18" x14ac:dyDescent="0.3">
      <c r="A294" s="7" t="str">
        <f>HYPERLINK("https://hsdes.intel.com/resource/14013158485","14013158485")</f>
        <v>14013158485</v>
      </c>
      <c r="B294" s="7" t="s">
        <v>866</v>
      </c>
      <c r="C294" s="7" t="s">
        <v>55</v>
      </c>
      <c r="D294" s="7" t="s">
        <v>3612</v>
      </c>
      <c r="E294" s="7" t="s">
        <v>3617</v>
      </c>
      <c r="F294" s="8" t="s">
        <v>3628</v>
      </c>
      <c r="H294" s="7" t="s">
        <v>3620</v>
      </c>
      <c r="I294" s="7" t="s">
        <v>3622</v>
      </c>
      <c r="L294" s="7" t="s">
        <v>30</v>
      </c>
      <c r="M294" s="7" t="s">
        <v>9</v>
      </c>
      <c r="N294" s="7" t="s">
        <v>25</v>
      </c>
      <c r="O294" s="7" t="s">
        <v>867</v>
      </c>
      <c r="P294" s="7" t="s">
        <v>868</v>
      </c>
      <c r="Q294" s="7" t="s">
        <v>869</v>
      </c>
      <c r="R294" t="s">
        <v>3632</v>
      </c>
    </row>
    <row r="295" spans="1:18" x14ac:dyDescent="0.3">
      <c r="A295" s="7" t="str">
        <f>HYPERLINK("https://hsdes.intel.com/resource/14013158498","14013158498")</f>
        <v>14013158498</v>
      </c>
      <c r="B295" s="7" t="s">
        <v>870</v>
      </c>
      <c r="C295" s="7" t="s">
        <v>23</v>
      </c>
      <c r="D295" s="7" t="s">
        <v>3612</v>
      </c>
      <c r="E295" s="7" t="s">
        <v>3617</v>
      </c>
      <c r="F295" s="8" t="s">
        <v>3628</v>
      </c>
      <c r="H295" s="16" t="s">
        <v>3619</v>
      </c>
      <c r="I295" s="7" t="s">
        <v>3624</v>
      </c>
      <c r="L295" s="7" t="s">
        <v>24</v>
      </c>
      <c r="M295" s="7" t="s">
        <v>9</v>
      </c>
      <c r="N295" s="7" t="s">
        <v>39</v>
      </c>
      <c r="O295" s="7" t="s">
        <v>48</v>
      </c>
      <c r="P295" s="7" t="s">
        <v>48</v>
      </c>
      <c r="Q295" s="7" t="s">
        <v>871</v>
      </c>
      <c r="R295" t="s">
        <v>3632</v>
      </c>
    </row>
    <row r="296" spans="1:18" x14ac:dyDescent="0.3">
      <c r="A296" s="7" t="str">
        <f>HYPERLINK("https://hsdes.intel.com/resource/14013158501","14013158501")</f>
        <v>14013158501</v>
      </c>
      <c r="B296" s="7" t="s">
        <v>872</v>
      </c>
      <c r="C296" s="7" t="s">
        <v>55</v>
      </c>
      <c r="D296" s="7" t="s">
        <v>3612</v>
      </c>
      <c r="E296" s="7" t="s">
        <v>3617</v>
      </c>
      <c r="F296" s="8" t="s">
        <v>3628</v>
      </c>
      <c r="H296" s="7" t="s">
        <v>3620</v>
      </c>
      <c r="I296" s="7" t="s">
        <v>3622</v>
      </c>
      <c r="L296" s="7" t="s">
        <v>30</v>
      </c>
      <c r="M296" s="7" t="s">
        <v>9</v>
      </c>
      <c r="N296" s="7" t="s">
        <v>39</v>
      </c>
      <c r="O296" s="7" t="s">
        <v>78</v>
      </c>
      <c r="P296" s="7" t="s">
        <v>78</v>
      </c>
      <c r="Q296" s="7" t="s">
        <v>873</v>
      </c>
      <c r="R296" t="s">
        <v>3632</v>
      </c>
    </row>
    <row r="297" spans="1:18" x14ac:dyDescent="0.3">
      <c r="A297" s="7" t="str">
        <f>HYPERLINK("https://hsdes.intel.com/resource/14013158511","14013158511")</f>
        <v>14013158511</v>
      </c>
      <c r="B297" s="7" t="s">
        <v>874</v>
      </c>
      <c r="C297" s="7" t="s">
        <v>55</v>
      </c>
      <c r="D297" s="7" t="s">
        <v>3612</v>
      </c>
      <c r="E297" s="7" t="s">
        <v>3617</v>
      </c>
      <c r="F297" s="8" t="s">
        <v>3628</v>
      </c>
      <c r="H297" s="7" t="s">
        <v>3620</v>
      </c>
      <c r="I297" s="7" t="s">
        <v>3622</v>
      </c>
      <c r="L297" s="7" t="s">
        <v>30</v>
      </c>
      <c r="M297" s="7" t="s">
        <v>9</v>
      </c>
      <c r="N297" s="7" t="s">
        <v>39</v>
      </c>
      <c r="O297" s="7" t="s">
        <v>78</v>
      </c>
      <c r="P297" s="7" t="s">
        <v>78</v>
      </c>
      <c r="Q297" s="7" t="s">
        <v>875</v>
      </c>
      <c r="R297" t="s">
        <v>3632</v>
      </c>
    </row>
    <row r="298" spans="1:18" x14ac:dyDescent="0.3">
      <c r="A298" s="7" t="str">
        <f>HYPERLINK("https://hsdes.intel.com/resource/14013158520","14013158520")</f>
        <v>14013158520</v>
      </c>
      <c r="B298" s="7" t="s">
        <v>876</v>
      </c>
      <c r="C298" s="7" t="s">
        <v>877</v>
      </c>
      <c r="D298" s="7" t="s">
        <v>3612</v>
      </c>
      <c r="E298" s="7" t="s">
        <v>3617</v>
      </c>
      <c r="F298" s="8" t="s">
        <v>3628</v>
      </c>
      <c r="H298" s="7" t="s">
        <v>3620</v>
      </c>
      <c r="I298" s="7" t="s">
        <v>3644</v>
      </c>
      <c r="L298" s="7" t="s">
        <v>142</v>
      </c>
      <c r="M298" s="7" t="s">
        <v>9</v>
      </c>
      <c r="N298" s="7" t="s">
        <v>25</v>
      </c>
      <c r="O298" s="7" t="s">
        <v>867</v>
      </c>
      <c r="P298" s="7" t="s">
        <v>682</v>
      </c>
      <c r="Q298" s="7" t="s">
        <v>878</v>
      </c>
      <c r="R298" t="s">
        <v>3632</v>
      </c>
    </row>
    <row r="299" spans="1:18" x14ac:dyDescent="0.3">
      <c r="A299" s="7" t="str">
        <f>HYPERLINK("https://hsdes.intel.com/resource/14013158536","14013158536")</f>
        <v>14013158536</v>
      </c>
      <c r="B299" s="7" t="s">
        <v>879</v>
      </c>
      <c r="C299" s="7" t="s">
        <v>55</v>
      </c>
      <c r="D299" s="7" t="s">
        <v>3612</v>
      </c>
      <c r="E299" s="7" t="s">
        <v>3617</v>
      </c>
      <c r="F299" s="8" t="s">
        <v>3628</v>
      </c>
      <c r="H299" s="7" t="s">
        <v>3620</v>
      </c>
      <c r="I299" s="7" t="s">
        <v>3622</v>
      </c>
      <c r="L299" s="7" t="s">
        <v>30</v>
      </c>
      <c r="M299" s="7" t="s">
        <v>9</v>
      </c>
      <c r="N299" s="7" t="s">
        <v>39</v>
      </c>
      <c r="O299" s="7" t="s">
        <v>880</v>
      </c>
      <c r="P299" s="7" t="s">
        <v>881</v>
      </c>
      <c r="Q299" s="7" t="s">
        <v>882</v>
      </c>
      <c r="R299" t="s">
        <v>3632</v>
      </c>
    </row>
    <row r="300" spans="1:18" x14ac:dyDescent="0.3">
      <c r="A300" s="7" t="str">
        <f>HYPERLINK("https://hsdes.intel.com/resource/14013158554","14013158554")</f>
        <v>14013158554</v>
      </c>
      <c r="B300" s="7" t="s">
        <v>883</v>
      </c>
      <c r="C300" s="7" t="s">
        <v>212</v>
      </c>
      <c r="D300" s="7" t="s">
        <v>3612</v>
      </c>
      <c r="E300" s="7" t="s">
        <v>3617</v>
      </c>
      <c r="F300" s="8" t="s">
        <v>3628</v>
      </c>
      <c r="H300" s="7" t="s">
        <v>3620</v>
      </c>
      <c r="I300" s="7" t="s">
        <v>3654</v>
      </c>
      <c r="J300" s="7" t="s">
        <v>3526</v>
      </c>
      <c r="L300" s="7" t="s">
        <v>24</v>
      </c>
      <c r="M300" s="7" t="s">
        <v>9</v>
      </c>
      <c r="N300" s="7" t="s">
        <v>884</v>
      </c>
      <c r="O300" s="7" t="s">
        <v>885</v>
      </c>
      <c r="P300" s="7" t="s">
        <v>365</v>
      </c>
      <c r="Q300" s="7" t="s">
        <v>886</v>
      </c>
      <c r="R300" t="s">
        <v>3633</v>
      </c>
    </row>
    <row r="301" spans="1:18" x14ac:dyDescent="0.3">
      <c r="A301" s="7" t="str">
        <f>HYPERLINK("https://hsdes.intel.com/resource/14013158557","14013158557")</f>
        <v>14013158557</v>
      </c>
      <c r="B301" s="7" t="s">
        <v>887</v>
      </c>
      <c r="C301" s="7" t="s">
        <v>133</v>
      </c>
      <c r="D301" s="7" t="s">
        <v>3612</v>
      </c>
      <c r="E301" s="7" t="s">
        <v>3617</v>
      </c>
      <c r="F301" s="8" t="s">
        <v>3628</v>
      </c>
      <c r="H301" s="7" t="s">
        <v>3619</v>
      </c>
      <c r="I301" s="7" t="s">
        <v>3524</v>
      </c>
      <c r="L301" s="7" t="s">
        <v>8</v>
      </c>
      <c r="M301" s="7" t="s">
        <v>9</v>
      </c>
      <c r="N301" s="7" t="s">
        <v>56</v>
      </c>
      <c r="O301" s="7" t="s">
        <v>888</v>
      </c>
      <c r="P301" s="7" t="s">
        <v>888</v>
      </c>
      <c r="Q301" s="7" t="s">
        <v>889</v>
      </c>
      <c r="R301" t="s">
        <v>3632</v>
      </c>
    </row>
    <row r="302" spans="1:18" x14ac:dyDescent="0.3">
      <c r="A302" s="7" t="str">
        <f>HYPERLINK("https://hsdes.intel.com/resource/14013158668","14013158668")</f>
        <v>14013158668</v>
      </c>
      <c r="B302" s="7" t="s">
        <v>890</v>
      </c>
      <c r="C302" s="7" t="s">
        <v>7</v>
      </c>
      <c r="D302" s="7" t="s">
        <v>3612</v>
      </c>
      <c r="E302" s="7" t="s">
        <v>3617</v>
      </c>
      <c r="F302" s="8" t="s">
        <v>3628</v>
      </c>
      <c r="H302" s="7" t="s">
        <v>3620</v>
      </c>
      <c r="I302" s="7" t="s">
        <v>3644</v>
      </c>
      <c r="L302" s="7" t="s">
        <v>8</v>
      </c>
      <c r="M302" s="7" t="s">
        <v>94</v>
      </c>
      <c r="N302" s="7" t="s">
        <v>738</v>
      </c>
      <c r="O302" s="7" t="s">
        <v>891</v>
      </c>
      <c r="P302" s="7" t="s">
        <v>892</v>
      </c>
      <c r="Q302" s="7" t="s">
        <v>893</v>
      </c>
      <c r="R302" t="s">
        <v>3631</v>
      </c>
    </row>
    <row r="303" spans="1:18" x14ac:dyDescent="0.3">
      <c r="A303" s="7" t="str">
        <f>HYPERLINK("https://hsdes.intel.com/resource/14013158691","14013158691")</f>
        <v>14013158691</v>
      </c>
      <c r="B303" s="7" t="s">
        <v>894</v>
      </c>
      <c r="C303" s="7" t="s">
        <v>7</v>
      </c>
      <c r="D303" s="7" t="s">
        <v>3612</v>
      </c>
      <c r="E303" s="7" t="s">
        <v>3617</v>
      </c>
      <c r="F303" s="8" t="s">
        <v>3628</v>
      </c>
      <c r="H303" s="7" t="s">
        <v>3620</v>
      </c>
      <c r="I303" s="7" t="s">
        <v>3644</v>
      </c>
      <c r="L303" s="7" t="s">
        <v>8</v>
      </c>
      <c r="M303" s="7" t="s">
        <v>94</v>
      </c>
      <c r="N303" s="7" t="s">
        <v>10</v>
      </c>
      <c r="O303" s="7" t="s">
        <v>895</v>
      </c>
      <c r="P303" s="7" t="s">
        <v>792</v>
      </c>
      <c r="Q303" s="7" t="s">
        <v>896</v>
      </c>
      <c r="R303" t="s">
        <v>3632</v>
      </c>
    </row>
    <row r="304" spans="1:18" x14ac:dyDescent="0.3">
      <c r="A304" s="7" t="str">
        <f>HYPERLINK("https://hsdes.intel.com/resource/14013158695","14013158695")</f>
        <v>14013158695</v>
      </c>
      <c r="B304" s="7" t="s">
        <v>897</v>
      </c>
      <c r="C304" s="7" t="s">
        <v>7</v>
      </c>
      <c r="D304" s="7" t="s">
        <v>3612</v>
      </c>
      <c r="E304" s="7" t="s">
        <v>3617</v>
      </c>
      <c r="F304" s="8" t="s">
        <v>3628</v>
      </c>
      <c r="H304" s="7" t="s">
        <v>3620</v>
      </c>
      <c r="I304" s="7" t="s">
        <v>3644</v>
      </c>
      <c r="L304" s="7" t="s">
        <v>8</v>
      </c>
      <c r="M304" s="7" t="s">
        <v>9</v>
      </c>
      <c r="N304" s="7" t="s">
        <v>10</v>
      </c>
      <c r="O304" s="7" t="s">
        <v>898</v>
      </c>
      <c r="P304" s="7" t="s">
        <v>899</v>
      </c>
      <c r="Q304" s="7" t="s">
        <v>900</v>
      </c>
      <c r="R304" t="s">
        <v>3633</v>
      </c>
    </row>
    <row r="305" spans="1:18" x14ac:dyDescent="0.3">
      <c r="A305" s="7" t="str">
        <f>HYPERLINK("https://hsdes.intel.com/resource/14013158711","14013158711")</f>
        <v>14013158711</v>
      </c>
      <c r="B305" s="7" t="s">
        <v>901</v>
      </c>
      <c r="C305" s="7" t="s">
        <v>7</v>
      </c>
      <c r="D305" s="7" t="s">
        <v>3612</v>
      </c>
      <c r="E305" s="7" t="s">
        <v>3617</v>
      </c>
      <c r="F305" s="8" t="s">
        <v>3628</v>
      </c>
      <c r="H305" s="7" t="s">
        <v>3620</v>
      </c>
      <c r="I305" s="7" t="s">
        <v>3644</v>
      </c>
      <c r="L305" s="7" t="s">
        <v>8</v>
      </c>
      <c r="M305" s="7" t="s">
        <v>9</v>
      </c>
      <c r="N305" s="7" t="s">
        <v>313</v>
      </c>
      <c r="O305" s="7" t="s">
        <v>326</v>
      </c>
      <c r="P305" s="7" t="s">
        <v>902</v>
      </c>
      <c r="Q305" s="7" t="s">
        <v>903</v>
      </c>
      <c r="R305" t="s">
        <v>3633</v>
      </c>
    </row>
    <row r="306" spans="1:18" x14ac:dyDescent="0.3">
      <c r="A306" s="7" t="str">
        <f>HYPERLINK("https://hsdes.intel.com/resource/14013158728","14013158728")</f>
        <v>14013158728</v>
      </c>
      <c r="B306" s="7" t="s">
        <v>904</v>
      </c>
      <c r="C306" s="7" t="s">
        <v>845</v>
      </c>
      <c r="D306" s="7" t="s">
        <v>3612</v>
      </c>
      <c r="E306" s="7" t="s">
        <v>3617</v>
      </c>
      <c r="F306" s="8" t="s">
        <v>3628</v>
      </c>
      <c r="H306" s="7" t="s">
        <v>3619</v>
      </c>
      <c r="I306" s="7" t="s">
        <v>3622</v>
      </c>
      <c r="L306" s="7" t="s">
        <v>142</v>
      </c>
      <c r="M306" s="7" t="s">
        <v>9</v>
      </c>
      <c r="N306" s="7" t="s">
        <v>56</v>
      </c>
      <c r="O306" s="7" t="s">
        <v>905</v>
      </c>
      <c r="P306" s="7" t="s">
        <v>905</v>
      </c>
      <c r="Q306" s="7" t="s">
        <v>906</v>
      </c>
      <c r="R306" t="s">
        <v>3632</v>
      </c>
    </row>
    <row r="307" spans="1:18" x14ac:dyDescent="0.3">
      <c r="A307" s="7" t="str">
        <f>HYPERLINK("https://hsdes.intel.com/resource/14013158731","14013158731")</f>
        <v>14013158731</v>
      </c>
      <c r="B307" s="7" t="s">
        <v>907</v>
      </c>
      <c r="C307" s="7" t="s">
        <v>7</v>
      </c>
      <c r="D307" s="7" t="s">
        <v>3612</v>
      </c>
      <c r="E307" s="7" t="s">
        <v>3617</v>
      </c>
      <c r="F307" s="8" t="s">
        <v>3628</v>
      </c>
      <c r="H307" s="7" t="s">
        <v>3620</v>
      </c>
      <c r="I307" s="7" t="s">
        <v>3644</v>
      </c>
      <c r="L307" s="7" t="s">
        <v>8</v>
      </c>
      <c r="M307" s="7" t="s">
        <v>9</v>
      </c>
      <c r="N307" s="7" t="s">
        <v>10</v>
      </c>
      <c r="O307" s="7" t="s">
        <v>908</v>
      </c>
      <c r="P307" s="7" t="s">
        <v>792</v>
      </c>
      <c r="Q307" s="7" t="s">
        <v>909</v>
      </c>
      <c r="R307" t="s">
        <v>3631</v>
      </c>
    </row>
    <row r="308" spans="1:18" x14ac:dyDescent="0.3">
      <c r="A308" s="7" t="str">
        <f>HYPERLINK("https://hsdes.intel.com/resource/14013158739","14013158739")</f>
        <v>14013158739</v>
      </c>
      <c r="B308" s="7" t="s">
        <v>910</v>
      </c>
      <c r="C308" s="7" t="s">
        <v>7</v>
      </c>
      <c r="D308" s="7" t="s">
        <v>3612</v>
      </c>
      <c r="E308" s="7" t="s">
        <v>3617</v>
      </c>
      <c r="F308" s="8" t="s">
        <v>3628</v>
      </c>
      <c r="H308" s="7" t="s">
        <v>3620</v>
      </c>
      <c r="I308" s="7" t="s">
        <v>3644</v>
      </c>
      <c r="L308" s="7" t="s">
        <v>8</v>
      </c>
      <c r="M308" s="7" t="s">
        <v>9</v>
      </c>
      <c r="N308" s="7" t="s">
        <v>10</v>
      </c>
      <c r="O308" s="7" t="s">
        <v>908</v>
      </c>
      <c r="P308" s="7" t="s">
        <v>792</v>
      </c>
      <c r="Q308" s="7" t="s">
        <v>911</v>
      </c>
      <c r="R308" t="s">
        <v>3631</v>
      </c>
    </row>
    <row r="309" spans="1:18" x14ac:dyDescent="0.3">
      <c r="A309" s="7" t="str">
        <f>HYPERLINK("https://hsdes.intel.com/resource/14013158753","14013158753")</f>
        <v>14013158753</v>
      </c>
      <c r="B309" s="7" t="s">
        <v>912</v>
      </c>
      <c r="C309" s="7" t="s">
        <v>877</v>
      </c>
      <c r="D309" s="7" t="s">
        <v>3612</v>
      </c>
      <c r="E309" s="7" t="s">
        <v>3617</v>
      </c>
      <c r="F309" s="8" t="s">
        <v>3628</v>
      </c>
      <c r="H309" s="16" t="s">
        <v>3620</v>
      </c>
      <c r="I309" s="7" t="s">
        <v>3644</v>
      </c>
      <c r="L309" s="7" t="s">
        <v>142</v>
      </c>
      <c r="M309" s="7" t="s">
        <v>9</v>
      </c>
      <c r="N309" s="7" t="s">
        <v>25</v>
      </c>
      <c r="O309" s="7" t="s">
        <v>913</v>
      </c>
      <c r="P309" s="7" t="s">
        <v>682</v>
      </c>
      <c r="Q309" s="7" t="s">
        <v>914</v>
      </c>
      <c r="R309" t="s">
        <v>3632</v>
      </c>
    </row>
    <row r="310" spans="1:18" x14ac:dyDescent="0.3">
      <c r="A310" s="7" t="str">
        <f>HYPERLINK("https://hsdes.intel.com/resource/14013158782","14013158782")</f>
        <v>14013158782</v>
      </c>
      <c r="B310" s="7" t="s">
        <v>915</v>
      </c>
      <c r="C310" s="7" t="s">
        <v>29</v>
      </c>
      <c r="D310" s="7" t="s">
        <v>3612</v>
      </c>
      <c r="E310" s="7" t="s">
        <v>3617</v>
      </c>
      <c r="F310" s="8" t="s">
        <v>3628</v>
      </c>
      <c r="H310" s="7" t="s">
        <v>3619</v>
      </c>
      <c r="I310" s="7" t="s">
        <v>3641</v>
      </c>
      <c r="L310" s="7" t="s">
        <v>8</v>
      </c>
      <c r="M310" s="7" t="s">
        <v>94</v>
      </c>
      <c r="N310" s="7" t="s">
        <v>39</v>
      </c>
      <c r="O310" s="7" t="s">
        <v>378</v>
      </c>
      <c r="P310" s="7" t="s">
        <v>394</v>
      </c>
      <c r="Q310" s="7" t="s">
        <v>916</v>
      </c>
      <c r="R310" t="s">
        <v>3633</v>
      </c>
    </row>
    <row r="311" spans="1:18" x14ac:dyDescent="0.3">
      <c r="A311" s="9" t="str">
        <f>HYPERLINK("https://hsdes.intel.com/resource/14013158784","14013158784")</f>
        <v>14013158784</v>
      </c>
      <c r="B311" s="7" t="s">
        <v>917</v>
      </c>
      <c r="C311" s="7" t="s">
        <v>29</v>
      </c>
      <c r="D311" s="7" t="s">
        <v>3612</v>
      </c>
      <c r="E311" s="7" t="s">
        <v>3617</v>
      </c>
      <c r="F311" s="8" t="s">
        <v>3628</v>
      </c>
      <c r="H311" s="7" t="s">
        <v>3619</v>
      </c>
      <c r="I311" s="7" t="s">
        <v>3641</v>
      </c>
      <c r="L311" s="7" t="s">
        <v>8</v>
      </c>
      <c r="M311" s="7" t="s">
        <v>94</v>
      </c>
      <c r="N311" s="7" t="s">
        <v>39</v>
      </c>
      <c r="O311" s="7" t="s">
        <v>528</v>
      </c>
      <c r="P311" s="7" t="s">
        <v>525</v>
      </c>
      <c r="Q311" s="7" t="s">
        <v>918</v>
      </c>
      <c r="R311" t="s">
        <v>3632</v>
      </c>
    </row>
    <row r="312" spans="1:18" x14ac:dyDescent="0.3">
      <c r="A312" s="7" t="str">
        <f>HYPERLINK("https://hsdes.intel.com/resource/14013158786","14013158786")</f>
        <v>14013158786</v>
      </c>
      <c r="B312" s="7" t="s">
        <v>919</v>
      </c>
      <c r="C312" s="7" t="s">
        <v>29</v>
      </c>
      <c r="D312" s="7" t="s">
        <v>3612</v>
      </c>
      <c r="E312" s="7" t="s">
        <v>3617</v>
      </c>
      <c r="F312" s="8" t="s">
        <v>3628</v>
      </c>
      <c r="H312" s="7" t="s">
        <v>3620</v>
      </c>
      <c r="I312" s="7" t="s">
        <v>3641</v>
      </c>
      <c r="L312" s="7" t="s">
        <v>8</v>
      </c>
      <c r="M312" s="7" t="s">
        <v>94</v>
      </c>
      <c r="N312" s="7" t="s">
        <v>39</v>
      </c>
      <c r="O312" s="7" t="s">
        <v>528</v>
      </c>
      <c r="P312" s="7" t="s">
        <v>525</v>
      </c>
      <c r="Q312" s="7" t="s">
        <v>920</v>
      </c>
      <c r="R312" t="s">
        <v>3632</v>
      </c>
    </row>
    <row r="313" spans="1:18" x14ac:dyDescent="0.3">
      <c r="A313" s="7" t="str">
        <f>HYPERLINK("https://hsdes.intel.com/resource/14013158788","14013158788")</f>
        <v>14013158788</v>
      </c>
      <c r="B313" s="7" t="s">
        <v>921</v>
      </c>
      <c r="C313" s="7" t="s">
        <v>29</v>
      </c>
      <c r="D313" s="7" t="s">
        <v>3612</v>
      </c>
      <c r="E313" s="7" t="s">
        <v>3617</v>
      </c>
      <c r="F313" s="8" t="s">
        <v>3628</v>
      </c>
      <c r="H313" s="7" t="s">
        <v>3620</v>
      </c>
      <c r="I313" s="7" t="s">
        <v>3641</v>
      </c>
      <c r="L313" s="7" t="s">
        <v>8</v>
      </c>
      <c r="M313" s="7" t="s">
        <v>94</v>
      </c>
      <c r="N313" s="7" t="s">
        <v>39</v>
      </c>
      <c r="O313" s="7" t="s">
        <v>528</v>
      </c>
      <c r="P313" s="7" t="s">
        <v>525</v>
      </c>
      <c r="Q313" s="7" t="s">
        <v>922</v>
      </c>
      <c r="R313" t="s">
        <v>3631</v>
      </c>
    </row>
    <row r="314" spans="1:18" x14ac:dyDescent="0.3">
      <c r="A314" s="7" t="str">
        <f>HYPERLINK("https://hsdes.intel.com/resource/14013158792","14013158792")</f>
        <v>14013158792</v>
      </c>
      <c r="B314" s="7" t="s">
        <v>923</v>
      </c>
      <c r="C314" s="7" t="s">
        <v>7</v>
      </c>
      <c r="D314" s="7" t="s">
        <v>3613</v>
      </c>
      <c r="E314" s="7" t="s">
        <v>3617</v>
      </c>
      <c r="F314" s="8" t="s">
        <v>3628</v>
      </c>
      <c r="H314" s="7" t="s">
        <v>3618</v>
      </c>
      <c r="I314" s="7" t="s">
        <v>3524</v>
      </c>
      <c r="J314" s="6" t="s">
        <v>3532</v>
      </c>
      <c r="L314" s="7" t="s">
        <v>8</v>
      </c>
      <c r="M314" s="7" t="s">
        <v>94</v>
      </c>
      <c r="N314" s="7" t="s">
        <v>10</v>
      </c>
      <c r="O314" s="7" t="s">
        <v>924</v>
      </c>
      <c r="P314" s="7" t="s">
        <v>925</v>
      </c>
      <c r="Q314" s="7" t="s">
        <v>926</v>
      </c>
      <c r="R314" t="s">
        <v>3633</v>
      </c>
    </row>
    <row r="315" spans="1:18" x14ac:dyDescent="0.3">
      <c r="A315" s="7" t="str">
        <f>HYPERLINK("https://hsdes.intel.com/resource/14013158797","14013158797")</f>
        <v>14013158797</v>
      </c>
      <c r="B315" s="7" t="s">
        <v>927</v>
      </c>
      <c r="C315" s="7" t="s">
        <v>7</v>
      </c>
      <c r="D315" s="7" t="s">
        <v>3612</v>
      </c>
      <c r="E315" s="7" t="s">
        <v>3617</v>
      </c>
      <c r="F315" s="8" t="s">
        <v>3628</v>
      </c>
      <c r="H315" s="7" t="s">
        <v>3619</v>
      </c>
      <c r="I315" s="7" t="s">
        <v>3644</v>
      </c>
      <c r="L315" s="7" t="s">
        <v>8</v>
      </c>
      <c r="M315" s="7" t="s">
        <v>9</v>
      </c>
      <c r="N315" s="7" t="s">
        <v>10</v>
      </c>
      <c r="O315" s="7" t="s">
        <v>928</v>
      </c>
      <c r="P315" s="7" t="s">
        <v>929</v>
      </c>
      <c r="Q315" s="7" t="s">
        <v>930</v>
      </c>
      <c r="R315" t="s">
        <v>3632</v>
      </c>
    </row>
    <row r="316" spans="1:18" x14ac:dyDescent="0.3">
      <c r="A316" s="7" t="str">
        <f>HYPERLINK("https://hsdes.intel.com/resource/14013158804","14013158804")</f>
        <v>14013158804</v>
      </c>
      <c r="B316" s="7" t="s">
        <v>931</v>
      </c>
      <c r="C316" s="7" t="s">
        <v>7</v>
      </c>
      <c r="D316" s="7" t="s">
        <v>3612</v>
      </c>
      <c r="E316" s="7" t="s">
        <v>3617</v>
      </c>
      <c r="F316" s="8" t="s">
        <v>3628</v>
      </c>
      <c r="H316" s="7" t="s">
        <v>3619</v>
      </c>
      <c r="I316" s="7" t="s">
        <v>3644</v>
      </c>
      <c r="L316" s="7" t="s">
        <v>8</v>
      </c>
      <c r="M316" s="7" t="s">
        <v>9</v>
      </c>
      <c r="N316" s="7" t="s">
        <v>10</v>
      </c>
      <c r="O316" s="7" t="s">
        <v>932</v>
      </c>
      <c r="P316" s="7" t="s">
        <v>933</v>
      </c>
      <c r="Q316" s="7" t="s">
        <v>934</v>
      </c>
      <c r="R316" t="s">
        <v>3632</v>
      </c>
    </row>
    <row r="317" spans="1:18" x14ac:dyDescent="0.3">
      <c r="A317" s="7" t="str">
        <f>HYPERLINK("https://hsdes.intel.com/resource/14013158806","14013158806")</f>
        <v>14013158806</v>
      </c>
      <c r="B317" s="7" t="s">
        <v>935</v>
      </c>
      <c r="C317" s="7" t="s">
        <v>7</v>
      </c>
      <c r="D317" s="7" t="s">
        <v>3612</v>
      </c>
      <c r="E317" s="7" t="s">
        <v>3617</v>
      </c>
      <c r="F317" s="8" t="s">
        <v>3628</v>
      </c>
      <c r="H317" s="7" t="s">
        <v>3619</v>
      </c>
      <c r="I317" s="7" t="s">
        <v>3622</v>
      </c>
      <c r="L317" s="7" t="s">
        <v>8</v>
      </c>
      <c r="M317" s="7" t="s">
        <v>9</v>
      </c>
      <c r="N317" s="7" t="s">
        <v>10</v>
      </c>
      <c r="O317" s="7" t="s">
        <v>936</v>
      </c>
      <c r="P317" s="7" t="s">
        <v>937</v>
      </c>
      <c r="Q317" s="7" t="s">
        <v>938</v>
      </c>
      <c r="R317" t="s">
        <v>3631</v>
      </c>
    </row>
    <row r="318" spans="1:18" x14ac:dyDescent="0.3">
      <c r="A318" s="7" t="str">
        <f>HYPERLINK("https://hsdes.intel.com/resource/14013158809","14013158809")</f>
        <v>14013158809</v>
      </c>
      <c r="B318" s="7" t="s">
        <v>939</v>
      </c>
      <c r="C318" s="7" t="s">
        <v>7</v>
      </c>
      <c r="D318" s="7" t="s">
        <v>3612</v>
      </c>
      <c r="E318" s="7" t="s">
        <v>3617</v>
      </c>
      <c r="F318" s="8" t="s">
        <v>3628</v>
      </c>
      <c r="H318" s="7" t="s">
        <v>3619</v>
      </c>
      <c r="I318" s="7" t="s">
        <v>3622</v>
      </c>
      <c r="L318" s="7" t="s">
        <v>8</v>
      </c>
      <c r="M318" s="7" t="s">
        <v>9</v>
      </c>
      <c r="N318" s="7" t="s">
        <v>313</v>
      </c>
      <c r="O318" s="7" t="s">
        <v>940</v>
      </c>
      <c r="P318" s="7" t="s">
        <v>941</v>
      </c>
      <c r="Q318" s="7" t="s">
        <v>942</v>
      </c>
      <c r="R318" t="s">
        <v>3631</v>
      </c>
    </row>
    <row r="319" spans="1:18" x14ac:dyDescent="0.3">
      <c r="A319" s="7" t="str">
        <f>HYPERLINK("https://hsdes.intel.com/resource/14013158811","14013158811")</f>
        <v>14013158811</v>
      </c>
      <c r="B319" s="7" t="s">
        <v>943</v>
      </c>
      <c r="C319" s="7" t="s">
        <v>212</v>
      </c>
      <c r="D319" s="7" t="s">
        <v>3612</v>
      </c>
      <c r="E319" s="7" t="s">
        <v>3617</v>
      </c>
      <c r="F319" s="8" t="s">
        <v>3628</v>
      </c>
      <c r="H319" s="7" t="s">
        <v>3620</v>
      </c>
      <c r="I319" s="7" t="s">
        <v>3654</v>
      </c>
      <c r="J319" s="7" t="s">
        <v>3527</v>
      </c>
      <c r="L319" s="7" t="s">
        <v>24</v>
      </c>
      <c r="M319" s="7" t="s">
        <v>9</v>
      </c>
      <c r="N319" s="7" t="s">
        <v>39</v>
      </c>
      <c r="O319" s="7" t="s">
        <v>944</v>
      </c>
      <c r="P319" s="7" t="s">
        <v>945</v>
      </c>
      <c r="Q319" s="7" t="s">
        <v>946</v>
      </c>
      <c r="R319" t="s">
        <v>3633</v>
      </c>
    </row>
    <row r="320" spans="1:18" x14ac:dyDescent="0.3">
      <c r="A320" s="7" t="str">
        <f>HYPERLINK("https://hsdes.intel.com/resource/14013158815","14013158815")</f>
        <v>14013158815</v>
      </c>
      <c r="B320" s="7" t="s">
        <v>947</v>
      </c>
      <c r="C320" s="7" t="s">
        <v>7</v>
      </c>
      <c r="D320" s="7" t="s">
        <v>3612</v>
      </c>
      <c r="E320" s="7" t="s">
        <v>3617</v>
      </c>
      <c r="F320" s="8" t="s">
        <v>3628</v>
      </c>
      <c r="H320" s="7" t="s">
        <v>3619</v>
      </c>
      <c r="I320" s="7" t="s">
        <v>3622</v>
      </c>
      <c r="L320" s="7" t="s">
        <v>8</v>
      </c>
      <c r="M320" s="7" t="s">
        <v>9</v>
      </c>
      <c r="N320" s="7" t="s">
        <v>10</v>
      </c>
      <c r="O320" s="7" t="s">
        <v>948</v>
      </c>
      <c r="P320" s="7" t="s">
        <v>949</v>
      </c>
      <c r="Q320" s="7" t="s">
        <v>950</v>
      </c>
      <c r="R320" t="s">
        <v>3633</v>
      </c>
    </row>
    <row r="321" spans="1:18" x14ac:dyDescent="0.3">
      <c r="A321" s="7" t="str">
        <f>HYPERLINK("https://hsdes.intel.com/resource/14013158817","14013158817")</f>
        <v>14013158817</v>
      </c>
      <c r="B321" s="7" t="s">
        <v>951</v>
      </c>
      <c r="C321" s="7" t="s">
        <v>7</v>
      </c>
      <c r="D321" s="7" t="s">
        <v>3612</v>
      </c>
      <c r="E321" s="7" t="s">
        <v>3617</v>
      </c>
      <c r="F321" s="8" t="s">
        <v>3628</v>
      </c>
      <c r="H321" s="7" t="s">
        <v>3619</v>
      </c>
      <c r="I321" s="7" t="s">
        <v>3622</v>
      </c>
      <c r="L321" s="7" t="s">
        <v>8</v>
      </c>
      <c r="M321" s="7" t="s">
        <v>9</v>
      </c>
      <c r="N321" s="7" t="s">
        <v>10</v>
      </c>
      <c r="O321" s="7" t="s">
        <v>952</v>
      </c>
      <c r="P321" s="7" t="s">
        <v>953</v>
      </c>
      <c r="Q321" s="7" t="s">
        <v>954</v>
      </c>
      <c r="R321" t="s">
        <v>3633</v>
      </c>
    </row>
    <row r="322" spans="1:18" x14ac:dyDescent="0.3">
      <c r="A322" s="7" t="str">
        <f>HYPERLINK("https://hsdes.intel.com/resource/14013158819","14013158819")</f>
        <v>14013158819</v>
      </c>
      <c r="B322" s="7" t="s">
        <v>955</v>
      </c>
      <c r="C322" s="7" t="s">
        <v>7</v>
      </c>
      <c r="D322" s="7" t="s">
        <v>3612</v>
      </c>
      <c r="E322" s="7" t="s">
        <v>3617</v>
      </c>
      <c r="F322" s="8" t="s">
        <v>3628</v>
      </c>
      <c r="H322" s="16" t="s">
        <v>3619</v>
      </c>
      <c r="I322" s="7" t="s">
        <v>3622</v>
      </c>
      <c r="L322" s="7" t="s">
        <v>8</v>
      </c>
      <c r="M322" s="7" t="s">
        <v>9</v>
      </c>
      <c r="N322" s="7" t="s">
        <v>10</v>
      </c>
      <c r="O322" s="7" t="s">
        <v>956</v>
      </c>
      <c r="P322" s="7" t="s">
        <v>957</v>
      </c>
      <c r="Q322" s="7" t="s">
        <v>958</v>
      </c>
      <c r="R322" t="s">
        <v>3633</v>
      </c>
    </row>
    <row r="323" spans="1:18" x14ac:dyDescent="0.3">
      <c r="A323" s="7" t="str">
        <f>HYPERLINK("https://hsdes.intel.com/resource/14013158821","14013158821")</f>
        <v>14013158821</v>
      </c>
      <c r="B323" s="7" t="s">
        <v>959</v>
      </c>
      <c r="C323" s="7" t="s">
        <v>7</v>
      </c>
      <c r="D323" s="7" t="s">
        <v>3612</v>
      </c>
      <c r="E323" s="7" t="s">
        <v>3617</v>
      </c>
      <c r="F323" s="8" t="s">
        <v>3628</v>
      </c>
      <c r="H323" s="16" t="s">
        <v>3619</v>
      </c>
      <c r="I323" s="7" t="s">
        <v>3622</v>
      </c>
      <c r="L323" s="7" t="s">
        <v>8</v>
      </c>
      <c r="M323" s="7" t="s">
        <v>9</v>
      </c>
      <c r="N323" s="7" t="s">
        <v>10</v>
      </c>
      <c r="O323" s="7" t="s">
        <v>960</v>
      </c>
      <c r="P323" s="7" t="s">
        <v>961</v>
      </c>
      <c r="Q323" s="7" t="s">
        <v>962</v>
      </c>
      <c r="R323" t="s">
        <v>3633</v>
      </c>
    </row>
    <row r="324" spans="1:18" x14ac:dyDescent="0.3">
      <c r="A324" s="7" t="str">
        <f>HYPERLINK("https://hsdes.intel.com/resource/14013158823","14013158823")</f>
        <v>14013158823</v>
      </c>
      <c r="B324" s="7" t="s">
        <v>963</v>
      </c>
      <c r="C324" s="7" t="s">
        <v>7</v>
      </c>
      <c r="D324" s="7" t="s">
        <v>3612</v>
      </c>
      <c r="E324" s="7" t="s">
        <v>3617</v>
      </c>
      <c r="F324" s="8" t="s">
        <v>3628</v>
      </c>
      <c r="H324" s="16" t="s">
        <v>3619</v>
      </c>
      <c r="I324" s="7" t="s">
        <v>3622</v>
      </c>
      <c r="L324" s="7" t="s">
        <v>8</v>
      </c>
      <c r="M324" s="7" t="s">
        <v>9</v>
      </c>
      <c r="N324" s="7" t="s">
        <v>10</v>
      </c>
      <c r="O324" s="7" t="s">
        <v>964</v>
      </c>
      <c r="P324" s="7" t="s">
        <v>957</v>
      </c>
      <c r="Q324" s="7" t="s">
        <v>965</v>
      </c>
      <c r="R324" t="s">
        <v>3633</v>
      </c>
    </row>
    <row r="325" spans="1:18" x14ac:dyDescent="0.3">
      <c r="A325" s="7" t="str">
        <f>HYPERLINK("https://hsdes.intel.com/resource/14013158825","14013158825")</f>
        <v>14013158825</v>
      </c>
      <c r="B325" s="7" t="s">
        <v>966</v>
      </c>
      <c r="C325" s="7" t="s">
        <v>7</v>
      </c>
      <c r="D325" s="7" t="s">
        <v>3612</v>
      </c>
      <c r="E325" s="7" t="s">
        <v>3617</v>
      </c>
      <c r="F325" s="8" t="s">
        <v>3628</v>
      </c>
      <c r="H325" s="7" t="s">
        <v>3619</v>
      </c>
      <c r="I325" s="7" t="s">
        <v>3622</v>
      </c>
      <c r="L325" s="7" t="s">
        <v>8</v>
      </c>
      <c r="M325" s="7" t="s">
        <v>9</v>
      </c>
      <c r="N325" s="7" t="s">
        <v>10</v>
      </c>
      <c r="O325" s="7" t="s">
        <v>967</v>
      </c>
      <c r="P325" s="7" t="s">
        <v>968</v>
      </c>
      <c r="Q325" s="7" t="s">
        <v>969</v>
      </c>
      <c r="R325" t="s">
        <v>3633</v>
      </c>
    </row>
    <row r="326" spans="1:18" x14ac:dyDescent="0.3">
      <c r="A326" s="7" t="str">
        <f>HYPERLINK("https://hsdes.intel.com/resource/14013158834","14013158834")</f>
        <v>14013158834</v>
      </c>
      <c r="B326" s="7" t="s">
        <v>970</v>
      </c>
      <c r="C326" s="7" t="s">
        <v>7</v>
      </c>
      <c r="D326" s="7" t="s">
        <v>3612</v>
      </c>
      <c r="E326" s="7" t="s">
        <v>3617</v>
      </c>
      <c r="F326" s="8" t="s">
        <v>3628</v>
      </c>
      <c r="H326" s="7" t="s">
        <v>3619</v>
      </c>
      <c r="I326" s="7" t="s">
        <v>3622</v>
      </c>
      <c r="L326" s="7" t="s">
        <v>8</v>
      </c>
      <c r="M326" s="7" t="s">
        <v>9</v>
      </c>
      <c r="N326" s="7" t="s">
        <v>313</v>
      </c>
      <c r="O326" s="7" t="s">
        <v>971</v>
      </c>
      <c r="P326" s="7" t="s">
        <v>972</v>
      </c>
      <c r="Q326" s="7" t="s">
        <v>973</v>
      </c>
      <c r="R326" t="s">
        <v>3633</v>
      </c>
    </row>
    <row r="327" spans="1:18" x14ac:dyDescent="0.3">
      <c r="A327" s="7" t="str">
        <f>HYPERLINK("https://hsdes.intel.com/resource/14013158836","14013158836")</f>
        <v>14013158836</v>
      </c>
      <c r="B327" s="7" t="s">
        <v>974</v>
      </c>
      <c r="C327" s="7" t="s">
        <v>7</v>
      </c>
      <c r="D327" s="7" t="s">
        <v>3612</v>
      </c>
      <c r="E327" s="7" t="s">
        <v>3617</v>
      </c>
      <c r="F327" s="8" t="s">
        <v>3628</v>
      </c>
      <c r="H327" s="7" t="s">
        <v>3619</v>
      </c>
      <c r="I327" s="7" t="s">
        <v>3622</v>
      </c>
      <c r="L327" s="7" t="s">
        <v>8</v>
      </c>
      <c r="M327" s="7" t="s">
        <v>9</v>
      </c>
      <c r="N327" s="7" t="s">
        <v>313</v>
      </c>
      <c r="O327" s="7" t="s">
        <v>975</v>
      </c>
      <c r="P327" s="7" t="s">
        <v>976</v>
      </c>
      <c r="Q327" s="7" t="s">
        <v>977</v>
      </c>
      <c r="R327" t="s">
        <v>3633</v>
      </c>
    </row>
    <row r="328" spans="1:18" x14ac:dyDescent="0.3">
      <c r="A328" s="7" t="str">
        <f>HYPERLINK("https://hsdes.intel.com/resource/14013158841","14013158841")</f>
        <v>14013158841</v>
      </c>
      <c r="B328" s="7" t="s">
        <v>978</v>
      </c>
      <c r="C328" s="7" t="s">
        <v>7</v>
      </c>
      <c r="D328" s="7" t="s">
        <v>3612</v>
      </c>
      <c r="E328" s="7" t="s">
        <v>3617</v>
      </c>
      <c r="F328" s="8" t="s">
        <v>3628</v>
      </c>
      <c r="H328" s="7" t="s">
        <v>3619</v>
      </c>
      <c r="I328" s="7" t="s">
        <v>3622</v>
      </c>
      <c r="L328" s="7" t="s">
        <v>8</v>
      </c>
      <c r="M328" s="7" t="s">
        <v>94</v>
      </c>
      <c r="N328" s="7" t="s">
        <v>979</v>
      </c>
      <c r="O328" s="7" t="s">
        <v>980</v>
      </c>
      <c r="P328" s="7" t="s">
        <v>981</v>
      </c>
      <c r="Q328" s="7" t="s">
        <v>982</v>
      </c>
      <c r="R328" t="s">
        <v>3631</v>
      </c>
    </row>
    <row r="329" spans="1:18" x14ac:dyDescent="0.3">
      <c r="A329" s="7" t="str">
        <f>HYPERLINK("https://hsdes.intel.com/resource/14013158843","14013158843")</f>
        <v>14013158843</v>
      </c>
      <c r="B329" s="7" t="s">
        <v>983</v>
      </c>
      <c r="C329" s="7" t="s">
        <v>7</v>
      </c>
      <c r="D329" s="7" t="s">
        <v>3612</v>
      </c>
      <c r="E329" s="7" t="s">
        <v>3617</v>
      </c>
      <c r="F329" s="8" t="s">
        <v>3628</v>
      </c>
      <c r="H329" s="16" t="s">
        <v>3619</v>
      </c>
      <c r="I329" s="7" t="s">
        <v>3622</v>
      </c>
      <c r="L329" s="7" t="s">
        <v>8</v>
      </c>
      <c r="M329" s="7" t="s">
        <v>9</v>
      </c>
      <c r="N329" s="7" t="s">
        <v>313</v>
      </c>
      <c r="O329" s="7" t="s">
        <v>984</v>
      </c>
      <c r="P329" s="7" t="s">
        <v>981</v>
      </c>
      <c r="Q329" s="7" t="s">
        <v>985</v>
      </c>
      <c r="R329" t="s">
        <v>3633</v>
      </c>
    </row>
    <row r="330" spans="1:18" x14ac:dyDescent="0.3">
      <c r="A330" s="7" t="str">
        <f>HYPERLINK("https://hsdes.intel.com/resource/14013158846","14013158846")</f>
        <v>14013158846</v>
      </c>
      <c r="B330" s="7" t="s">
        <v>986</v>
      </c>
      <c r="C330" s="7" t="s">
        <v>7</v>
      </c>
      <c r="D330" s="7" t="s">
        <v>3612</v>
      </c>
      <c r="E330" s="7" t="s">
        <v>3617</v>
      </c>
      <c r="F330" s="8" t="s">
        <v>3628</v>
      </c>
      <c r="H330" s="16" t="s">
        <v>3619</v>
      </c>
      <c r="I330" s="7" t="s">
        <v>3622</v>
      </c>
      <c r="L330" s="7" t="s">
        <v>8</v>
      </c>
      <c r="M330" s="7" t="s">
        <v>9</v>
      </c>
      <c r="N330" s="7" t="s">
        <v>10</v>
      </c>
      <c r="O330" s="7" t="s">
        <v>987</v>
      </c>
      <c r="P330" s="7" t="s">
        <v>988</v>
      </c>
      <c r="Q330" s="7" t="s">
        <v>989</v>
      </c>
      <c r="R330" t="s">
        <v>3631</v>
      </c>
    </row>
    <row r="331" spans="1:18" x14ac:dyDescent="0.3">
      <c r="A331" s="7" t="str">
        <f>HYPERLINK("https://hsdes.intel.com/resource/14013158869","14013158869")</f>
        <v>14013158869</v>
      </c>
      <c r="B331" s="7" t="s">
        <v>990</v>
      </c>
      <c r="C331" s="7" t="s">
        <v>845</v>
      </c>
      <c r="D331" s="7" t="s">
        <v>3612</v>
      </c>
      <c r="E331" s="7" t="s">
        <v>3617</v>
      </c>
      <c r="F331" s="8" t="s">
        <v>3628</v>
      </c>
      <c r="H331" s="7" t="s">
        <v>3619</v>
      </c>
      <c r="I331" s="7" t="s">
        <v>3622</v>
      </c>
      <c r="L331" s="7" t="s">
        <v>142</v>
      </c>
      <c r="M331" s="7" t="s">
        <v>94</v>
      </c>
      <c r="N331" s="7" t="s">
        <v>56</v>
      </c>
      <c r="O331" s="7" t="s">
        <v>991</v>
      </c>
      <c r="P331" s="7" t="s">
        <v>991</v>
      </c>
      <c r="Q331" s="7" t="s">
        <v>992</v>
      </c>
      <c r="R331" t="s">
        <v>3632</v>
      </c>
    </row>
    <row r="332" spans="1:18" x14ac:dyDescent="0.3">
      <c r="A332" s="7" t="str">
        <f>HYPERLINK("https://hsdes.intel.com/resource/14013158871","14013158871")</f>
        <v>14013158871</v>
      </c>
      <c r="B332" s="7" t="s">
        <v>993</v>
      </c>
      <c r="C332" s="7" t="s">
        <v>55</v>
      </c>
      <c r="D332" s="7" t="s">
        <v>3612</v>
      </c>
      <c r="E332" s="7" t="s">
        <v>3617</v>
      </c>
      <c r="F332" s="8" t="s">
        <v>3628</v>
      </c>
      <c r="H332" s="7" t="s">
        <v>3619</v>
      </c>
      <c r="I332" s="7" t="s">
        <v>3622</v>
      </c>
      <c r="J332" s="7" t="s">
        <v>3627</v>
      </c>
      <c r="L332" s="7" t="s">
        <v>30</v>
      </c>
      <c r="M332" s="7" t="s">
        <v>9</v>
      </c>
      <c r="N332" s="7" t="s">
        <v>823</v>
      </c>
      <c r="O332" s="7" t="s">
        <v>994</v>
      </c>
      <c r="P332" s="7" t="s">
        <v>995</v>
      </c>
      <c r="Q332" s="7" t="s">
        <v>996</v>
      </c>
      <c r="R332" t="s">
        <v>3632</v>
      </c>
    </row>
    <row r="333" spans="1:18" x14ac:dyDescent="0.3">
      <c r="A333" s="7" t="str">
        <f>HYPERLINK("https://hsdes.intel.com/resource/14013158880","14013158880")</f>
        <v>14013158880</v>
      </c>
      <c r="B333" s="7" t="s">
        <v>997</v>
      </c>
      <c r="C333" s="7" t="s">
        <v>7</v>
      </c>
      <c r="D333" s="7" t="s">
        <v>3612</v>
      </c>
      <c r="E333" s="7" t="s">
        <v>3617</v>
      </c>
      <c r="F333" s="8" t="s">
        <v>3628</v>
      </c>
      <c r="H333" s="7" t="s">
        <v>3619</v>
      </c>
      <c r="I333" s="7" t="s">
        <v>3622</v>
      </c>
      <c r="L333" s="7" t="s">
        <v>8</v>
      </c>
      <c r="M333" s="7" t="s">
        <v>9</v>
      </c>
      <c r="N333" s="7" t="s">
        <v>313</v>
      </c>
      <c r="O333" s="7" t="s">
        <v>998</v>
      </c>
      <c r="P333" s="7" t="s">
        <v>999</v>
      </c>
      <c r="Q333" s="7" t="s">
        <v>1000</v>
      </c>
      <c r="R333" t="s">
        <v>3633</v>
      </c>
    </row>
    <row r="334" spans="1:18" x14ac:dyDescent="0.3">
      <c r="A334" s="7" t="str">
        <f>HYPERLINK("https://hsdes.intel.com/resource/14013158882","14013158882")</f>
        <v>14013158882</v>
      </c>
      <c r="B334" s="7" t="s">
        <v>1001</v>
      </c>
      <c r="C334" s="7" t="s">
        <v>7</v>
      </c>
      <c r="D334" s="7" t="s">
        <v>3612</v>
      </c>
      <c r="E334" s="7" t="s">
        <v>3617</v>
      </c>
      <c r="F334" s="8" t="s">
        <v>3628</v>
      </c>
      <c r="H334" s="7" t="s">
        <v>3619</v>
      </c>
      <c r="I334" s="7" t="s">
        <v>3622</v>
      </c>
      <c r="L334" s="7" t="s">
        <v>8</v>
      </c>
      <c r="M334" s="7" t="s">
        <v>9</v>
      </c>
      <c r="N334" s="7" t="s">
        <v>10</v>
      </c>
      <c r="O334" s="7" t="s">
        <v>998</v>
      </c>
      <c r="P334" s="7" t="s">
        <v>999</v>
      </c>
      <c r="Q334" s="7" t="s">
        <v>1002</v>
      </c>
      <c r="R334" t="s">
        <v>3633</v>
      </c>
    </row>
    <row r="335" spans="1:18" x14ac:dyDescent="0.3">
      <c r="A335" s="7" t="str">
        <f>HYPERLINK("https://hsdes.intel.com/resource/14013158903","14013158903")</f>
        <v>14013158903</v>
      </c>
      <c r="B335" s="7" t="s">
        <v>1003</v>
      </c>
      <c r="C335" s="7" t="s">
        <v>7</v>
      </c>
      <c r="D335" s="7" t="s">
        <v>3612</v>
      </c>
      <c r="E335" s="7" t="s">
        <v>3617</v>
      </c>
      <c r="F335" s="8" t="s">
        <v>3628</v>
      </c>
      <c r="H335" s="7" t="s">
        <v>3618</v>
      </c>
      <c r="I335" s="7" t="s">
        <v>3524</v>
      </c>
      <c r="J335" s="6" t="s">
        <v>3571</v>
      </c>
      <c r="L335" s="7" t="s">
        <v>8</v>
      </c>
      <c r="M335" s="7" t="s">
        <v>9</v>
      </c>
      <c r="N335" s="7" t="s">
        <v>313</v>
      </c>
      <c r="O335" s="7" t="s">
        <v>1004</v>
      </c>
      <c r="P335" s="7" t="s">
        <v>1005</v>
      </c>
      <c r="Q335" s="7" t="s">
        <v>1006</v>
      </c>
      <c r="R335" t="s">
        <v>3633</v>
      </c>
    </row>
    <row r="336" spans="1:18" x14ac:dyDescent="0.3">
      <c r="A336" s="7" t="str">
        <f>HYPERLINK("https://hsdes.intel.com/resource/14013158905","14013158905")</f>
        <v>14013158905</v>
      </c>
      <c r="B336" s="7" t="s">
        <v>1007</v>
      </c>
      <c r="C336" s="7" t="s">
        <v>7</v>
      </c>
      <c r="D336" s="7" t="s">
        <v>3612</v>
      </c>
      <c r="E336" s="7" t="s">
        <v>3617</v>
      </c>
      <c r="F336" s="8" t="s">
        <v>3628</v>
      </c>
      <c r="H336" s="7" t="s">
        <v>3618</v>
      </c>
      <c r="I336" s="7" t="s">
        <v>3524</v>
      </c>
      <c r="J336" s="7" t="s">
        <v>3571</v>
      </c>
      <c r="L336" s="7" t="s">
        <v>8</v>
      </c>
      <c r="M336" s="7" t="s">
        <v>9</v>
      </c>
      <c r="N336" s="7" t="s">
        <v>10</v>
      </c>
      <c r="O336" s="7" t="s">
        <v>1008</v>
      </c>
      <c r="P336" s="7" t="s">
        <v>1009</v>
      </c>
      <c r="Q336" s="7" t="s">
        <v>1010</v>
      </c>
      <c r="R336" t="s">
        <v>3633</v>
      </c>
    </row>
    <row r="337" spans="1:18" x14ac:dyDescent="0.3">
      <c r="A337" s="7" t="str">
        <f>HYPERLINK("https://hsdes.intel.com/resource/14013158906","14013158906")</f>
        <v>14013158906</v>
      </c>
      <c r="B337" s="7" t="s">
        <v>1011</v>
      </c>
      <c r="C337" s="7" t="s">
        <v>7</v>
      </c>
      <c r="D337" s="7" t="s">
        <v>3612</v>
      </c>
      <c r="E337" s="7" t="s">
        <v>3617</v>
      </c>
      <c r="F337" s="8" t="s">
        <v>3628</v>
      </c>
      <c r="H337" s="7" t="s">
        <v>3618</v>
      </c>
      <c r="I337" s="7" t="s">
        <v>3524</v>
      </c>
      <c r="J337" s="7" t="s">
        <v>3571</v>
      </c>
      <c r="L337" s="7" t="s">
        <v>8</v>
      </c>
      <c r="M337" s="7" t="s">
        <v>94</v>
      </c>
      <c r="N337" s="7" t="s">
        <v>10</v>
      </c>
      <c r="O337" s="7" t="s">
        <v>1012</v>
      </c>
      <c r="P337" s="7" t="s">
        <v>1013</v>
      </c>
      <c r="Q337" s="7" t="s">
        <v>1014</v>
      </c>
      <c r="R337" t="s">
        <v>3633</v>
      </c>
    </row>
    <row r="338" spans="1:18" x14ac:dyDescent="0.3">
      <c r="A338" s="7" t="str">
        <f>HYPERLINK("https://hsdes.intel.com/resource/14013158908","14013158908")</f>
        <v>14013158908</v>
      </c>
      <c r="B338" s="7" t="s">
        <v>1015</v>
      </c>
      <c r="C338" s="7" t="s">
        <v>7</v>
      </c>
      <c r="D338" s="7" t="s">
        <v>3612</v>
      </c>
      <c r="E338" s="7" t="s">
        <v>3617</v>
      </c>
      <c r="F338" s="8" t="s">
        <v>3628</v>
      </c>
      <c r="H338" s="7" t="s">
        <v>3618</v>
      </c>
      <c r="I338" s="7" t="s">
        <v>3524</v>
      </c>
      <c r="J338" s="7" t="s">
        <v>3571</v>
      </c>
      <c r="L338" s="7" t="s">
        <v>8</v>
      </c>
      <c r="M338" s="7" t="s">
        <v>9</v>
      </c>
      <c r="N338" s="7" t="s">
        <v>10</v>
      </c>
      <c r="O338" s="7" t="s">
        <v>1016</v>
      </c>
      <c r="P338" s="7" t="s">
        <v>1017</v>
      </c>
      <c r="Q338" s="7" t="s">
        <v>1018</v>
      </c>
      <c r="R338" t="s">
        <v>3633</v>
      </c>
    </row>
    <row r="339" spans="1:18" ht="57.6" x14ac:dyDescent="0.3">
      <c r="A339" s="7" t="str">
        <f>HYPERLINK("https://hsdes.intel.com/resource/14013158912","14013158912")</f>
        <v>14013158912</v>
      </c>
      <c r="B339" s="7" t="s">
        <v>1019</v>
      </c>
      <c r="C339" s="7" t="s">
        <v>7</v>
      </c>
      <c r="D339" s="7" t="s">
        <v>3612</v>
      </c>
      <c r="E339" s="7" t="s">
        <v>3617</v>
      </c>
      <c r="F339" s="8" t="s">
        <v>3628</v>
      </c>
      <c r="H339" s="7" t="s">
        <v>3618</v>
      </c>
      <c r="I339" s="7" t="s">
        <v>3524</v>
      </c>
      <c r="J339" s="11" t="s">
        <v>3575</v>
      </c>
      <c r="L339" s="7" t="s">
        <v>8</v>
      </c>
      <c r="M339" s="7" t="s">
        <v>9</v>
      </c>
      <c r="N339" s="7" t="s">
        <v>10</v>
      </c>
      <c r="O339" s="7" t="s">
        <v>1020</v>
      </c>
      <c r="P339" s="7" t="s">
        <v>1021</v>
      </c>
      <c r="Q339" s="7" t="s">
        <v>1022</v>
      </c>
      <c r="R339" t="s">
        <v>3633</v>
      </c>
    </row>
    <row r="340" spans="1:18" x14ac:dyDescent="0.3">
      <c r="A340" s="7" t="str">
        <f>HYPERLINK("https://hsdes.intel.com/resource/14013158922","14013158922")</f>
        <v>14013158922</v>
      </c>
      <c r="B340" s="7" t="s">
        <v>1023</v>
      </c>
      <c r="C340" s="7" t="s">
        <v>7</v>
      </c>
      <c r="D340" s="7" t="s">
        <v>3612</v>
      </c>
      <c r="E340" s="7" t="s">
        <v>3617</v>
      </c>
      <c r="F340" s="8" t="s">
        <v>3628</v>
      </c>
      <c r="H340" s="7" t="s">
        <v>3618</v>
      </c>
      <c r="I340" s="7" t="s">
        <v>3524</v>
      </c>
      <c r="J340" s="6" t="s">
        <v>3571</v>
      </c>
      <c r="L340" s="7" t="s">
        <v>8</v>
      </c>
      <c r="M340" s="7" t="s">
        <v>9</v>
      </c>
      <c r="N340" s="7" t="s">
        <v>10</v>
      </c>
      <c r="O340" s="7" t="s">
        <v>1024</v>
      </c>
      <c r="P340" s="7" t="s">
        <v>1025</v>
      </c>
      <c r="Q340" s="7" t="s">
        <v>1026</v>
      </c>
      <c r="R340" t="s">
        <v>3633</v>
      </c>
    </row>
    <row r="341" spans="1:18" x14ac:dyDescent="0.3">
      <c r="A341" s="7" t="str">
        <f>HYPERLINK("https://hsdes.intel.com/resource/14013158926","14013158926")</f>
        <v>14013158926</v>
      </c>
      <c r="B341" s="7" t="s">
        <v>1027</v>
      </c>
      <c r="C341" s="7" t="s">
        <v>7</v>
      </c>
      <c r="D341" s="7" t="s">
        <v>3612</v>
      </c>
      <c r="E341" s="7" t="s">
        <v>3617</v>
      </c>
      <c r="F341" s="8" t="s">
        <v>3628</v>
      </c>
      <c r="H341" s="7" t="s">
        <v>3618</v>
      </c>
      <c r="I341" s="7" t="s">
        <v>3524</v>
      </c>
      <c r="J341" s="7" t="s">
        <v>3571</v>
      </c>
      <c r="L341" s="7" t="s">
        <v>8</v>
      </c>
      <c r="M341" s="7" t="s">
        <v>9</v>
      </c>
      <c r="N341" s="7" t="s">
        <v>10</v>
      </c>
      <c r="O341" s="7" t="s">
        <v>1028</v>
      </c>
      <c r="P341" s="7" t="s">
        <v>1025</v>
      </c>
      <c r="Q341" s="7" t="s">
        <v>1029</v>
      </c>
      <c r="R341" t="s">
        <v>3633</v>
      </c>
    </row>
    <row r="342" spans="1:18" x14ac:dyDescent="0.3">
      <c r="A342" s="7" t="str">
        <f>HYPERLINK("https://hsdes.intel.com/resource/14013158937","14013158937")</f>
        <v>14013158937</v>
      </c>
      <c r="B342" s="7" t="s">
        <v>1030</v>
      </c>
      <c r="C342" s="7" t="s">
        <v>7</v>
      </c>
      <c r="D342" s="7" t="s">
        <v>3612</v>
      </c>
      <c r="E342" s="7" t="s">
        <v>3617</v>
      </c>
      <c r="F342" s="8" t="s">
        <v>3628</v>
      </c>
      <c r="H342" s="7" t="s">
        <v>3619</v>
      </c>
      <c r="I342" s="7" t="s">
        <v>3622</v>
      </c>
      <c r="L342" s="7" t="s">
        <v>8</v>
      </c>
      <c r="M342" s="7" t="s">
        <v>94</v>
      </c>
      <c r="N342" s="7" t="s">
        <v>10</v>
      </c>
      <c r="O342" s="7" t="s">
        <v>1031</v>
      </c>
      <c r="P342" s="7" t="s">
        <v>1032</v>
      </c>
      <c r="Q342" s="7" t="s">
        <v>1033</v>
      </c>
      <c r="R342" t="s">
        <v>3633</v>
      </c>
    </row>
    <row r="343" spans="1:18" x14ac:dyDescent="0.3">
      <c r="A343" s="7" t="str">
        <f>HYPERLINK("https://hsdes.intel.com/resource/14013158953","14013158953")</f>
        <v>14013158953</v>
      </c>
      <c r="B343" s="7" t="s">
        <v>1034</v>
      </c>
      <c r="C343" s="7" t="s">
        <v>7</v>
      </c>
      <c r="D343" s="7" t="s">
        <v>3612</v>
      </c>
      <c r="E343" s="7" t="s">
        <v>3617</v>
      </c>
      <c r="F343" s="8" t="s">
        <v>3628</v>
      </c>
      <c r="H343" s="7" t="s">
        <v>3619</v>
      </c>
      <c r="I343" s="7" t="s">
        <v>3622</v>
      </c>
      <c r="L343" s="7" t="s">
        <v>8</v>
      </c>
      <c r="M343" s="7" t="s">
        <v>9</v>
      </c>
      <c r="N343" s="7" t="s">
        <v>10</v>
      </c>
      <c r="O343" s="7" t="s">
        <v>1035</v>
      </c>
      <c r="P343" s="7" t="s">
        <v>1036</v>
      </c>
      <c r="Q343" s="7" t="s">
        <v>1037</v>
      </c>
      <c r="R343" t="s">
        <v>3633</v>
      </c>
    </row>
    <row r="344" spans="1:18" x14ac:dyDescent="0.3">
      <c r="A344" s="9" t="str">
        <f>HYPERLINK("https://hsdes.intel.com/resource/14013158965","14013158965")</f>
        <v>14013158965</v>
      </c>
      <c r="B344" s="7" t="s">
        <v>1038</v>
      </c>
      <c r="C344" s="7" t="s">
        <v>55</v>
      </c>
      <c r="D344" s="7" t="s">
        <v>3612</v>
      </c>
      <c r="E344" s="7" t="s">
        <v>3617</v>
      </c>
      <c r="F344" s="8" t="s">
        <v>3628</v>
      </c>
      <c r="H344" s="7" t="s">
        <v>3619</v>
      </c>
      <c r="I344" s="7" t="s">
        <v>3622</v>
      </c>
      <c r="L344" s="7" t="s">
        <v>30</v>
      </c>
      <c r="M344" s="7" t="s">
        <v>94</v>
      </c>
      <c r="N344" s="7" t="s">
        <v>39</v>
      </c>
      <c r="O344" s="7" t="s">
        <v>1039</v>
      </c>
      <c r="P344" s="7" t="s">
        <v>1040</v>
      </c>
      <c r="Q344" s="7" t="s">
        <v>1041</v>
      </c>
      <c r="R344" t="s">
        <v>3632</v>
      </c>
    </row>
    <row r="345" spans="1:18" x14ac:dyDescent="0.3">
      <c r="A345" s="7" t="str">
        <f>HYPERLINK("https://hsdes.intel.com/resource/14013158967","14013158967")</f>
        <v>14013158967</v>
      </c>
      <c r="B345" s="7" t="s">
        <v>1042</v>
      </c>
      <c r="C345" s="7" t="s">
        <v>55</v>
      </c>
      <c r="D345" s="7" t="s">
        <v>3612</v>
      </c>
      <c r="E345" s="7" t="s">
        <v>3617</v>
      </c>
      <c r="F345" s="8" t="s">
        <v>3628</v>
      </c>
      <c r="H345" s="7" t="s">
        <v>3619</v>
      </c>
      <c r="I345" s="7" t="s">
        <v>3622</v>
      </c>
      <c r="L345" s="7" t="s">
        <v>30</v>
      </c>
      <c r="M345" s="7" t="s">
        <v>9</v>
      </c>
      <c r="N345" s="7" t="s">
        <v>39</v>
      </c>
      <c r="O345" s="7" t="s">
        <v>78</v>
      </c>
      <c r="P345" s="7" t="s">
        <v>78</v>
      </c>
      <c r="Q345" s="7" t="s">
        <v>1043</v>
      </c>
      <c r="R345" t="s">
        <v>3632</v>
      </c>
    </row>
    <row r="346" spans="1:18" x14ac:dyDescent="0.3">
      <c r="A346" s="7" t="str">
        <f>HYPERLINK("https://hsdes.intel.com/resource/14013158971","14013158971")</f>
        <v>14013158971</v>
      </c>
      <c r="B346" s="7" t="s">
        <v>1044</v>
      </c>
      <c r="C346" s="7" t="s">
        <v>161</v>
      </c>
      <c r="D346" s="7" t="s">
        <v>3612</v>
      </c>
      <c r="E346" s="7" t="s">
        <v>3617</v>
      </c>
      <c r="F346" s="8" t="s">
        <v>3628</v>
      </c>
      <c r="H346" s="7" t="s">
        <v>3618</v>
      </c>
      <c r="J346" s="6" t="s">
        <v>3529</v>
      </c>
      <c r="L346" s="7" t="s">
        <v>38</v>
      </c>
      <c r="M346" s="7" t="s">
        <v>94</v>
      </c>
      <c r="N346" s="7" t="s">
        <v>56</v>
      </c>
      <c r="O346" s="7" t="s">
        <v>1045</v>
      </c>
      <c r="P346" s="7" t="s">
        <v>1046</v>
      </c>
      <c r="Q346" s="7" t="s">
        <v>1047</v>
      </c>
      <c r="R346" t="s">
        <v>3632</v>
      </c>
    </row>
    <row r="347" spans="1:18" x14ac:dyDescent="0.3">
      <c r="A347" s="7" t="str">
        <f>HYPERLINK("https://hsdes.intel.com/resource/14013158985","14013158985")</f>
        <v>14013158985</v>
      </c>
      <c r="B347" s="7" t="s">
        <v>1048</v>
      </c>
      <c r="C347" s="7" t="s">
        <v>175</v>
      </c>
      <c r="D347" s="7" t="s">
        <v>3612</v>
      </c>
      <c r="E347" s="7" t="s">
        <v>3617</v>
      </c>
      <c r="F347" s="8" t="s">
        <v>3628</v>
      </c>
      <c r="H347" s="7" t="s">
        <v>3618</v>
      </c>
      <c r="J347" s="7" t="s">
        <v>3569</v>
      </c>
      <c r="L347" s="7" t="s">
        <v>38</v>
      </c>
      <c r="M347" s="7" t="s">
        <v>94</v>
      </c>
      <c r="N347" s="7" t="s">
        <v>39</v>
      </c>
      <c r="O347" s="7" t="s">
        <v>1049</v>
      </c>
      <c r="P347" s="7" t="s">
        <v>178</v>
      </c>
      <c r="Q347" s="7" t="s">
        <v>1050</v>
      </c>
      <c r="R347" t="s">
        <v>3632</v>
      </c>
    </row>
    <row r="348" spans="1:18" x14ac:dyDescent="0.3">
      <c r="A348" s="7" t="str">
        <f>HYPERLINK("https://hsdes.intel.com/resource/14013158987","14013158987")</f>
        <v>14013158987</v>
      </c>
      <c r="B348" s="7" t="s">
        <v>1051</v>
      </c>
      <c r="C348" s="7" t="s">
        <v>55</v>
      </c>
      <c r="D348" s="7" t="s">
        <v>3612</v>
      </c>
      <c r="E348" s="7" t="s">
        <v>3617</v>
      </c>
      <c r="F348" s="8" t="s">
        <v>3628</v>
      </c>
      <c r="H348" s="7" t="s">
        <v>3619</v>
      </c>
      <c r="I348" s="7" t="s">
        <v>3622</v>
      </c>
      <c r="L348" s="7" t="s">
        <v>30</v>
      </c>
      <c r="M348" s="7" t="s">
        <v>9</v>
      </c>
      <c r="N348" s="7" t="s">
        <v>39</v>
      </c>
      <c r="O348" s="7" t="s">
        <v>727</v>
      </c>
      <c r="P348" s="7" t="s">
        <v>727</v>
      </c>
      <c r="Q348" s="7" t="s">
        <v>1052</v>
      </c>
      <c r="R348" t="s">
        <v>3632</v>
      </c>
    </row>
    <row r="349" spans="1:18" x14ac:dyDescent="0.3">
      <c r="A349" s="7" t="str">
        <f>HYPERLINK("https://hsdes.intel.com/resource/14013158991","14013158991")</f>
        <v>14013158991</v>
      </c>
      <c r="B349" s="7" t="s">
        <v>1053</v>
      </c>
      <c r="C349" s="7" t="s">
        <v>55</v>
      </c>
      <c r="D349" s="7" t="s">
        <v>3612</v>
      </c>
      <c r="E349" s="7" t="s">
        <v>3617</v>
      </c>
      <c r="F349" s="8" t="s">
        <v>3628</v>
      </c>
      <c r="H349" s="7" t="s">
        <v>3619</v>
      </c>
      <c r="I349" s="7" t="s">
        <v>3622</v>
      </c>
      <c r="L349" s="7" t="s">
        <v>30</v>
      </c>
      <c r="M349" s="7" t="s">
        <v>9</v>
      </c>
      <c r="N349" s="7" t="s">
        <v>39</v>
      </c>
      <c r="O349" s="7" t="s">
        <v>423</v>
      </c>
      <c r="P349" s="7" t="s">
        <v>423</v>
      </c>
      <c r="Q349" s="7" t="s">
        <v>1054</v>
      </c>
      <c r="R349" t="s">
        <v>3632</v>
      </c>
    </row>
    <row r="350" spans="1:18" x14ac:dyDescent="0.3">
      <c r="A350" s="7" t="str">
        <f>HYPERLINK("https://hsdes.intel.com/resource/14013158993","14013158993")</f>
        <v>14013158993</v>
      </c>
      <c r="B350" s="7" t="s">
        <v>1055</v>
      </c>
      <c r="C350" s="7" t="s">
        <v>55</v>
      </c>
      <c r="D350" s="7" t="s">
        <v>3612</v>
      </c>
      <c r="E350" s="7" t="s">
        <v>3617</v>
      </c>
      <c r="F350" s="8" t="s">
        <v>3628</v>
      </c>
      <c r="H350" s="7" t="s">
        <v>3619</v>
      </c>
      <c r="I350" s="7" t="s">
        <v>3622</v>
      </c>
      <c r="L350" s="7" t="s">
        <v>30</v>
      </c>
      <c r="M350" s="7" t="s">
        <v>9</v>
      </c>
      <c r="N350" s="7" t="s">
        <v>25</v>
      </c>
      <c r="O350" s="7" t="s">
        <v>1056</v>
      </c>
      <c r="P350" s="7" t="s">
        <v>1056</v>
      </c>
      <c r="Q350" s="7" t="s">
        <v>1057</v>
      </c>
      <c r="R350" t="s">
        <v>3632</v>
      </c>
    </row>
    <row r="351" spans="1:18" x14ac:dyDescent="0.3">
      <c r="A351" s="7" t="str">
        <f>HYPERLINK("https://hsdes.intel.com/resource/14013158996","14013158996")</f>
        <v>14013158996</v>
      </c>
      <c r="B351" s="7" t="s">
        <v>1058</v>
      </c>
      <c r="C351" s="7" t="s">
        <v>63</v>
      </c>
      <c r="D351" s="7" t="s">
        <v>3612</v>
      </c>
      <c r="E351" s="7" t="s">
        <v>3617</v>
      </c>
      <c r="F351" s="8" t="s">
        <v>3628</v>
      </c>
      <c r="H351" s="7" t="s">
        <v>3619</v>
      </c>
      <c r="I351" s="7" t="s">
        <v>3622</v>
      </c>
      <c r="L351" s="7" t="s">
        <v>64</v>
      </c>
      <c r="M351" s="7" t="s">
        <v>9</v>
      </c>
      <c r="N351" s="7" t="s">
        <v>56</v>
      </c>
      <c r="O351" s="7" t="s">
        <v>1059</v>
      </c>
      <c r="P351" s="7" t="s">
        <v>1060</v>
      </c>
      <c r="Q351" s="7" t="s">
        <v>1061</v>
      </c>
      <c r="R351" t="s">
        <v>3632</v>
      </c>
    </row>
    <row r="352" spans="1:18" x14ac:dyDescent="0.3">
      <c r="A352" s="7" t="str">
        <f>HYPERLINK("https://hsdes.intel.com/resource/14013158998","14013158998")</f>
        <v>14013158998</v>
      </c>
      <c r="B352" s="7" t="s">
        <v>1062</v>
      </c>
      <c r="C352" s="7" t="s">
        <v>63</v>
      </c>
      <c r="D352" s="7" t="s">
        <v>3612</v>
      </c>
      <c r="E352" s="7" t="s">
        <v>3617</v>
      </c>
      <c r="F352" s="8" t="s">
        <v>3628</v>
      </c>
      <c r="H352" s="16" t="s">
        <v>3619</v>
      </c>
      <c r="I352" s="7" t="s">
        <v>3622</v>
      </c>
      <c r="L352" s="7" t="s">
        <v>64</v>
      </c>
      <c r="M352" s="7" t="s">
        <v>9</v>
      </c>
      <c r="N352" s="7" t="s">
        <v>1063</v>
      </c>
      <c r="O352" s="7" t="s">
        <v>192</v>
      </c>
      <c r="P352" s="7" t="s">
        <v>192</v>
      </c>
      <c r="Q352" s="7" t="s">
        <v>1064</v>
      </c>
      <c r="R352" t="s">
        <v>3632</v>
      </c>
    </row>
    <row r="353" spans="1:18" x14ac:dyDescent="0.3">
      <c r="A353" s="7" t="str">
        <f>HYPERLINK("https://hsdes.intel.com/resource/14013159000","14013159000")</f>
        <v>14013159000</v>
      </c>
      <c r="B353" s="7" t="s">
        <v>1065</v>
      </c>
      <c r="C353" s="7" t="s">
        <v>63</v>
      </c>
      <c r="D353" s="7" t="s">
        <v>3612</v>
      </c>
      <c r="E353" s="7" t="s">
        <v>3617</v>
      </c>
      <c r="F353" s="8" t="s">
        <v>3628</v>
      </c>
      <c r="H353" s="16" t="s">
        <v>3619</v>
      </c>
      <c r="I353" s="7" t="s">
        <v>3622</v>
      </c>
      <c r="L353" s="7" t="s">
        <v>64</v>
      </c>
      <c r="M353" s="7" t="s">
        <v>9</v>
      </c>
      <c r="N353" s="7" t="s">
        <v>56</v>
      </c>
      <c r="O353" s="7" t="s">
        <v>1066</v>
      </c>
      <c r="P353" s="7" t="s">
        <v>1067</v>
      </c>
      <c r="Q353" s="7" t="s">
        <v>1068</v>
      </c>
      <c r="R353" t="s">
        <v>3632</v>
      </c>
    </row>
    <row r="354" spans="1:18" x14ac:dyDescent="0.3">
      <c r="A354" s="7" t="str">
        <f>HYPERLINK("https://hsdes.intel.com/resource/14013159002","14013159002")</f>
        <v>14013159002</v>
      </c>
      <c r="B354" s="7" t="s">
        <v>1069</v>
      </c>
      <c r="C354" s="7" t="s">
        <v>212</v>
      </c>
      <c r="D354" s="7" t="s">
        <v>3612</v>
      </c>
      <c r="E354" s="7" t="s">
        <v>3617</v>
      </c>
      <c r="F354" s="8" t="s">
        <v>3628</v>
      </c>
      <c r="H354" s="7" t="s">
        <v>3620</v>
      </c>
      <c r="I354" s="7" t="s">
        <v>3654</v>
      </c>
      <c r="J354" s="7" t="s">
        <v>3526</v>
      </c>
      <c r="L354" s="7" t="s">
        <v>24</v>
      </c>
      <c r="M354" s="7" t="s">
        <v>9</v>
      </c>
      <c r="N354" s="7" t="s">
        <v>804</v>
      </c>
      <c r="O354" s="7" t="s">
        <v>1070</v>
      </c>
      <c r="P354" s="7" t="s">
        <v>365</v>
      </c>
      <c r="Q354" s="7" t="s">
        <v>1071</v>
      </c>
      <c r="R354" t="s">
        <v>3633</v>
      </c>
    </row>
    <row r="355" spans="1:18" x14ac:dyDescent="0.3">
      <c r="A355" s="7" t="str">
        <f>HYPERLINK("https://hsdes.intel.com/resource/14013159006","14013159006")</f>
        <v>14013159006</v>
      </c>
      <c r="B355" s="7" t="s">
        <v>1072</v>
      </c>
      <c r="C355" s="7" t="s">
        <v>7</v>
      </c>
      <c r="D355" s="7" t="s">
        <v>3612</v>
      </c>
      <c r="E355" s="7" t="s">
        <v>3617</v>
      </c>
      <c r="F355" s="8" t="s">
        <v>3628</v>
      </c>
      <c r="H355" s="7" t="s">
        <v>3620</v>
      </c>
      <c r="I355" s="7" t="s">
        <v>3622</v>
      </c>
      <c r="L355" s="7" t="s">
        <v>8</v>
      </c>
      <c r="M355" s="7" t="s">
        <v>9</v>
      </c>
      <c r="N355" s="7" t="s">
        <v>10</v>
      </c>
      <c r="O355" s="7" t="s">
        <v>908</v>
      </c>
      <c r="P355" s="7" t="s">
        <v>1073</v>
      </c>
      <c r="Q355" s="7" t="s">
        <v>1074</v>
      </c>
      <c r="R355" t="s">
        <v>3631</v>
      </c>
    </row>
    <row r="356" spans="1:18" x14ac:dyDescent="0.3">
      <c r="A356" s="7" t="str">
        <f>HYPERLINK("https://hsdes.intel.com/resource/14013159008","14013159008")</f>
        <v>14013159008</v>
      </c>
      <c r="B356" s="7" t="s">
        <v>1075</v>
      </c>
      <c r="C356" s="7" t="s">
        <v>55</v>
      </c>
      <c r="D356" s="7" t="s">
        <v>3612</v>
      </c>
      <c r="E356" s="7" t="s">
        <v>3617</v>
      </c>
      <c r="F356" s="8" t="s">
        <v>3628</v>
      </c>
      <c r="H356" s="7" t="s">
        <v>3619</v>
      </c>
      <c r="I356" s="7" t="s">
        <v>3622</v>
      </c>
      <c r="L356" s="7" t="s">
        <v>30</v>
      </c>
      <c r="M356" s="7" t="s">
        <v>9</v>
      </c>
      <c r="N356" s="7" t="s">
        <v>1076</v>
      </c>
      <c r="O356" s="7" t="s">
        <v>78</v>
      </c>
      <c r="P356" s="7" t="s">
        <v>78</v>
      </c>
      <c r="Q356" s="7" t="s">
        <v>1077</v>
      </c>
      <c r="R356" t="s">
        <v>3631</v>
      </c>
    </row>
    <row r="357" spans="1:18" x14ac:dyDescent="0.3">
      <c r="A357" s="7" t="str">
        <f>HYPERLINK("https://hsdes.intel.com/resource/14013159019","14013159019")</f>
        <v>14013159019</v>
      </c>
      <c r="B357" s="7" t="s">
        <v>1078</v>
      </c>
      <c r="C357" s="7" t="s">
        <v>7</v>
      </c>
      <c r="D357" s="7" t="s">
        <v>3612</v>
      </c>
      <c r="E357" s="7" t="s">
        <v>3617</v>
      </c>
      <c r="F357" s="8" t="s">
        <v>3628</v>
      </c>
      <c r="H357" s="7" t="s">
        <v>3620</v>
      </c>
      <c r="I357" s="7" t="s">
        <v>3524</v>
      </c>
      <c r="L357" s="7" t="s">
        <v>8</v>
      </c>
      <c r="M357" s="7" t="s">
        <v>94</v>
      </c>
      <c r="N357" s="7" t="s">
        <v>1079</v>
      </c>
      <c r="O357" s="7" t="s">
        <v>1080</v>
      </c>
      <c r="P357" s="7" t="s">
        <v>1081</v>
      </c>
      <c r="Q357" s="7" t="s">
        <v>1082</v>
      </c>
      <c r="R357" t="s">
        <v>3632</v>
      </c>
    </row>
    <row r="358" spans="1:18" x14ac:dyDescent="0.3">
      <c r="A358" s="7" t="str">
        <f>HYPERLINK("https://hsdes.intel.com/resource/14013159027","14013159027")</f>
        <v>14013159027</v>
      </c>
      <c r="B358" s="7" t="s">
        <v>1083</v>
      </c>
      <c r="C358" s="7" t="s">
        <v>7</v>
      </c>
      <c r="D358" s="7" t="s">
        <v>3613</v>
      </c>
      <c r="E358" s="7" t="s">
        <v>3617</v>
      </c>
      <c r="F358" s="8" t="s">
        <v>3628</v>
      </c>
      <c r="H358" s="7" t="s">
        <v>3620</v>
      </c>
      <c r="I358" s="7" t="s">
        <v>3622</v>
      </c>
      <c r="L358" s="7" t="s">
        <v>8</v>
      </c>
      <c r="M358" s="7" t="s">
        <v>9</v>
      </c>
      <c r="N358" s="7" t="s">
        <v>10</v>
      </c>
      <c r="O358" s="7" t="s">
        <v>1084</v>
      </c>
      <c r="P358" s="7" t="s">
        <v>1085</v>
      </c>
      <c r="Q358" s="7" t="s">
        <v>1086</v>
      </c>
      <c r="R358" t="s">
        <v>3633</v>
      </c>
    </row>
    <row r="359" spans="1:18" x14ac:dyDescent="0.3">
      <c r="A359" s="7" t="str">
        <f>HYPERLINK("https://hsdes.intel.com/resource/14013159034","14013159034")</f>
        <v>14013159034</v>
      </c>
      <c r="B359" s="7" t="s">
        <v>1087</v>
      </c>
      <c r="C359" s="7" t="s">
        <v>55</v>
      </c>
      <c r="D359" s="7" t="s">
        <v>3612</v>
      </c>
      <c r="E359" s="7" t="s">
        <v>3617</v>
      </c>
      <c r="F359" s="8" t="s">
        <v>3628</v>
      </c>
      <c r="H359" s="7" t="s">
        <v>3619</v>
      </c>
      <c r="I359" s="7" t="s">
        <v>3622</v>
      </c>
      <c r="L359" s="7" t="s">
        <v>30</v>
      </c>
      <c r="M359" s="7" t="s">
        <v>9</v>
      </c>
      <c r="N359" s="7" t="s">
        <v>1088</v>
      </c>
      <c r="O359" s="7" t="s">
        <v>1089</v>
      </c>
      <c r="P359" s="7" t="s">
        <v>1089</v>
      </c>
      <c r="Q359" s="7" t="s">
        <v>1090</v>
      </c>
      <c r="R359" t="s">
        <v>3631</v>
      </c>
    </row>
    <row r="360" spans="1:18" x14ac:dyDescent="0.3">
      <c r="A360" s="7" t="str">
        <f>HYPERLINK("https://hsdes.intel.com/resource/14013159048","14013159048")</f>
        <v>14013159048</v>
      </c>
      <c r="B360" s="7" t="s">
        <v>1091</v>
      </c>
      <c r="C360" s="7" t="s">
        <v>55</v>
      </c>
      <c r="D360" s="7" t="s">
        <v>3612</v>
      </c>
      <c r="E360" s="7" t="s">
        <v>3617</v>
      </c>
      <c r="F360" s="8" t="s">
        <v>3628</v>
      </c>
      <c r="H360" s="7" t="s">
        <v>3619</v>
      </c>
      <c r="I360" s="7" t="s">
        <v>3622</v>
      </c>
      <c r="L360" s="7" t="s">
        <v>30</v>
      </c>
      <c r="M360" s="7" t="s">
        <v>9</v>
      </c>
      <c r="N360" s="7" t="s">
        <v>25</v>
      </c>
      <c r="O360" s="7" t="s">
        <v>26</v>
      </c>
      <c r="P360" s="7" t="s">
        <v>26</v>
      </c>
      <c r="Q360" s="7" t="s">
        <v>1092</v>
      </c>
      <c r="R360" t="s">
        <v>3632</v>
      </c>
    </row>
    <row r="361" spans="1:18" x14ac:dyDescent="0.3">
      <c r="A361" s="7" t="str">
        <f>HYPERLINK("https://hsdes.intel.com/resource/14013159050","14013159050")</f>
        <v>14013159050</v>
      </c>
      <c r="B361" s="7" t="s">
        <v>1093</v>
      </c>
      <c r="C361" s="7" t="s">
        <v>29</v>
      </c>
      <c r="D361" s="7" t="s">
        <v>3612</v>
      </c>
      <c r="E361" s="7" t="s">
        <v>3617</v>
      </c>
      <c r="F361" s="8" t="s">
        <v>3628</v>
      </c>
      <c r="H361" s="7" t="s">
        <v>3619</v>
      </c>
      <c r="I361" s="7" t="s">
        <v>3524</v>
      </c>
      <c r="L361" s="7" t="s">
        <v>30</v>
      </c>
      <c r="M361" s="7" t="s">
        <v>9</v>
      </c>
      <c r="N361" s="7" t="s">
        <v>39</v>
      </c>
      <c r="O361" s="7" t="s">
        <v>31</v>
      </c>
      <c r="P361" s="7" t="s">
        <v>31</v>
      </c>
      <c r="Q361" s="7" t="s">
        <v>1094</v>
      </c>
      <c r="R361" t="s">
        <v>3632</v>
      </c>
    </row>
    <row r="362" spans="1:18" x14ac:dyDescent="0.3">
      <c r="A362" s="7" t="str">
        <f>HYPERLINK("https://hsdes.intel.com/resource/14013159082","14013159082")</f>
        <v>14013159082</v>
      </c>
      <c r="B362" s="7" t="s">
        <v>1095</v>
      </c>
      <c r="C362" s="7" t="s">
        <v>7</v>
      </c>
      <c r="D362" s="7" t="s">
        <v>3612</v>
      </c>
      <c r="E362" s="7" t="s">
        <v>3617</v>
      </c>
      <c r="F362" s="8" t="s">
        <v>3628</v>
      </c>
      <c r="H362" s="7" t="s">
        <v>3619</v>
      </c>
      <c r="I362" s="7" t="s">
        <v>3622</v>
      </c>
      <c r="L362" s="7" t="s">
        <v>8</v>
      </c>
      <c r="M362" s="7" t="s">
        <v>9</v>
      </c>
      <c r="N362" s="7" t="s">
        <v>10</v>
      </c>
      <c r="O362" s="7" t="s">
        <v>1096</v>
      </c>
      <c r="P362" s="7" t="s">
        <v>792</v>
      </c>
      <c r="Q362" s="7" t="s">
        <v>1097</v>
      </c>
      <c r="R362" t="s">
        <v>3631</v>
      </c>
    </row>
    <row r="363" spans="1:18" x14ac:dyDescent="0.3">
      <c r="A363" s="7" t="str">
        <f>HYPERLINK("https://hsdes.intel.com/resource/14013159088","14013159088")</f>
        <v>14013159088</v>
      </c>
      <c r="B363" s="7" t="s">
        <v>1098</v>
      </c>
      <c r="C363" s="7" t="s">
        <v>7</v>
      </c>
      <c r="D363" s="7" t="s">
        <v>3612</v>
      </c>
      <c r="E363" s="7" t="s">
        <v>3617</v>
      </c>
      <c r="F363" s="8" t="s">
        <v>3628</v>
      </c>
      <c r="H363" s="7" t="s">
        <v>3619</v>
      </c>
      <c r="I363" s="7" t="s">
        <v>3622</v>
      </c>
      <c r="L363" s="7" t="s">
        <v>8</v>
      </c>
      <c r="M363" s="7" t="s">
        <v>9</v>
      </c>
      <c r="N363" s="7" t="s">
        <v>10</v>
      </c>
      <c r="O363" s="7" t="s">
        <v>1099</v>
      </c>
      <c r="P363" s="7" t="s">
        <v>1100</v>
      </c>
      <c r="Q363" s="7" t="s">
        <v>1101</v>
      </c>
      <c r="R363" t="s">
        <v>3633</v>
      </c>
    </row>
    <row r="364" spans="1:18" x14ac:dyDescent="0.3">
      <c r="A364" s="7" t="str">
        <f>HYPERLINK("https://hsdes.intel.com/resource/14013159100","14013159100")</f>
        <v>14013159100</v>
      </c>
      <c r="B364" s="7" t="s">
        <v>1102</v>
      </c>
      <c r="C364" s="7" t="s">
        <v>7</v>
      </c>
      <c r="D364" s="7" t="s">
        <v>3612</v>
      </c>
      <c r="E364" s="7" t="s">
        <v>3617</v>
      </c>
      <c r="F364" s="8" t="s">
        <v>3628</v>
      </c>
      <c r="H364" s="7" t="s">
        <v>3619</v>
      </c>
      <c r="I364" s="7" t="s">
        <v>3622</v>
      </c>
      <c r="L364" s="7" t="s">
        <v>8</v>
      </c>
      <c r="M364" s="7" t="s">
        <v>9</v>
      </c>
      <c r="N364" s="7" t="s">
        <v>10</v>
      </c>
      <c r="O364" s="7" t="s">
        <v>1103</v>
      </c>
      <c r="P364" s="7" t="s">
        <v>792</v>
      </c>
      <c r="Q364" s="7" t="s">
        <v>1104</v>
      </c>
      <c r="R364" t="s">
        <v>3631</v>
      </c>
    </row>
    <row r="365" spans="1:18" x14ac:dyDescent="0.3">
      <c r="A365" s="7" t="str">
        <f>HYPERLINK("https://hsdes.intel.com/resource/14013159102","14013159102")</f>
        <v>14013159102</v>
      </c>
      <c r="B365" s="7" t="s">
        <v>1105</v>
      </c>
      <c r="C365" s="7" t="s">
        <v>7</v>
      </c>
      <c r="D365" s="7" t="s">
        <v>3612</v>
      </c>
      <c r="E365" s="7" t="s">
        <v>3617</v>
      </c>
      <c r="F365" s="8" t="s">
        <v>3628</v>
      </c>
      <c r="H365" s="16" t="s">
        <v>3619</v>
      </c>
      <c r="I365" s="7" t="s">
        <v>3622</v>
      </c>
      <c r="L365" s="7" t="s">
        <v>8</v>
      </c>
      <c r="M365" s="7" t="s">
        <v>9</v>
      </c>
      <c r="N365" s="7" t="s">
        <v>10</v>
      </c>
      <c r="O365" s="7" t="s">
        <v>817</v>
      </c>
      <c r="P365" s="7" t="s">
        <v>792</v>
      </c>
      <c r="Q365" s="7" t="s">
        <v>1106</v>
      </c>
      <c r="R365" t="s">
        <v>3632</v>
      </c>
    </row>
    <row r="366" spans="1:18" x14ac:dyDescent="0.3">
      <c r="A366" s="7" t="str">
        <f>HYPERLINK("https://hsdes.intel.com/resource/14013159106","14013159106")</f>
        <v>14013159106</v>
      </c>
      <c r="B366" s="7" t="s">
        <v>1107</v>
      </c>
      <c r="C366" s="7" t="s">
        <v>7</v>
      </c>
      <c r="D366" s="7" t="s">
        <v>3612</v>
      </c>
      <c r="E366" s="7" t="s">
        <v>3617</v>
      </c>
      <c r="F366" s="8" t="s">
        <v>3628</v>
      </c>
      <c r="H366" s="7" t="s">
        <v>3619</v>
      </c>
      <c r="I366" s="7" t="s">
        <v>3622</v>
      </c>
      <c r="L366" s="7" t="s">
        <v>8</v>
      </c>
      <c r="M366" s="7" t="s">
        <v>94</v>
      </c>
      <c r="N366" s="7" t="s">
        <v>10</v>
      </c>
      <c r="O366" s="7" t="s">
        <v>1108</v>
      </c>
      <c r="P366" s="7" t="s">
        <v>1109</v>
      </c>
      <c r="Q366" s="7" t="s">
        <v>1110</v>
      </c>
      <c r="R366" t="s">
        <v>3631</v>
      </c>
    </row>
    <row r="367" spans="1:18" x14ac:dyDescent="0.3">
      <c r="A367" s="7" t="str">
        <f>HYPERLINK("https://hsdes.intel.com/resource/14013159108","14013159108")</f>
        <v>14013159108</v>
      </c>
      <c r="B367" s="7" t="s">
        <v>1111</v>
      </c>
      <c r="C367" s="7" t="s">
        <v>7</v>
      </c>
      <c r="D367" s="7" t="s">
        <v>3612</v>
      </c>
      <c r="E367" s="7" t="s">
        <v>3617</v>
      </c>
      <c r="F367" s="8" t="s">
        <v>3628</v>
      </c>
      <c r="H367" s="7" t="s">
        <v>3619</v>
      </c>
      <c r="I367" s="7" t="s">
        <v>3524</v>
      </c>
      <c r="L367" s="7" t="s">
        <v>8</v>
      </c>
      <c r="M367" s="7" t="s">
        <v>9</v>
      </c>
      <c r="N367" s="7" t="s">
        <v>738</v>
      </c>
      <c r="O367" s="7" t="s">
        <v>1112</v>
      </c>
      <c r="P367" s="7" t="s">
        <v>1113</v>
      </c>
      <c r="Q367" s="7" t="s">
        <v>1114</v>
      </c>
      <c r="R367" t="s">
        <v>3633</v>
      </c>
    </row>
    <row r="368" spans="1:18" x14ac:dyDescent="0.3">
      <c r="A368" s="7" t="str">
        <f>HYPERLINK("https://hsdes.intel.com/resource/14013159116","14013159116")</f>
        <v>14013159116</v>
      </c>
      <c r="B368" s="7" t="s">
        <v>1115</v>
      </c>
      <c r="C368" s="7" t="s">
        <v>7</v>
      </c>
      <c r="D368" s="7" t="s">
        <v>3612</v>
      </c>
      <c r="E368" s="7" t="s">
        <v>3617</v>
      </c>
      <c r="F368" s="8" t="s">
        <v>3628</v>
      </c>
      <c r="H368" s="7" t="s">
        <v>3618</v>
      </c>
      <c r="J368" s="7" t="s">
        <v>3532</v>
      </c>
      <c r="L368" s="7" t="s">
        <v>8</v>
      </c>
      <c r="M368" s="7" t="s">
        <v>9</v>
      </c>
      <c r="N368" s="7" t="s">
        <v>10</v>
      </c>
      <c r="O368" s="7" t="s">
        <v>924</v>
      </c>
      <c r="P368" s="7" t="s">
        <v>1116</v>
      </c>
      <c r="Q368" s="7" t="s">
        <v>1117</v>
      </c>
      <c r="R368" t="s">
        <v>3633</v>
      </c>
    </row>
    <row r="369" spans="1:18" x14ac:dyDescent="0.3">
      <c r="A369" s="7" t="str">
        <f>HYPERLINK("https://hsdes.intel.com/resource/14013159121","14013159121")</f>
        <v>14013159121</v>
      </c>
      <c r="B369" s="7" t="s">
        <v>1118</v>
      </c>
      <c r="C369" s="7" t="s">
        <v>7</v>
      </c>
      <c r="D369" s="7" t="s">
        <v>3612</v>
      </c>
      <c r="E369" s="7" t="s">
        <v>3617</v>
      </c>
      <c r="F369" s="8" t="s">
        <v>3628</v>
      </c>
      <c r="H369" s="7" t="s">
        <v>3619</v>
      </c>
      <c r="I369" s="7" t="s">
        <v>3622</v>
      </c>
      <c r="L369" s="7" t="s">
        <v>8</v>
      </c>
      <c r="M369" s="7" t="s">
        <v>9</v>
      </c>
      <c r="N369" s="7" t="s">
        <v>10</v>
      </c>
      <c r="O369" s="7" t="s">
        <v>1103</v>
      </c>
      <c r="P369" s="7" t="s">
        <v>792</v>
      </c>
      <c r="Q369" s="7" t="s">
        <v>1119</v>
      </c>
      <c r="R369" t="s">
        <v>3631</v>
      </c>
    </row>
    <row r="370" spans="1:18" x14ac:dyDescent="0.3">
      <c r="A370" s="7" t="str">
        <f>HYPERLINK("https://hsdes.intel.com/resource/14013159132","14013159132")</f>
        <v>14013159132</v>
      </c>
      <c r="B370" s="7" t="s">
        <v>1120</v>
      </c>
      <c r="C370" s="7" t="s">
        <v>7</v>
      </c>
      <c r="D370" s="7" t="s">
        <v>3612</v>
      </c>
      <c r="E370" s="7" t="s">
        <v>3617</v>
      </c>
      <c r="F370" s="8" t="s">
        <v>3628</v>
      </c>
      <c r="H370" s="7" t="s">
        <v>3619</v>
      </c>
      <c r="I370" s="7" t="s">
        <v>3524</v>
      </c>
      <c r="J370" s="6" t="s">
        <v>3536</v>
      </c>
      <c r="L370" s="7" t="s">
        <v>8</v>
      </c>
      <c r="M370" s="7" t="s">
        <v>9</v>
      </c>
      <c r="N370" s="7" t="s">
        <v>10</v>
      </c>
      <c r="O370" s="7" t="s">
        <v>908</v>
      </c>
      <c r="P370" s="7" t="s">
        <v>792</v>
      </c>
      <c r="Q370" s="7" t="s">
        <v>1121</v>
      </c>
      <c r="R370" t="s">
        <v>3632</v>
      </c>
    </row>
    <row r="371" spans="1:18" x14ac:dyDescent="0.3">
      <c r="A371" s="7" t="str">
        <f>HYPERLINK("https://hsdes.intel.com/resource/14013159136","14013159136")</f>
        <v>14013159136</v>
      </c>
      <c r="B371" s="7" t="s">
        <v>1122</v>
      </c>
      <c r="C371" s="7" t="s">
        <v>7</v>
      </c>
      <c r="D371" s="7" t="s">
        <v>3612</v>
      </c>
      <c r="E371" s="7" t="s">
        <v>3617</v>
      </c>
      <c r="F371" s="8" t="s">
        <v>3628</v>
      </c>
      <c r="H371" s="7" t="s">
        <v>3619</v>
      </c>
      <c r="I371" s="7" t="s">
        <v>3524</v>
      </c>
      <c r="L371" s="7" t="s">
        <v>8</v>
      </c>
      <c r="M371" s="7" t="s">
        <v>9</v>
      </c>
      <c r="N371" s="7" t="s">
        <v>10</v>
      </c>
      <c r="O371" s="7" t="s">
        <v>817</v>
      </c>
      <c r="P371" s="7" t="s">
        <v>1123</v>
      </c>
      <c r="Q371" s="7" t="s">
        <v>1124</v>
      </c>
      <c r="R371" t="s">
        <v>3633</v>
      </c>
    </row>
    <row r="372" spans="1:18" x14ac:dyDescent="0.3">
      <c r="A372" s="7" t="str">
        <f>HYPERLINK("https://hsdes.intel.com/resource/14013159138","14013159138")</f>
        <v>14013159138</v>
      </c>
      <c r="B372" s="7" t="s">
        <v>1125</v>
      </c>
      <c r="C372" s="7" t="s">
        <v>7</v>
      </c>
      <c r="D372" s="7" t="s">
        <v>3612</v>
      </c>
      <c r="E372" s="7" t="s">
        <v>3617</v>
      </c>
      <c r="F372" s="8" t="s">
        <v>3628</v>
      </c>
      <c r="H372" s="7" t="s">
        <v>3619</v>
      </c>
      <c r="I372" s="7" t="s">
        <v>3524</v>
      </c>
      <c r="L372" s="7" t="s">
        <v>8</v>
      </c>
      <c r="M372" s="7" t="s">
        <v>9</v>
      </c>
      <c r="N372" s="7" t="s">
        <v>10</v>
      </c>
      <c r="O372" s="7" t="s">
        <v>1112</v>
      </c>
      <c r="P372" s="7" t="s">
        <v>1126</v>
      </c>
      <c r="Q372" s="7" t="s">
        <v>1127</v>
      </c>
      <c r="R372" t="s">
        <v>3633</v>
      </c>
    </row>
    <row r="373" spans="1:18" x14ac:dyDescent="0.3">
      <c r="A373" s="7" t="str">
        <f>HYPERLINK("https://hsdes.intel.com/resource/14013159141","14013159141")</f>
        <v>14013159141</v>
      </c>
      <c r="B373" s="7" t="s">
        <v>1128</v>
      </c>
      <c r="C373" s="7" t="s">
        <v>7</v>
      </c>
      <c r="D373" s="7" t="s">
        <v>3612</v>
      </c>
      <c r="E373" s="7" t="s">
        <v>3617</v>
      </c>
      <c r="F373" s="8" t="s">
        <v>3628</v>
      </c>
      <c r="H373" s="7" t="s">
        <v>3619</v>
      </c>
      <c r="I373" s="7" t="s">
        <v>3524</v>
      </c>
      <c r="L373" s="7" t="s">
        <v>8</v>
      </c>
      <c r="M373" s="7" t="s">
        <v>9</v>
      </c>
      <c r="N373" s="7" t="s">
        <v>10</v>
      </c>
      <c r="O373" s="7" t="s">
        <v>1096</v>
      </c>
      <c r="P373" s="7" t="s">
        <v>1129</v>
      </c>
      <c r="Q373" s="7" t="s">
        <v>1130</v>
      </c>
      <c r="R373" t="s">
        <v>3633</v>
      </c>
    </row>
    <row r="374" spans="1:18" x14ac:dyDescent="0.3">
      <c r="A374" s="7" t="str">
        <f>HYPERLINK("https://hsdes.intel.com/resource/14013159143","14013159143")</f>
        <v>14013159143</v>
      </c>
      <c r="B374" s="7" t="s">
        <v>1131</v>
      </c>
      <c r="C374" s="7" t="s">
        <v>7</v>
      </c>
      <c r="D374" s="7" t="s">
        <v>3612</v>
      </c>
      <c r="E374" s="7" t="s">
        <v>3617</v>
      </c>
      <c r="F374" s="8" t="s">
        <v>3628</v>
      </c>
      <c r="H374" s="7" t="s">
        <v>3619</v>
      </c>
      <c r="I374" s="7" t="s">
        <v>3524</v>
      </c>
      <c r="L374" s="7" t="s">
        <v>8</v>
      </c>
      <c r="M374" s="7" t="s">
        <v>9</v>
      </c>
      <c r="N374" s="7" t="s">
        <v>10</v>
      </c>
      <c r="O374" s="7" t="s">
        <v>1132</v>
      </c>
      <c r="P374" s="7" t="s">
        <v>1133</v>
      </c>
      <c r="Q374" s="7" t="s">
        <v>1134</v>
      </c>
      <c r="R374" t="s">
        <v>3633</v>
      </c>
    </row>
    <row r="375" spans="1:18" x14ac:dyDescent="0.3">
      <c r="A375" s="7" t="str">
        <f>HYPERLINK("https://hsdes.intel.com/resource/14013159148","14013159148")</f>
        <v>14013159148</v>
      </c>
      <c r="B375" s="7" t="s">
        <v>1135</v>
      </c>
      <c r="C375" s="7" t="s">
        <v>7</v>
      </c>
      <c r="D375" s="7" t="s">
        <v>3612</v>
      </c>
      <c r="E375" s="7" t="s">
        <v>3617</v>
      </c>
      <c r="F375" s="8" t="s">
        <v>3628</v>
      </c>
      <c r="H375" s="7" t="s">
        <v>3619</v>
      </c>
      <c r="I375" s="7" t="s">
        <v>3524</v>
      </c>
      <c r="L375" s="7" t="s">
        <v>8</v>
      </c>
      <c r="M375" s="7" t="s">
        <v>94</v>
      </c>
      <c r="N375" s="7" t="s">
        <v>10</v>
      </c>
      <c r="O375" s="7" t="s">
        <v>1136</v>
      </c>
      <c r="P375" s="7" t="s">
        <v>1137</v>
      </c>
      <c r="Q375" s="7" t="s">
        <v>1138</v>
      </c>
      <c r="R375" t="s">
        <v>3633</v>
      </c>
    </row>
    <row r="376" spans="1:18" x14ac:dyDescent="0.3">
      <c r="A376" s="7" t="str">
        <f>HYPERLINK("https://hsdes.intel.com/resource/14013159151","14013159151")</f>
        <v>14013159151</v>
      </c>
      <c r="B376" s="7" t="s">
        <v>1139</v>
      </c>
      <c r="C376" s="7" t="s">
        <v>7</v>
      </c>
      <c r="D376" s="7" t="s">
        <v>3612</v>
      </c>
      <c r="E376" s="7" t="s">
        <v>3617</v>
      </c>
      <c r="F376" s="8" t="s">
        <v>3628</v>
      </c>
      <c r="H376" s="7" t="s">
        <v>3618</v>
      </c>
      <c r="J376" s="7" t="s">
        <v>3532</v>
      </c>
      <c r="L376" s="7" t="s">
        <v>8</v>
      </c>
      <c r="M376" s="7" t="s">
        <v>9</v>
      </c>
      <c r="N376" s="7" t="s">
        <v>10</v>
      </c>
      <c r="O376" s="7" t="s">
        <v>1140</v>
      </c>
      <c r="P376" s="7" t="s">
        <v>1141</v>
      </c>
      <c r="Q376" s="7" t="s">
        <v>1142</v>
      </c>
      <c r="R376" t="s">
        <v>3633</v>
      </c>
    </row>
    <row r="377" spans="1:18" x14ac:dyDescent="0.3">
      <c r="A377" s="7" t="str">
        <f>HYPERLINK("https://hsdes.intel.com/resource/14013159158","14013159158")</f>
        <v>14013159158</v>
      </c>
      <c r="B377" s="7" t="s">
        <v>1143</v>
      </c>
      <c r="C377" s="7" t="s">
        <v>7</v>
      </c>
      <c r="D377" s="7" t="s">
        <v>3612</v>
      </c>
      <c r="E377" s="7" t="s">
        <v>3617</v>
      </c>
      <c r="F377" s="8" t="s">
        <v>3628</v>
      </c>
      <c r="H377" s="7" t="s">
        <v>3619</v>
      </c>
      <c r="I377" s="7" t="s">
        <v>3524</v>
      </c>
      <c r="L377" s="7" t="s">
        <v>8</v>
      </c>
      <c r="M377" s="7" t="s">
        <v>94</v>
      </c>
      <c r="N377" s="7" t="s">
        <v>10</v>
      </c>
      <c r="O377" s="7" t="s">
        <v>1144</v>
      </c>
      <c r="P377" s="7" t="s">
        <v>792</v>
      </c>
      <c r="Q377" s="7" t="s">
        <v>1145</v>
      </c>
      <c r="R377" t="s">
        <v>3633</v>
      </c>
    </row>
    <row r="378" spans="1:18" x14ac:dyDescent="0.3">
      <c r="A378" s="7" t="str">
        <f>HYPERLINK("https://hsdes.intel.com/resource/14013159161","14013159161")</f>
        <v>14013159161</v>
      </c>
      <c r="B378" s="7" t="s">
        <v>1146</v>
      </c>
      <c r="C378" s="7" t="s">
        <v>7</v>
      </c>
      <c r="D378" s="7" t="s">
        <v>3612</v>
      </c>
      <c r="E378" s="7" t="s">
        <v>3617</v>
      </c>
      <c r="F378" s="8" t="s">
        <v>3628</v>
      </c>
      <c r="H378" s="7" t="s">
        <v>3619</v>
      </c>
      <c r="I378" s="7" t="s">
        <v>3524</v>
      </c>
      <c r="L378" s="7" t="s">
        <v>8</v>
      </c>
      <c r="M378" s="7" t="s">
        <v>9</v>
      </c>
      <c r="N378" s="7" t="s">
        <v>10</v>
      </c>
      <c r="O378" s="7" t="s">
        <v>1147</v>
      </c>
      <c r="P378" s="7" t="s">
        <v>1148</v>
      </c>
      <c r="Q378" s="7" t="s">
        <v>1149</v>
      </c>
      <c r="R378" t="s">
        <v>3631</v>
      </c>
    </row>
    <row r="379" spans="1:18" x14ac:dyDescent="0.3">
      <c r="A379" s="7" t="str">
        <f>HYPERLINK("https://hsdes.intel.com/resource/14013159169","14013159169")</f>
        <v>14013159169</v>
      </c>
      <c r="B379" s="7" t="s">
        <v>1150</v>
      </c>
      <c r="C379" s="7" t="s">
        <v>7</v>
      </c>
      <c r="D379" s="7" t="s">
        <v>3612</v>
      </c>
      <c r="E379" s="7" t="s">
        <v>3617</v>
      </c>
      <c r="F379" s="8" t="s">
        <v>3628</v>
      </c>
      <c r="H379" s="7" t="s">
        <v>3619</v>
      </c>
      <c r="I379" s="7" t="s">
        <v>3524</v>
      </c>
      <c r="L379" s="7" t="s">
        <v>8</v>
      </c>
      <c r="M379" s="7" t="s">
        <v>94</v>
      </c>
      <c r="N379" s="7" t="s">
        <v>10</v>
      </c>
      <c r="O379" s="7" t="s">
        <v>1151</v>
      </c>
      <c r="P379" s="7" t="s">
        <v>1137</v>
      </c>
      <c r="Q379" s="7" t="s">
        <v>1152</v>
      </c>
      <c r="R379" t="s">
        <v>3631</v>
      </c>
    </row>
    <row r="380" spans="1:18" x14ac:dyDescent="0.3">
      <c r="A380" s="7" t="str">
        <f>HYPERLINK("https://hsdes.intel.com/resource/14013159172","14013159172")</f>
        <v>14013159172</v>
      </c>
      <c r="B380" s="7" t="s">
        <v>1153</v>
      </c>
      <c r="C380" s="7" t="s">
        <v>7</v>
      </c>
      <c r="D380" s="7" t="s">
        <v>3612</v>
      </c>
      <c r="E380" s="7" t="s">
        <v>3617</v>
      </c>
      <c r="F380" s="8" t="s">
        <v>3628</v>
      </c>
      <c r="H380" s="7" t="s">
        <v>3619</v>
      </c>
      <c r="I380" s="7" t="s">
        <v>3524</v>
      </c>
      <c r="L380" s="7" t="s">
        <v>8</v>
      </c>
      <c r="M380" s="7" t="s">
        <v>9</v>
      </c>
      <c r="N380" s="7" t="s">
        <v>10</v>
      </c>
      <c r="O380" s="7" t="s">
        <v>817</v>
      </c>
      <c r="P380" s="7" t="s">
        <v>1154</v>
      </c>
      <c r="Q380" s="7" t="s">
        <v>1155</v>
      </c>
      <c r="R380" t="s">
        <v>3633</v>
      </c>
    </row>
    <row r="381" spans="1:18" x14ac:dyDescent="0.3">
      <c r="A381" s="7" t="str">
        <f>HYPERLINK("https://hsdes.intel.com/resource/14013159175","14013159175")</f>
        <v>14013159175</v>
      </c>
      <c r="B381" s="7" t="s">
        <v>1156</v>
      </c>
      <c r="C381" s="7" t="s">
        <v>7</v>
      </c>
      <c r="D381" s="7" t="s">
        <v>3612</v>
      </c>
      <c r="E381" s="7" t="s">
        <v>3617</v>
      </c>
      <c r="F381" s="8" t="s">
        <v>3628</v>
      </c>
      <c r="H381" s="7" t="s">
        <v>3619</v>
      </c>
      <c r="I381" s="7" t="s">
        <v>3622</v>
      </c>
      <c r="L381" s="7" t="s">
        <v>8</v>
      </c>
      <c r="M381" s="7" t="s">
        <v>9</v>
      </c>
      <c r="N381" s="7" t="s">
        <v>10</v>
      </c>
      <c r="O381" s="7" t="s">
        <v>1157</v>
      </c>
      <c r="P381" s="7" t="s">
        <v>792</v>
      </c>
      <c r="Q381" s="7" t="s">
        <v>1158</v>
      </c>
      <c r="R381" t="s">
        <v>3633</v>
      </c>
    </row>
    <row r="382" spans="1:18" x14ac:dyDescent="0.3">
      <c r="A382" s="7" t="str">
        <f>HYPERLINK("https://hsdes.intel.com/resource/14013159178","14013159178")</f>
        <v>14013159178</v>
      </c>
      <c r="B382" s="7" t="s">
        <v>1159</v>
      </c>
      <c r="C382" s="7" t="s">
        <v>7</v>
      </c>
      <c r="D382" s="7" t="s">
        <v>3612</v>
      </c>
      <c r="E382" s="7" t="s">
        <v>3617</v>
      </c>
      <c r="F382" s="8" t="s">
        <v>3628</v>
      </c>
      <c r="H382" s="7" t="s">
        <v>3619</v>
      </c>
      <c r="I382" s="7" t="s">
        <v>3524</v>
      </c>
      <c r="L382" s="7" t="s">
        <v>8</v>
      </c>
      <c r="M382" s="7" t="s">
        <v>9</v>
      </c>
      <c r="N382" s="7" t="s">
        <v>738</v>
      </c>
      <c r="O382" s="7" t="s">
        <v>1160</v>
      </c>
      <c r="P382" s="7" t="s">
        <v>1161</v>
      </c>
      <c r="Q382" s="7" t="s">
        <v>1162</v>
      </c>
      <c r="R382" t="s">
        <v>3633</v>
      </c>
    </row>
    <row r="383" spans="1:18" x14ac:dyDescent="0.3">
      <c r="A383" s="7" t="str">
        <f>HYPERLINK("https://hsdes.intel.com/resource/14013159191","14013159191")</f>
        <v>14013159191</v>
      </c>
      <c r="B383" s="7" t="s">
        <v>1163</v>
      </c>
      <c r="C383" s="7" t="s">
        <v>7</v>
      </c>
      <c r="D383" s="7" t="s">
        <v>3612</v>
      </c>
      <c r="E383" s="7" t="s">
        <v>3617</v>
      </c>
      <c r="F383" s="8" t="s">
        <v>3628</v>
      </c>
      <c r="H383" s="7" t="s">
        <v>3619</v>
      </c>
      <c r="I383" s="7" t="s">
        <v>3622</v>
      </c>
      <c r="L383" s="7" t="s">
        <v>8</v>
      </c>
      <c r="M383" s="7" t="s">
        <v>94</v>
      </c>
      <c r="N383" s="7" t="s">
        <v>10</v>
      </c>
      <c r="O383" s="7" t="s">
        <v>1132</v>
      </c>
      <c r="P383" s="7" t="s">
        <v>792</v>
      </c>
      <c r="Q383" s="7" t="s">
        <v>1164</v>
      </c>
      <c r="R383" t="s">
        <v>3633</v>
      </c>
    </row>
    <row r="384" spans="1:18" x14ac:dyDescent="0.3">
      <c r="A384" s="7" t="str">
        <f>HYPERLINK("https://hsdes.intel.com/resource/14013159199","14013159199")</f>
        <v>14013159199</v>
      </c>
      <c r="B384" s="7" t="s">
        <v>1165</v>
      </c>
      <c r="C384" s="7" t="s">
        <v>7</v>
      </c>
      <c r="D384" s="7" t="s">
        <v>3612</v>
      </c>
      <c r="E384" s="7" t="s">
        <v>3617</v>
      </c>
      <c r="F384" s="8" t="s">
        <v>3628</v>
      </c>
      <c r="H384" s="7" t="s">
        <v>3619</v>
      </c>
      <c r="I384" s="7" t="s">
        <v>3524</v>
      </c>
      <c r="L384" s="7" t="s">
        <v>8</v>
      </c>
      <c r="M384" s="7" t="s">
        <v>94</v>
      </c>
      <c r="N384" s="7" t="s">
        <v>10</v>
      </c>
      <c r="O384" s="7" t="s">
        <v>1166</v>
      </c>
      <c r="P384" s="7" t="s">
        <v>1137</v>
      </c>
      <c r="Q384" s="7" t="s">
        <v>1167</v>
      </c>
      <c r="R384" t="s">
        <v>3633</v>
      </c>
    </row>
    <row r="385" spans="1:18" x14ac:dyDescent="0.3">
      <c r="A385" s="7" t="str">
        <f>HYPERLINK("https://hsdes.intel.com/resource/14013159201","14013159201")</f>
        <v>14013159201</v>
      </c>
      <c r="B385" s="7" t="s">
        <v>1168</v>
      </c>
      <c r="C385" s="7" t="s">
        <v>7</v>
      </c>
      <c r="D385" s="7" t="s">
        <v>3612</v>
      </c>
      <c r="E385" s="7" t="s">
        <v>3617</v>
      </c>
      <c r="F385" s="8" t="s">
        <v>3628</v>
      </c>
      <c r="H385" s="7" t="s">
        <v>3618</v>
      </c>
      <c r="J385" s="7" t="s">
        <v>3531</v>
      </c>
      <c r="L385" s="7" t="s">
        <v>8</v>
      </c>
      <c r="M385" s="7" t="s">
        <v>94</v>
      </c>
      <c r="N385" s="7" t="s">
        <v>10</v>
      </c>
      <c r="O385" s="7" t="s">
        <v>1169</v>
      </c>
      <c r="P385" s="7" t="s">
        <v>1170</v>
      </c>
      <c r="Q385" s="7" t="s">
        <v>1171</v>
      </c>
      <c r="R385" t="s">
        <v>3631</v>
      </c>
    </row>
    <row r="386" spans="1:18" x14ac:dyDescent="0.3">
      <c r="A386" s="7" t="str">
        <f>HYPERLINK("https://hsdes.intel.com/resource/14013159204","14013159204")</f>
        <v>14013159204</v>
      </c>
      <c r="B386" s="7" t="s">
        <v>1172</v>
      </c>
      <c r="C386" s="7" t="s">
        <v>7</v>
      </c>
      <c r="D386" s="7" t="s">
        <v>3612</v>
      </c>
      <c r="E386" s="7" t="s">
        <v>3617</v>
      </c>
      <c r="F386" s="8" t="s">
        <v>3628</v>
      </c>
      <c r="H386" s="7" t="s">
        <v>3619</v>
      </c>
      <c r="I386" s="7" t="s">
        <v>3524</v>
      </c>
      <c r="J386" s="7" t="s">
        <v>3539</v>
      </c>
      <c r="L386" s="7" t="s">
        <v>8</v>
      </c>
      <c r="M386" s="7" t="s">
        <v>9</v>
      </c>
      <c r="N386" s="7" t="s">
        <v>10</v>
      </c>
      <c r="O386" s="7" t="s">
        <v>1160</v>
      </c>
      <c r="P386" s="7" t="s">
        <v>1173</v>
      </c>
      <c r="Q386" s="7" t="s">
        <v>1174</v>
      </c>
      <c r="R386" t="s">
        <v>3633</v>
      </c>
    </row>
    <row r="387" spans="1:18" x14ac:dyDescent="0.3">
      <c r="A387" s="7" t="str">
        <f>HYPERLINK("https://hsdes.intel.com/resource/14013159215","14013159215")</f>
        <v>14013159215</v>
      </c>
      <c r="B387" s="7" t="s">
        <v>1175</v>
      </c>
      <c r="C387" s="7" t="s">
        <v>7</v>
      </c>
      <c r="D387" s="7" t="s">
        <v>3613</v>
      </c>
      <c r="E387" s="7" t="s">
        <v>3617</v>
      </c>
      <c r="F387" s="8" t="s">
        <v>3628</v>
      </c>
      <c r="H387" s="7" t="s">
        <v>3619</v>
      </c>
      <c r="I387" s="7" t="s">
        <v>3524</v>
      </c>
      <c r="L387" s="7" t="s">
        <v>8</v>
      </c>
      <c r="M387" s="7" t="s">
        <v>9</v>
      </c>
      <c r="N387" s="7" t="s">
        <v>10</v>
      </c>
      <c r="O387" s="7" t="s">
        <v>1176</v>
      </c>
      <c r="P387" s="7" t="s">
        <v>1161</v>
      </c>
      <c r="Q387" s="7" t="s">
        <v>1177</v>
      </c>
      <c r="R387" t="s">
        <v>3631</v>
      </c>
    </row>
    <row r="388" spans="1:18" x14ac:dyDescent="0.3">
      <c r="A388" s="7" t="str">
        <f>HYPERLINK("https://hsdes.intel.com/resource/14013159219","14013159219")</f>
        <v>14013159219</v>
      </c>
      <c r="B388" s="7" t="s">
        <v>1178</v>
      </c>
      <c r="C388" s="7" t="s">
        <v>7</v>
      </c>
      <c r="D388" s="7" t="s">
        <v>3612</v>
      </c>
      <c r="E388" s="7" t="s">
        <v>3617</v>
      </c>
      <c r="F388" s="8" t="s">
        <v>3628</v>
      </c>
      <c r="H388" s="7" t="s">
        <v>3619</v>
      </c>
      <c r="I388" s="7" t="s">
        <v>3524</v>
      </c>
      <c r="L388" s="7" t="s">
        <v>8</v>
      </c>
      <c r="M388" s="7" t="s">
        <v>94</v>
      </c>
      <c r="N388" s="7" t="s">
        <v>10</v>
      </c>
      <c r="O388" s="7" t="s">
        <v>1179</v>
      </c>
      <c r="P388" s="7" t="s">
        <v>1180</v>
      </c>
      <c r="Q388" s="7" t="s">
        <v>1181</v>
      </c>
      <c r="R388" t="s">
        <v>3631</v>
      </c>
    </row>
    <row r="389" spans="1:18" x14ac:dyDescent="0.3">
      <c r="A389" s="7" t="str">
        <f>HYPERLINK("https://hsdes.intel.com/resource/14013159222","14013159222")</f>
        <v>14013159222</v>
      </c>
      <c r="B389" s="7" t="s">
        <v>1182</v>
      </c>
      <c r="C389" s="7" t="s">
        <v>7</v>
      </c>
      <c r="D389" s="7" t="s">
        <v>3612</v>
      </c>
      <c r="E389" s="7" t="s">
        <v>3617</v>
      </c>
      <c r="F389" s="8" t="s">
        <v>3628</v>
      </c>
      <c r="H389" s="7" t="s">
        <v>3619</v>
      </c>
      <c r="I389" s="7" t="s">
        <v>3524</v>
      </c>
      <c r="L389" s="7" t="s">
        <v>8</v>
      </c>
      <c r="M389" s="7" t="s">
        <v>9</v>
      </c>
      <c r="N389" s="7" t="s">
        <v>10</v>
      </c>
      <c r="O389" s="7" t="s">
        <v>817</v>
      </c>
      <c r="P389" s="7" t="s">
        <v>792</v>
      </c>
      <c r="Q389" s="7" t="s">
        <v>1183</v>
      </c>
      <c r="R389" t="s">
        <v>3633</v>
      </c>
    </row>
    <row r="390" spans="1:18" x14ac:dyDescent="0.3">
      <c r="A390" s="7" t="str">
        <f>HYPERLINK("https://hsdes.intel.com/resource/14013159224","14013159224")</f>
        <v>14013159224</v>
      </c>
      <c r="B390" s="7" t="s">
        <v>1184</v>
      </c>
      <c r="C390" s="7" t="s">
        <v>7</v>
      </c>
      <c r="D390" s="7" t="s">
        <v>3612</v>
      </c>
      <c r="E390" s="7" t="s">
        <v>3617</v>
      </c>
      <c r="F390" s="8" t="s">
        <v>3628</v>
      </c>
      <c r="H390" s="7" t="s">
        <v>3618</v>
      </c>
      <c r="J390" s="7" t="s">
        <v>3531</v>
      </c>
      <c r="L390" s="7" t="s">
        <v>8</v>
      </c>
      <c r="M390" s="7" t="s">
        <v>9</v>
      </c>
      <c r="N390" s="7" t="s">
        <v>10</v>
      </c>
      <c r="O390" s="7" t="s">
        <v>1185</v>
      </c>
      <c r="P390" s="7" t="s">
        <v>1073</v>
      </c>
      <c r="Q390" s="7" t="s">
        <v>1186</v>
      </c>
      <c r="R390" t="s">
        <v>3631</v>
      </c>
    </row>
    <row r="391" spans="1:18" x14ac:dyDescent="0.3">
      <c r="A391" s="7" t="str">
        <f>HYPERLINK("https://hsdes.intel.com/resource/14013159227","14013159227")</f>
        <v>14013159227</v>
      </c>
      <c r="B391" s="7" t="s">
        <v>1187</v>
      </c>
      <c r="C391" s="7" t="s">
        <v>7</v>
      </c>
      <c r="D391" s="7" t="s">
        <v>3612</v>
      </c>
      <c r="E391" s="7" t="s">
        <v>3617</v>
      </c>
      <c r="F391" s="8" t="s">
        <v>3628</v>
      </c>
      <c r="H391" s="7" t="s">
        <v>3619</v>
      </c>
      <c r="I391" s="7" t="s">
        <v>3524</v>
      </c>
      <c r="L391" s="7" t="s">
        <v>8</v>
      </c>
      <c r="M391" s="7" t="s">
        <v>94</v>
      </c>
      <c r="N391" s="7" t="s">
        <v>10</v>
      </c>
      <c r="O391" s="7" t="s">
        <v>1132</v>
      </c>
      <c r="P391" s="7" t="s">
        <v>792</v>
      </c>
      <c r="Q391" s="7" t="s">
        <v>1188</v>
      </c>
      <c r="R391" t="s">
        <v>3633</v>
      </c>
    </row>
    <row r="392" spans="1:18" x14ac:dyDescent="0.3">
      <c r="A392" s="7" t="str">
        <f>HYPERLINK("https://hsdes.intel.com/resource/14013159254","14013159254")</f>
        <v>14013159254</v>
      </c>
      <c r="B392" s="7" t="s">
        <v>1189</v>
      </c>
      <c r="C392" s="7" t="s">
        <v>7</v>
      </c>
      <c r="D392" s="7" t="s">
        <v>3612</v>
      </c>
      <c r="E392" s="7" t="s">
        <v>3617</v>
      </c>
      <c r="F392" s="8" t="s">
        <v>3628</v>
      </c>
      <c r="H392" s="16" t="s">
        <v>3619</v>
      </c>
      <c r="I392" s="7" t="s">
        <v>3622</v>
      </c>
      <c r="L392" s="7" t="s">
        <v>8</v>
      </c>
      <c r="M392" s="7" t="s">
        <v>9</v>
      </c>
      <c r="N392" s="7" t="s">
        <v>10</v>
      </c>
      <c r="O392" s="7" t="s">
        <v>1190</v>
      </c>
      <c r="P392" s="7" t="s">
        <v>1161</v>
      </c>
      <c r="Q392" s="7" t="s">
        <v>1191</v>
      </c>
      <c r="R392" t="s">
        <v>3633</v>
      </c>
    </row>
    <row r="393" spans="1:18" x14ac:dyDescent="0.3">
      <c r="A393" s="7" t="str">
        <f>HYPERLINK("https://hsdes.intel.com/resource/14013159259","14013159259")</f>
        <v>14013159259</v>
      </c>
      <c r="B393" s="7" t="s">
        <v>1192</v>
      </c>
      <c r="C393" s="7" t="s">
        <v>7</v>
      </c>
      <c r="D393" s="7" t="s">
        <v>3612</v>
      </c>
      <c r="E393" s="7" t="s">
        <v>3617</v>
      </c>
      <c r="F393" s="8" t="s">
        <v>3628</v>
      </c>
      <c r="H393" s="7" t="s">
        <v>3619</v>
      </c>
      <c r="I393" s="7" t="s">
        <v>3524</v>
      </c>
      <c r="L393" s="7" t="s">
        <v>8</v>
      </c>
      <c r="M393" s="7" t="s">
        <v>94</v>
      </c>
      <c r="N393" s="7" t="s">
        <v>10</v>
      </c>
      <c r="O393" s="7" t="s">
        <v>1185</v>
      </c>
      <c r="P393" s="7" t="s">
        <v>792</v>
      </c>
      <c r="Q393" s="7" t="s">
        <v>1193</v>
      </c>
      <c r="R393" t="s">
        <v>3633</v>
      </c>
    </row>
    <row r="394" spans="1:18" x14ac:dyDescent="0.3">
      <c r="A394" s="7" t="str">
        <f>HYPERLINK("https://hsdes.intel.com/resource/14013159261","14013159261")</f>
        <v>14013159261</v>
      </c>
      <c r="B394" s="7" t="s">
        <v>1194</v>
      </c>
      <c r="C394" s="7" t="s">
        <v>7</v>
      </c>
      <c r="D394" s="7" t="s">
        <v>3612</v>
      </c>
      <c r="E394" s="7" t="s">
        <v>3617</v>
      </c>
      <c r="F394" s="8" t="s">
        <v>3628</v>
      </c>
      <c r="H394" s="7" t="s">
        <v>3619</v>
      </c>
      <c r="I394" s="7" t="s">
        <v>3524</v>
      </c>
      <c r="L394" s="7" t="s">
        <v>8</v>
      </c>
      <c r="M394" s="7" t="s">
        <v>9</v>
      </c>
      <c r="N394" s="7" t="s">
        <v>10</v>
      </c>
      <c r="O394" s="7" t="s">
        <v>1112</v>
      </c>
      <c r="P394" s="7" t="s">
        <v>1161</v>
      </c>
      <c r="Q394" s="7" t="s">
        <v>1195</v>
      </c>
      <c r="R394" t="s">
        <v>3633</v>
      </c>
    </row>
    <row r="395" spans="1:18" x14ac:dyDescent="0.3">
      <c r="A395" s="7" t="str">
        <f>HYPERLINK("https://hsdes.intel.com/resource/14013159264","14013159264")</f>
        <v>14013159264</v>
      </c>
      <c r="B395" s="7" t="s">
        <v>1196</v>
      </c>
      <c r="C395" s="7" t="s">
        <v>7</v>
      </c>
      <c r="D395" s="7" t="s">
        <v>3612</v>
      </c>
      <c r="E395" s="7" t="s">
        <v>3617</v>
      </c>
      <c r="F395" s="8" t="s">
        <v>3628</v>
      </c>
      <c r="H395" s="7" t="s">
        <v>3619</v>
      </c>
      <c r="I395" s="7" t="s">
        <v>3524</v>
      </c>
      <c r="L395" s="7" t="s">
        <v>8</v>
      </c>
      <c r="M395" s="7" t="s">
        <v>94</v>
      </c>
      <c r="N395" s="7" t="s">
        <v>10</v>
      </c>
      <c r="O395" s="7" t="s">
        <v>1099</v>
      </c>
      <c r="P395" s="7" t="s">
        <v>792</v>
      </c>
      <c r="Q395" s="7" t="s">
        <v>1197</v>
      </c>
      <c r="R395" t="s">
        <v>3633</v>
      </c>
    </row>
    <row r="396" spans="1:18" x14ac:dyDescent="0.3">
      <c r="A396" s="7" t="str">
        <f>HYPERLINK("https://hsdes.intel.com/resource/14013159266","14013159266")</f>
        <v>14013159266</v>
      </c>
      <c r="B396" s="7" t="s">
        <v>1198</v>
      </c>
      <c r="C396" s="7" t="s">
        <v>7</v>
      </c>
      <c r="D396" s="7" t="s">
        <v>3612</v>
      </c>
      <c r="E396" s="7" t="s">
        <v>3617</v>
      </c>
      <c r="F396" s="8" t="s">
        <v>3628</v>
      </c>
      <c r="H396" s="7" t="s">
        <v>3619</v>
      </c>
      <c r="I396" s="7" t="s">
        <v>3524</v>
      </c>
      <c r="L396" s="7" t="s">
        <v>8</v>
      </c>
      <c r="M396" s="7" t="s">
        <v>94</v>
      </c>
      <c r="N396" s="7" t="s">
        <v>738</v>
      </c>
      <c r="O396" s="7" t="s">
        <v>1099</v>
      </c>
      <c r="P396" s="7" t="s">
        <v>792</v>
      </c>
      <c r="Q396" s="7" t="s">
        <v>1199</v>
      </c>
      <c r="R396" t="s">
        <v>3633</v>
      </c>
    </row>
    <row r="397" spans="1:18" x14ac:dyDescent="0.3">
      <c r="A397" s="7" t="str">
        <f>HYPERLINK("https://hsdes.intel.com/resource/14013159271","14013159271")</f>
        <v>14013159271</v>
      </c>
      <c r="B397" s="7" t="s">
        <v>1200</v>
      </c>
      <c r="C397" s="7" t="s">
        <v>7</v>
      </c>
      <c r="D397" s="7" t="s">
        <v>3612</v>
      </c>
      <c r="E397" s="7" t="s">
        <v>3617</v>
      </c>
      <c r="F397" s="8" t="s">
        <v>3628</v>
      </c>
      <c r="H397" s="7" t="s">
        <v>3618</v>
      </c>
      <c r="J397" s="7" t="s">
        <v>3576</v>
      </c>
      <c r="L397" s="7" t="s">
        <v>8</v>
      </c>
      <c r="M397" s="7" t="s">
        <v>9</v>
      </c>
      <c r="N397" s="7" t="s">
        <v>10</v>
      </c>
      <c r="O397" s="7" t="s">
        <v>1201</v>
      </c>
      <c r="P397" s="7" t="s">
        <v>1202</v>
      </c>
      <c r="Q397" s="7" t="s">
        <v>1203</v>
      </c>
      <c r="R397" t="s">
        <v>3633</v>
      </c>
    </row>
    <row r="398" spans="1:18" x14ac:dyDescent="0.3">
      <c r="A398" s="7" t="str">
        <f>HYPERLINK("https://hsdes.intel.com/resource/14013159278","14013159278")</f>
        <v>14013159278</v>
      </c>
      <c r="B398" s="7" t="s">
        <v>1204</v>
      </c>
      <c r="C398" s="7" t="s">
        <v>7</v>
      </c>
      <c r="D398" s="7" t="s">
        <v>3612</v>
      </c>
      <c r="E398" s="7" t="s">
        <v>3617</v>
      </c>
      <c r="F398" s="8" t="s">
        <v>3628</v>
      </c>
      <c r="H398" s="7" t="s">
        <v>3619</v>
      </c>
      <c r="I398" s="7" t="s">
        <v>3524</v>
      </c>
      <c r="L398" s="7" t="s">
        <v>8</v>
      </c>
      <c r="M398" s="7" t="s">
        <v>9</v>
      </c>
      <c r="N398" s="7" t="s">
        <v>10</v>
      </c>
      <c r="O398" s="7" t="s">
        <v>1096</v>
      </c>
      <c r="P398" s="7" t="s">
        <v>792</v>
      </c>
      <c r="Q398" s="7" t="s">
        <v>1205</v>
      </c>
      <c r="R398" t="s">
        <v>3633</v>
      </c>
    </row>
    <row r="399" spans="1:18" x14ac:dyDescent="0.3">
      <c r="A399" s="7" t="str">
        <f>HYPERLINK("https://hsdes.intel.com/resource/14013159280","14013159280")</f>
        <v>14013159280</v>
      </c>
      <c r="B399" s="7" t="s">
        <v>1206</v>
      </c>
      <c r="C399" s="7" t="s">
        <v>7</v>
      </c>
      <c r="D399" s="7" t="s">
        <v>3612</v>
      </c>
      <c r="E399" s="7" t="s">
        <v>3617</v>
      </c>
      <c r="F399" s="8" t="s">
        <v>3628</v>
      </c>
      <c r="H399" s="7" t="s">
        <v>3619</v>
      </c>
      <c r="I399" s="7" t="s">
        <v>3524</v>
      </c>
      <c r="L399" s="7" t="s">
        <v>8</v>
      </c>
      <c r="M399" s="7" t="s">
        <v>9</v>
      </c>
      <c r="N399" s="7" t="s">
        <v>10</v>
      </c>
      <c r="O399" s="7" t="s">
        <v>1112</v>
      </c>
      <c r="P399" s="7" t="s">
        <v>1207</v>
      </c>
      <c r="Q399" s="7" t="s">
        <v>1208</v>
      </c>
      <c r="R399" t="s">
        <v>3633</v>
      </c>
    </row>
    <row r="400" spans="1:18" x14ac:dyDescent="0.3">
      <c r="A400" s="7" t="str">
        <f>HYPERLINK("https://hsdes.intel.com/resource/14013159282","14013159282")</f>
        <v>14013159282</v>
      </c>
      <c r="B400" s="7" t="s">
        <v>1209</v>
      </c>
      <c r="C400" s="7" t="s">
        <v>7</v>
      </c>
      <c r="D400" s="7" t="s">
        <v>3612</v>
      </c>
      <c r="E400" s="7" t="s">
        <v>3617</v>
      </c>
      <c r="F400" s="8" t="s">
        <v>3628</v>
      </c>
      <c r="H400" s="7" t="s">
        <v>3619</v>
      </c>
      <c r="I400" s="7" t="s">
        <v>3524</v>
      </c>
      <c r="L400" s="7" t="s">
        <v>8</v>
      </c>
      <c r="M400" s="7" t="s">
        <v>9</v>
      </c>
      <c r="N400" s="7" t="s">
        <v>10</v>
      </c>
      <c r="O400" s="7" t="s">
        <v>1096</v>
      </c>
      <c r="P400" s="7" t="s">
        <v>792</v>
      </c>
      <c r="Q400" s="7" t="s">
        <v>1210</v>
      </c>
      <c r="R400" t="s">
        <v>3633</v>
      </c>
    </row>
    <row r="401" spans="1:18" x14ac:dyDescent="0.3">
      <c r="A401" s="7" t="str">
        <f>HYPERLINK("https://hsdes.intel.com/resource/14013159285","14013159285")</f>
        <v>14013159285</v>
      </c>
      <c r="B401" s="7" t="s">
        <v>1211</v>
      </c>
      <c r="C401" s="7" t="s">
        <v>7</v>
      </c>
      <c r="D401" s="7" t="s">
        <v>3612</v>
      </c>
      <c r="E401" s="7" t="s">
        <v>3617</v>
      </c>
      <c r="F401" s="8" t="s">
        <v>3628</v>
      </c>
      <c r="H401" s="7" t="s">
        <v>3619</v>
      </c>
      <c r="I401" s="7" t="s">
        <v>3524</v>
      </c>
      <c r="L401" s="7" t="s">
        <v>8</v>
      </c>
      <c r="M401" s="7" t="s">
        <v>9</v>
      </c>
      <c r="N401" s="7" t="s">
        <v>10</v>
      </c>
      <c r="O401" s="7" t="s">
        <v>1112</v>
      </c>
      <c r="P401" s="7" t="s">
        <v>1207</v>
      </c>
      <c r="Q401" s="7" t="s">
        <v>1212</v>
      </c>
      <c r="R401" t="s">
        <v>3633</v>
      </c>
    </row>
    <row r="402" spans="1:18" x14ac:dyDescent="0.3">
      <c r="A402" s="7" t="str">
        <f>HYPERLINK("https://hsdes.intel.com/resource/14013159294","14013159294")</f>
        <v>14013159294</v>
      </c>
      <c r="B402" s="7" t="s">
        <v>1213</v>
      </c>
      <c r="C402" s="7" t="s">
        <v>7</v>
      </c>
      <c r="D402" s="7" t="s">
        <v>3612</v>
      </c>
      <c r="E402" s="7" t="s">
        <v>3617</v>
      </c>
      <c r="F402" s="8" t="s">
        <v>3628</v>
      </c>
      <c r="H402" s="7" t="s">
        <v>3619</v>
      </c>
      <c r="I402" s="7" t="s">
        <v>3524</v>
      </c>
      <c r="L402" s="7" t="s">
        <v>8</v>
      </c>
      <c r="M402" s="7" t="s">
        <v>9</v>
      </c>
      <c r="N402" s="7" t="s">
        <v>738</v>
      </c>
      <c r="O402" s="7" t="s">
        <v>1214</v>
      </c>
      <c r="P402" s="7" t="s">
        <v>1215</v>
      </c>
      <c r="Q402" s="7" t="s">
        <v>1216</v>
      </c>
      <c r="R402" t="s">
        <v>3633</v>
      </c>
    </row>
    <row r="403" spans="1:18" x14ac:dyDescent="0.3">
      <c r="A403" s="7" t="str">
        <f>HYPERLINK("https://hsdes.intel.com/resource/14013159296","14013159296")</f>
        <v>14013159296</v>
      </c>
      <c r="B403" s="7" t="s">
        <v>1217</v>
      </c>
      <c r="C403" s="7" t="s">
        <v>7</v>
      </c>
      <c r="D403" s="7" t="s">
        <v>3612</v>
      </c>
      <c r="E403" s="7" t="s">
        <v>3617</v>
      </c>
      <c r="F403" s="8" t="s">
        <v>3628</v>
      </c>
      <c r="H403" s="7" t="s">
        <v>3619</v>
      </c>
      <c r="I403" s="7" t="s">
        <v>3524</v>
      </c>
      <c r="L403" s="7" t="s">
        <v>8</v>
      </c>
      <c r="M403" s="7" t="s">
        <v>9</v>
      </c>
      <c r="N403" s="7" t="s">
        <v>10</v>
      </c>
      <c r="O403" s="7" t="s">
        <v>1214</v>
      </c>
      <c r="P403" s="7" t="s">
        <v>1218</v>
      </c>
      <c r="Q403" s="7" t="s">
        <v>1219</v>
      </c>
      <c r="R403" t="s">
        <v>3633</v>
      </c>
    </row>
    <row r="404" spans="1:18" x14ac:dyDescent="0.3">
      <c r="A404" s="7" t="str">
        <f>HYPERLINK("https://hsdes.intel.com/resource/14013159299","14013159299")</f>
        <v>14013159299</v>
      </c>
      <c r="B404" s="7" t="s">
        <v>1220</v>
      </c>
      <c r="C404" s="7" t="s">
        <v>7</v>
      </c>
      <c r="D404" s="7" t="s">
        <v>3612</v>
      </c>
      <c r="E404" s="7" t="s">
        <v>3617</v>
      </c>
      <c r="F404" s="8" t="s">
        <v>3628</v>
      </c>
      <c r="H404" s="7" t="s">
        <v>3619</v>
      </c>
      <c r="I404" s="7" t="s">
        <v>3524</v>
      </c>
      <c r="L404" s="7" t="s">
        <v>8</v>
      </c>
      <c r="M404" s="7" t="s">
        <v>9</v>
      </c>
      <c r="N404" s="7" t="s">
        <v>10</v>
      </c>
      <c r="O404" s="7" t="s">
        <v>1214</v>
      </c>
      <c r="P404" s="7" t="s">
        <v>1081</v>
      </c>
      <c r="Q404" s="7" t="s">
        <v>1221</v>
      </c>
      <c r="R404" t="s">
        <v>3633</v>
      </c>
    </row>
    <row r="405" spans="1:18" x14ac:dyDescent="0.3">
      <c r="A405" s="7" t="str">
        <f>HYPERLINK("https://hsdes.intel.com/resource/14013159302","14013159302")</f>
        <v>14013159302</v>
      </c>
      <c r="B405" s="7" t="s">
        <v>1222</v>
      </c>
      <c r="C405" s="7" t="s">
        <v>7</v>
      </c>
      <c r="D405" s="7" t="s">
        <v>3612</v>
      </c>
      <c r="E405" s="7" t="s">
        <v>3617</v>
      </c>
      <c r="F405" s="8" t="s">
        <v>3628</v>
      </c>
      <c r="H405" s="7" t="s">
        <v>3619</v>
      </c>
      <c r="I405" s="7" t="s">
        <v>3524</v>
      </c>
      <c r="L405" s="7" t="s">
        <v>8</v>
      </c>
      <c r="M405" s="7" t="s">
        <v>9</v>
      </c>
      <c r="N405" s="7" t="s">
        <v>10</v>
      </c>
      <c r="O405" s="7" t="s">
        <v>1223</v>
      </c>
      <c r="P405" s="7" t="s">
        <v>1224</v>
      </c>
      <c r="Q405" s="7" t="s">
        <v>1225</v>
      </c>
      <c r="R405" t="s">
        <v>3633</v>
      </c>
    </row>
    <row r="406" spans="1:18" x14ac:dyDescent="0.3">
      <c r="A406" s="7" t="str">
        <f>HYPERLINK("https://hsdes.intel.com/resource/14013159304","14013159304")</f>
        <v>14013159304</v>
      </c>
      <c r="B406" s="7" t="s">
        <v>1226</v>
      </c>
      <c r="C406" s="7" t="s">
        <v>55</v>
      </c>
      <c r="D406" s="7" t="s">
        <v>3612</v>
      </c>
      <c r="E406" s="7" t="s">
        <v>3617</v>
      </c>
      <c r="F406" s="8" t="s">
        <v>3628</v>
      </c>
      <c r="H406" s="7" t="s">
        <v>3618</v>
      </c>
      <c r="J406" s="7" t="s">
        <v>3530</v>
      </c>
      <c r="L406" s="7" t="s">
        <v>30</v>
      </c>
      <c r="M406" s="7" t="s">
        <v>9</v>
      </c>
      <c r="N406" s="7" t="s">
        <v>39</v>
      </c>
      <c r="O406" s="7" t="s">
        <v>78</v>
      </c>
      <c r="P406" s="7" t="s">
        <v>78</v>
      </c>
      <c r="Q406" s="7" t="s">
        <v>1227</v>
      </c>
      <c r="R406" t="s">
        <v>3631</v>
      </c>
    </row>
    <row r="407" spans="1:18" x14ac:dyDescent="0.3">
      <c r="A407" s="7" t="str">
        <f>HYPERLINK("https://hsdes.intel.com/resource/14013159310","14013159310")</f>
        <v>14013159310</v>
      </c>
      <c r="B407" s="7" t="s">
        <v>1228</v>
      </c>
      <c r="C407" s="7" t="s">
        <v>55</v>
      </c>
      <c r="D407" s="7" t="s">
        <v>3612</v>
      </c>
      <c r="E407" s="7" t="s">
        <v>3617</v>
      </c>
      <c r="F407" s="8" t="s">
        <v>3628</v>
      </c>
      <c r="H407" s="7" t="s">
        <v>3620</v>
      </c>
      <c r="I407" s="7" t="s">
        <v>3622</v>
      </c>
      <c r="L407" s="7" t="s">
        <v>30</v>
      </c>
      <c r="M407" s="7" t="s">
        <v>9</v>
      </c>
      <c r="N407" s="7" t="s">
        <v>39</v>
      </c>
      <c r="O407" s="7" t="s">
        <v>78</v>
      </c>
      <c r="P407" s="7" t="s">
        <v>78</v>
      </c>
      <c r="Q407" s="7" t="s">
        <v>1229</v>
      </c>
      <c r="R407" t="s">
        <v>3631</v>
      </c>
    </row>
    <row r="408" spans="1:18" x14ac:dyDescent="0.3">
      <c r="A408" s="7" t="str">
        <f>HYPERLINK("https://hsdes.intel.com/resource/14013159319","14013159319")</f>
        <v>14013159319</v>
      </c>
      <c r="B408" s="7" t="s">
        <v>1230</v>
      </c>
      <c r="C408" s="7" t="s">
        <v>55</v>
      </c>
      <c r="D408" s="7" t="s">
        <v>3612</v>
      </c>
      <c r="E408" s="7" t="s">
        <v>3617</v>
      </c>
      <c r="F408" s="8" t="s">
        <v>3628</v>
      </c>
      <c r="H408" s="7" t="s">
        <v>3620</v>
      </c>
      <c r="I408" s="7" t="s">
        <v>3622</v>
      </c>
      <c r="L408" s="7" t="s">
        <v>30</v>
      </c>
      <c r="M408" s="7" t="s">
        <v>9</v>
      </c>
      <c r="N408" s="7" t="s">
        <v>25</v>
      </c>
      <c r="O408" s="7" t="s">
        <v>1231</v>
      </c>
      <c r="P408" s="7" t="s">
        <v>1231</v>
      </c>
      <c r="Q408" s="7" t="s">
        <v>1232</v>
      </c>
      <c r="R408" t="s">
        <v>3632</v>
      </c>
    </row>
    <row r="409" spans="1:18" x14ac:dyDescent="0.3">
      <c r="A409" s="7" t="str">
        <f>HYPERLINK("https://hsdes.intel.com/resource/14013159323","14013159323")</f>
        <v>14013159323</v>
      </c>
      <c r="B409" s="7" t="s">
        <v>1233</v>
      </c>
      <c r="C409" s="7" t="s">
        <v>55</v>
      </c>
      <c r="D409" s="7" t="s">
        <v>3612</v>
      </c>
      <c r="E409" s="7" t="s">
        <v>3617</v>
      </c>
      <c r="F409" s="8" t="s">
        <v>3628</v>
      </c>
      <c r="H409" s="7" t="s">
        <v>3619</v>
      </c>
      <c r="I409" s="7" t="s">
        <v>3622</v>
      </c>
      <c r="L409" s="7" t="s">
        <v>30</v>
      </c>
      <c r="M409" s="7" t="s">
        <v>9</v>
      </c>
      <c r="N409" s="7" t="s">
        <v>25</v>
      </c>
      <c r="O409" s="7" t="s">
        <v>78</v>
      </c>
      <c r="P409" s="7" t="s">
        <v>78</v>
      </c>
      <c r="Q409" s="7" t="s">
        <v>1234</v>
      </c>
      <c r="R409" t="s">
        <v>3632</v>
      </c>
    </row>
    <row r="410" spans="1:18" x14ac:dyDescent="0.3">
      <c r="A410" s="7" t="str">
        <f>HYPERLINK("https://hsdes.intel.com/resource/14013159340","14013159340")</f>
        <v>14013159340</v>
      </c>
      <c r="B410" s="7" t="s">
        <v>1235</v>
      </c>
      <c r="C410" s="7" t="s">
        <v>7</v>
      </c>
      <c r="D410" s="7" t="s">
        <v>3612</v>
      </c>
      <c r="E410" s="7" t="s">
        <v>3617</v>
      </c>
      <c r="F410" s="8" t="s">
        <v>3628</v>
      </c>
      <c r="H410" s="7" t="s">
        <v>3620</v>
      </c>
      <c r="I410" s="7" t="s">
        <v>3524</v>
      </c>
      <c r="L410" s="7" t="s">
        <v>8</v>
      </c>
      <c r="M410" s="7" t="s">
        <v>9</v>
      </c>
      <c r="N410" s="7" t="s">
        <v>10</v>
      </c>
      <c r="O410" s="7" t="s">
        <v>987</v>
      </c>
      <c r="P410" s="7" t="s">
        <v>1236</v>
      </c>
      <c r="Q410" s="7" t="s">
        <v>1237</v>
      </c>
      <c r="R410" t="s">
        <v>3633</v>
      </c>
    </row>
    <row r="411" spans="1:18" x14ac:dyDescent="0.3">
      <c r="A411" s="7" t="str">
        <f>HYPERLINK("https://hsdes.intel.com/resource/14013159344","14013159344")</f>
        <v>14013159344</v>
      </c>
      <c r="B411" s="7" t="s">
        <v>1238</v>
      </c>
      <c r="C411" s="7" t="s">
        <v>7</v>
      </c>
      <c r="D411" s="7" t="s">
        <v>3612</v>
      </c>
      <c r="E411" s="7" t="s">
        <v>3617</v>
      </c>
      <c r="F411" s="8" t="s">
        <v>3628</v>
      </c>
      <c r="H411" s="7" t="s">
        <v>3620</v>
      </c>
      <c r="I411" s="7" t="s">
        <v>3524</v>
      </c>
      <c r="L411" s="7" t="s">
        <v>8</v>
      </c>
      <c r="M411" s="7" t="s">
        <v>9</v>
      </c>
      <c r="N411" s="7" t="s">
        <v>10</v>
      </c>
      <c r="O411" s="7" t="s">
        <v>1239</v>
      </c>
      <c r="P411" s="7" t="s">
        <v>1240</v>
      </c>
      <c r="Q411" s="7" t="s">
        <v>1241</v>
      </c>
      <c r="R411" t="s">
        <v>3633</v>
      </c>
    </row>
    <row r="412" spans="1:18" x14ac:dyDescent="0.3">
      <c r="A412" s="7" t="str">
        <f>HYPERLINK("https://hsdes.intel.com/resource/14013159349","14013159349")</f>
        <v>14013159349</v>
      </c>
      <c r="B412" s="7" t="s">
        <v>1242</v>
      </c>
      <c r="C412" s="7" t="s">
        <v>7</v>
      </c>
      <c r="D412" s="7" t="s">
        <v>3612</v>
      </c>
      <c r="E412" s="7" t="s">
        <v>3617</v>
      </c>
      <c r="F412" s="8" t="s">
        <v>3628</v>
      </c>
      <c r="H412" s="7" t="s">
        <v>3620</v>
      </c>
      <c r="I412" s="7" t="s">
        <v>3524</v>
      </c>
      <c r="L412" s="7" t="s">
        <v>8</v>
      </c>
      <c r="M412" s="7" t="s">
        <v>9</v>
      </c>
      <c r="N412" s="7" t="s">
        <v>10</v>
      </c>
      <c r="O412" s="7" t="s">
        <v>1243</v>
      </c>
      <c r="P412" s="7" t="s">
        <v>1244</v>
      </c>
      <c r="Q412" s="7" t="s">
        <v>1245</v>
      </c>
      <c r="R412" t="s">
        <v>3633</v>
      </c>
    </row>
    <row r="413" spans="1:18" x14ac:dyDescent="0.3">
      <c r="A413" s="7" t="str">
        <f>HYPERLINK("https://hsdes.intel.com/resource/14013159351","14013159351")</f>
        <v>14013159351</v>
      </c>
      <c r="B413" s="7" t="s">
        <v>1246</v>
      </c>
      <c r="C413" s="7" t="s">
        <v>7</v>
      </c>
      <c r="D413" s="7" t="s">
        <v>3612</v>
      </c>
      <c r="E413" s="7" t="s">
        <v>3617</v>
      </c>
      <c r="F413" s="8" t="s">
        <v>3628</v>
      </c>
      <c r="H413" s="7" t="s">
        <v>3620</v>
      </c>
      <c r="I413" s="7" t="s">
        <v>3524</v>
      </c>
      <c r="L413" s="7" t="s">
        <v>8</v>
      </c>
      <c r="M413" s="7" t="s">
        <v>94</v>
      </c>
      <c r="N413" s="7" t="s">
        <v>738</v>
      </c>
      <c r="O413" s="7" t="s">
        <v>1247</v>
      </c>
      <c r="P413" s="7" t="s">
        <v>1248</v>
      </c>
      <c r="Q413" s="7" t="s">
        <v>1249</v>
      </c>
      <c r="R413" t="s">
        <v>3633</v>
      </c>
    </row>
    <row r="414" spans="1:18" x14ac:dyDescent="0.3">
      <c r="A414" s="7" t="str">
        <f>HYPERLINK("https://hsdes.intel.com/resource/14013159413","14013159413")</f>
        <v>14013159413</v>
      </c>
      <c r="B414" s="7" t="s">
        <v>1250</v>
      </c>
      <c r="C414" s="7" t="s">
        <v>7</v>
      </c>
      <c r="D414" s="7" t="s">
        <v>3613</v>
      </c>
      <c r="E414" s="7" t="s">
        <v>3617</v>
      </c>
      <c r="F414" s="8" t="s">
        <v>3628</v>
      </c>
      <c r="H414" s="7" t="s">
        <v>3620</v>
      </c>
      <c r="I414" s="7" t="s">
        <v>3524</v>
      </c>
      <c r="L414" s="7" t="s">
        <v>8</v>
      </c>
      <c r="M414" s="7" t="s">
        <v>9</v>
      </c>
      <c r="N414" s="7" t="s">
        <v>10</v>
      </c>
      <c r="O414" s="7" t="s">
        <v>1251</v>
      </c>
      <c r="P414" s="7" t="s">
        <v>1252</v>
      </c>
      <c r="Q414" s="7" t="s">
        <v>1253</v>
      </c>
      <c r="R414" t="s">
        <v>3633</v>
      </c>
    </row>
    <row r="415" spans="1:18" x14ac:dyDescent="0.3">
      <c r="A415" s="7" t="str">
        <f>HYPERLINK("https://hsdes.intel.com/resource/14013159419","14013159419")</f>
        <v>14013159419</v>
      </c>
      <c r="B415" s="7" t="s">
        <v>1254</v>
      </c>
      <c r="C415" s="7" t="s">
        <v>7</v>
      </c>
      <c r="D415" s="7" t="s">
        <v>3612</v>
      </c>
      <c r="E415" s="7" t="s">
        <v>3617</v>
      </c>
      <c r="F415" s="8" t="s">
        <v>3628</v>
      </c>
      <c r="H415" s="7" t="s">
        <v>3620</v>
      </c>
      <c r="I415" s="7" t="s">
        <v>3524</v>
      </c>
      <c r="L415" s="7" t="s">
        <v>8</v>
      </c>
      <c r="M415" s="7" t="s">
        <v>9</v>
      </c>
      <c r="N415" s="7" t="s">
        <v>10</v>
      </c>
      <c r="O415" s="7" t="s">
        <v>1239</v>
      </c>
      <c r="P415" s="7" t="s">
        <v>1255</v>
      </c>
      <c r="Q415" s="7" t="s">
        <v>1256</v>
      </c>
      <c r="R415" t="s">
        <v>3633</v>
      </c>
    </row>
    <row r="416" spans="1:18" x14ac:dyDescent="0.3">
      <c r="A416" s="7" t="str">
        <f>HYPERLINK("https://hsdes.intel.com/resource/14013159421","14013159421")</f>
        <v>14013159421</v>
      </c>
      <c r="B416" s="7" t="s">
        <v>1257</v>
      </c>
      <c r="C416" s="7" t="s">
        <v>7</v>
      </c>
      <c r="D416" s="7" t="s">
        <v>3612</v>
      </c>
      <c r="E416" s="7" t="s">
        <v>3617</v>
      </c>
      <c r="F416" s="8" t="s">
        <v>3628</v>
      </c>
      <c r="H416" s="7" t="s">
        <v>3620</v>
      </c>
      <c r="I416" s="7" t="s">
        <v>3524</v>
      </c>
      <c r="L416" s="7" t="s">
        <v>8</v>
      </c>
      <c r="M416" s="7" t="s">
        <v>9</v>
      </c>
      <c r="N416" s="7" t="s">
        <v>10</v>
      </c>
      <c r="O416" s="7" t="s">
        <v>987</v>
      </c>
      <c r="P416" s="7" t="s">
        <v>1236</v>
      </c>
      <c r="Q416" s="7" t="s">
        <v>1258</v>
      </c>
      <c r="R416" t="s">
        <v>3633</v>
      </c>
    </row>
    <row r="417" spans="1:18" x14ac:dyDescent="0.3">
      <c r="A417" s="7" t="str">
        <f>HYPERLINK("https://hsdes.intel.com/resource/14013159423","14013159423")</f>
        <v>14013159423</v>
      </c>
      <c r="B417" s="7" t="s">
        <v>1259</v>
      </c>
      <c r="C417" s="7" t="s">
        <v>7</v>
      </c>
      <c r="D417" s="7" t="s">
        <v>3612</v>
      </c>
      <c r="E417" s="7" t="s">
        <v>3617</v>
      </c>
      <c r="F417" s="8" t="s">
        <v>3628</v>
      </c>
      <c r="H417" s="7" t="s">
        <v>3620</v>
      </c>
      <c r="I417" s="7" t="s">
        <v>3524</v>
      </c>
      <c r="L417" s="7" t="s">
        <v>8</v>
      </c>
      <c r="M417" s="7" t="s">
        <v>9</v>
      </c>
      <c r="N417" s="7" t="s">
        <v>10</v>
      </c>
      <c r="O417" s="7" t="s">
        <v>987</v>
      </c>
      <c r="P417" s="7" t="s">
        <v>1236</v>
      </c>
      <c r="Q417" s="7" t="s">
        <v>1260</v>
      </c>
      <c r="R417" t="s">
        <v>3633</v>
      </c>
    </row>
    <row r="418" spans="1:18" x14ac:dyDescent="0.3">
      <c r="A418" s="7" t="str">
        <f>HYPERLINK("https://hsdes.intel.com/resource/14013159431","14013159431")</f>
        <v>14013159431</v>
      </c>
      <c r="B418" s="7" t="s">
        <v>1261</v>
      </c>
      <c r="C418" s="7" t="s">
        <v>7</v>
      </c>
      <c r="D418" s="7" t="s">
        <v>3612</v>
      </c>
      <c r="E418" s="7" t="s">
        <v>3617</v>
      </c>
      <c r="F418" s="8" t="s">
        <v>3628</v>
      </c>
      <c r="H418" s="7" t="s">
        <v>3620</v>
      </c>
      <c r="I418" s="7" t="s">
        <v>3524</v>
      </c>
      <c r="L418" s="7" t="s">
        <v>8</v>
      </c>
      <c r="M418" s="7" t="s">
        <v>9</v>
      </c>
      <c r="N418" s="7" t="s">
        <v>10</v>
      </c>
      <c r="O418" s="7" t="s">
        <v>987</v>
      </c>
      <c r="P418" s="7" t="s">
        <v>1262</v>
      </c>
      <c r="Q418" s="7" t="s">
        <v>1263</v>
      </c>
      <c r="R418" t="s">
        <v>3633</v>
      </c>
    </row>
    <row r="419" spans="1:18" x14ac:dyDescent="0.3">
      <c r="A419" s="7" t="str">
        <f>HYPERLINK("https://hsdes.intel.com/resource/14013159441","14013159441")</f>
        <v>14013159441</v>
      </c>
      <c r="B419" s="7" t="s">
        <v>1264</v>
      </c>
      <c r="C419" s="7" t="s">
        <v>7</v>
      </c>
      <c r="D419" s="7" t="s">
        <v>3612</v>
      </c>
      <c r="E419" s="7" t="s">
        <v>3617</v>
      </c>
      <c r="F419" s="8" t="s">
        <v>3628</v>
      </c>
      <c r="H419" s="7" t="s">
        <v>3620</v>
      </c>
      <c r="I419" s="7" t="s">
        <v>3524</v>
      </c>
      <c r="L419" s="7" t="s">
        <v>8</v>
      </c>
      <c r="M419" s="7" t="s">
        <v>9</v>
      </c>
      <c r="N419" s="7" t="s">
        <v>10</v>
      </c>
      <c r="O419" s="7" t="s">
        <v>1265</v>
      </c>
      <c r="P419" s="7" t="s">
        <v>1266</v>
      </c>
      <c r="Q419" s="7" t="s">
        <v>1267</v>
      </c>
      <c r="R419" t="s">
        <v>3633</v>
      </c>
    </row>
    <row r="420" spans="1:18" x14ac:dyDescent="0.3">
      <c r="A420" s="7" t="str">
        <f>HYPERLINK("https://hsdes.intel.com/resource/14013159443","14013159443")</f>
        <v>14013159443</v>
      </c>
      <c r="B420" s="7" t="s">
        <v>1268</v>
      </c>
      <c r="C420" s="7" t="s">
        <v>7</v>
      </c>
      <c r="D420" s="7" t="s">
        <v>3612</v>
      </c>
      <c r="E420" s="7" t="s">
        <v>3617</v>
      </c>
      <c r="F420" s="8" t="s">
        <v>3628</v>
      </c>
      <c r="H420" s="7" t="s">
        <v>3620</v>
      </c>
      <c r="I420" s="7" t="s">
        <v>3524</v>
      </c>
      <c r="L420" s="7" t="s">
        <v>8</v>
      </c>
      <c r="M420" s="7" t="s">
        <v>9</v>
      </c>
      <c r="N420" s="7" t="s">
        <v>10</v>
      </c>
      <c r="O420" s="7" t="s">
        <v>1269</v>
      </c>
      <c r="P420" s="7" t="s">
        <v>1270</v>
      </c>
      <c r="Q420" s="7" t="s">
        <v>1271</v>
      </c>
      <c r="R420" t="s">
        <v>3633</v>
      </c>
    </row>
    <row r="421" spans="1:18" x14ac:dyDescent="0.3">
      <c r="A421" s="7" t="str">
        <f>HYPERLINK("https://hsdes.intel.com/resource/14013159450","14013159450")</f>
        <v>14013159450</v>
      </c>
      <c r="B421" s="7" t="s">
        <v>1272</v>
      </c>
      <c r="C421" s="7" t="s">
        <v>7</v>
      </c>
      <c r="D421" s="7" t="s">
        <v>3612</v>
      </c>
      <c r="E421" s="7" t="s">
        <v>3617</v>
      </c>
      <c r="F421" s="8" t="s">
        <v>3628</v>
      </c>
      <c r="H421" s="7" t="s">
        <v>3620</v>
      </c>
      <c r="I421" s="7" t="s">
        <v>3524</v>
      </c>
      <c r="L421" s="7" t="s">
        <v>8</v>
      </c>
      <c r="M421" s="7" t="s">
        <v>9</v>
      </c>
      <c r="N421" s="7" t="s">
        <v>10</v>
      </c>
      <c r="O421" s="7" t="s">
        <v>1273</v>
      </c>
      <c r="P421" s="7" t="s">
        <v>1274</v>
      </c>
      <c r="Q421" s="7" t="s">
        <v>1275</v>
      </c>
      <c r="R421" t="s">
        <v>3633</v>
      </c>
    </row>
    <row r="422" spans="1:18" x14ac:dyDescent="0.3">
      <c r="A422" s="7" t="str">
        <f>HYPERLINK("https://hsdes.intel.com/resource/14013159453","14013159453")</f>
        <v>14013159453</v>
      </c>
      <c r="B422" s="7" t="s">
        <v>1276</v>
      </c>
      <c r="C422" s="7" t="s">
        <v>7</v>
      </c>
      <c r="D422" s="7" t="s">
        <v>3612</v>
      </c>
      <c r="E422" s="7" t="s">
        <v>3617</v>
      </c>
      <c r="F422" s="8" t="s">
        <v>3628</v>
      </c>
      <c r="H422" s="7" t="s">
        <v>3620</v>
      </c>
      <c r="I422" s="7" t="s">
        <v>3524</v>
      </c>
      <c r="L422" s="7" t="s">
        <v>8</v>
      </c>
      <c r="M422" s="7" t="s">
        <v>9</v>
      </c>
      <c r="N422" s="7" t="s">
        <v>10</v>
      </c>
      <c r="O422" s="7" t="s">
        <v>1277</v>
      </c>
      <c r="P422" s="7" t="s">
        <v>1278</v>
      </c>
      <c r="Q422" s="7" t="s">
        <v>1279</v>
      </c>
      <c r="R422" t="s">
        <v>3633</v>
      </c>
    </row>
    <row r="423" spans="1:18" x14ac:dyDescent="0.3">
      <c r="A423" s="7" t="str">
        <f>HYPERLINK("https://hsdes.intel.com/resource/14013159460","14013159460")</f>
        <v>14013159460</v>
      </c>
      <c r="B423" s="7" t="s">
        <v>1280</v>
      </c>
      <c r="C423" s="7" t="s">
        <v>7</v>
      </c>
      <c r="D423" s="7" t="s">
        <v>3612</v>
      </c>
      <c r="E423" s="7" t="s">
        <v>3617</v>
      </c>
      <c r="F423" s="8" t="s">
        <v>3628</v>
      </c>
      <c r="H423" s="7" t="s">
        <v>3620</v>
      </c>
      <c r="I423" s="7" t="s">
        <v>3524</v>
      </c>
      <c r="L423" s="7" t="s">
        <v>8</v>
      </c>
      <c r="M423" s="7" t="s">
        <v>9</v>
      </c>
      <c r="N423" s="7" t="s">
        <v>10</v>
      </c>
      <c r="O423" s="7" t="s">
        <v>984</v>
      </c>
      <c r="P423" s="7" t="s">
        <v>1281</v>
      </c>
      <c r="Q423" s="7" t="s">
        <v>1282</v>
      </c>
      <c r="R423" t="s">
        <v>3633</v>
      </c>
    </row>
    <row r="424" spans="1:18" x14ac:dyDescent="0.3">
      <c r="A424" s="7" t="str">
        <f>HYPERLINK("https://hsdes.intel.com/resource/14013159478","14013159478")</f>
        <v>14013159478</v>
      </c>
      <c r="B424" s="7" t="s">
        <v>1283</v>
      </c>
      <c r="C424" s="7" t="s">
        <v>7</v>
      </c>
      <c r="D424" s="7" t="s">
        <v>3612</v>
      </c>
      <c r="E424" s="7" t="s">
        <v>3617</v>
      </c>
      <c r="F424" s="8" t="s">
        <v>3628</v>
      </c>
      <c r="H424" s="7" t="s">
        <v>3620</v>
      </c>
      <c r="I424" s="7" t="s">
        <v>3524</v>
      </c>
      <c r="L424" s="7" t="s">
        <v>8</v>
      </c>
      <c r="M424" s="7" t="s">
        <v>9</v>
      </c>
      <c r="N424" s="7" t="s">
        <v>10</v>
      </c>
      <c r="O424" s="7" t="s">
        <v>1239</v>
      </c>
      <c r="P424" s="7" t="s">
        <v>1284</v>
      </c>
      <c r="Q424" s="7" t="s">
        <v>1285</v>
      </c>
      <c r="R424" t="s">
        <v>3633</v>
      </c>
    </row>
    <row r="425" spans="1:18" x14ac:dyDescent="0.3">
      <c r="A425" s="7" t="str">
        <f>HYPERLINK("https://hsdes.intel.com/resource/14013159482","14013159482")</f>
        <v>14013159482</v>
      </c>
      <c r="B425" s="7" t="s">
        <v>1286</v>
      </c>
      <c r="C425" s="7" t="s">
        <v>7</v>
      </c>
      <c r="D425" s="7" t="s">
        <v>3612</v>
      </c>
      <c r="E425" s="7" t="s">
        <v>3617</v>
      </c>
      <c r="F425" s="8" t="s">
        <v>3628</v>
      </c>
      <c r="H425" s="7" t="s">
        <v>3620</v>
      </c>
      <c r="I425" s="7" t="s">
        <v>3524</v>
      </c>
      <c r="L425" s="7" t="s">
        <v>8</v>
      </c>
      <c r="M425" s="7" t="s">
        <v>9</v>
      </c>
      <c r="N425" s="7" t="s">
        <v>10</v>
      </c>
      <c r="O425" s="7" t="s">
        <v>987</v>
      </c>
      <c r="P425" s="7" t="s">
        <v>1262</v>
      </c>
      <c r="Q425" s="7" t="s">
        <v>1287</v>
      </c>
      <c r="R425" t="s">
        <v>3633</v>
      </c>
    </row>
    <row r="426" spans="1:18" x14ac:dyDescent="0.3">
      <c r="A426" s="7" t="str">
        <f>HYPERLINK("https://hsdes.intel.com/resource/14013159493","14013159493")</f>
        <v>14013159493</v>
      </c>
      <c r="B426" s="7" t="s">
        <v>1288</v>
      </c>
      <c r="C426" s="7" t="s">
        <v>7</v>
      </c>
      <c r="D426" s="7" t="s">
        <v>3612</v>
      </c>
      <c r="E426" s="7" t="s">
        <v>3617</v>
      </c>
      <c r="F426" s="8" t="s">
        <v>3628</v>
      </c>
      <c r="H426" s="7" t="s">
        <v>3620</v>
      </c>
      <c r="I426" s="7" t="s">
        <v>3524</v>
      </c>
      <c r="L426" s="7" t="s">
        <v>8</v>
      </c>
      <c r="M426" s="7" t="s">
        <v>9</v>
      </c>
      <c r="N426" s="7" t="s">
        <v>10</v>
      </c>
      <c r="O426" s="7" t="s">
        <v>1239</v>
      </c>
      <c r="P426" s="7" t="s">
        <v>1289</v>
      </c>
      <c r="Q426" s="7" t="s">
        <v>1290</v>
      </c>
      <c r="R426" t="s">
        <v>3633</v>
      </c>
    </row>
    <row r="427" spans="1:18" x14ac:dyDescent="0.3">
      <c r="A427" s="7" t="str">
        <f>HYPERLINK("https://hsdes.intel.com/resource/14013159498","14013159498")</f>
        <v>14013159498</v>
      </c>
      <c r="B427" s="7" t="s">
        <v>1291</v>
      </c>
      <c r="C427" s="7" t="s">
        <v>7</v>
      </c>
      <c r="D427" s="7" t="s">
        <v>3612</v>
      </c>
      <c r="E427" s="7" t="s">
        <v>3617</v>
      </c>
      <c r="F427" s="8" t="s">
        <v>3628</v>
      </c>
      <c r="H427" s="7" t="s">
        <v>3620</v>
      </c>
      <c r="I427" s="7" t="s">
        <v>3524</v>
      </c>
      <c r="L427" s="7" t="s">
        <v>8</v>
      </c>
      <c r="M427" s="7" t="s">
        <v>9</v>
      </c>
      <c r="N427" s="7" t="s">
        <v>10</v>
      </c>
      <c r="O427" s="7" t="s">
        <v>1292</v>
      </c>
      <c r="P427" s="7" t="s">
        <v>1293</v>
      </c>
      <c r="Q427" s="7" t="s">
        <v>1294</v>
      </c>
      <c r="R427" t="s">
        <v>3633</v>
      </c>
    </row>
    <row r="428" spans="1:18" x14ac:dyDescent="0.3">
      <c r="A428" s="7" t="str">
        <f>HYPERLINK("https://hsdes.intel.com/resource/14013159500","14013159500")</f>
        <v>14013159500</v>
      </c>
      <c r="B428" s="7" t="s">
        <v>1295</v>
      </c>
      <c r="C428" s="7" t="s">
        <v>7</v>
      </c>
      <c r="D428" s="7" t="s">
        <v>3612</v>
      </c>
      <c r="E428" s="7" t="s">
        <v>3617</v>
      </c>
      <c r="F428" s="8" t="s">
        <v>3628</v>
      </c>
      <c r="H428" s="7" t="s">
        <v>3620</v>
      </c>
      <c r="I428" s="7" t="s">
        <v>3524</v>
      </c>
      <c r="L428" s="7" t="s">
        <v>8</v>
      </c>
      <c r="M428" s="7" t="s">
        <v>9</v>
      </c>
      <c r="N428" s="7" t="s">
        <v>10</v>
      </c>
      <c r="O428" s="7" t="s">
        <v>1296</v>
      </c>
      <c r="P428" s="7" t="s">
        <v>1297</v>
      </c>
      <c r="Q428" s="7" t="s">
        <v>1298</v>
      </c>
      <c r="R428" t="s">
        <v>3633</v>
      </c>
    </row>
    <row r="429" spans="1:18" x14ac:dyDescent="0.3">
      <c r="A429" s="7" t="str">
        <f>HYPERLINK("https://hsdes.intel.com/resource/14013159503","14013159503")</f>
        <v>14013159503</v>
      </c>
      <c r="B429" s="7" t="s">
        <v>1299</v>
      </c>
      <c r="C429" s="7" t="s">
        <v>7</v>
      </c>
      <c r="D429" s="7" t="s">
        <v>3612</v>
      </c>
      <c r="E429" s="7" t="s">
        <v>3617</v>
      </c>
      <c r="F429" s="8" t="s">
        <v>3628</v>
      </c>
      <c r="H429" s="7" t="s">
        <v>3620</v>
      </c>
      <c r="I429" s="7" t="s">
        <v>3524</v>
      </c>
      <c r="L429" s="7" t="s">
        <v>8</v>
      </c>
      <c r="M429" s="7" t="s">
        <v>9</v>
      </c>
      <c r="N429" s="7" t="s">
        <v>10</v>
      </c>
      <c r="O429" s="7" t="s">
        <v>1300</v>
      </c>
      <c r="P429" s="7" t="s">
        <v>1301</v>
      </c>
      <c r="Q429" s="7" t="s">
        <v>1302</v>
      </c>
      <c r="R429" t="s">
        <v>3633</v>
      </c>
    </row>
    <row r="430" spans="1:18" x14ac:dyDescent="0.3">
      <c r="A430" s="7" t="str">
        <f>HYPERLINK("https://hsdes.intel.com/resource/14013159505","14013159505")</f>
        <v>14013159505</v>
      </c>
      <c r="B430" s="7" t="s">
        <v>1303</v>
      </c>
      <c r="C430" s="7" t="s">
        <v>7</v>
      </c>
      <c r="D430" s="7" t="s">
        <v>3612</v>
      </c>
      <c r="E430" s="7" t="s">
        <v>3617</v>
      </c>
      <c r="F430" s="8" t="s">
        <v>3628</v>
      </c>
      <c r="H430" s="7" t="s">
        <v>3620</v>
      </c>
      <c r="I430" s="7" t="s">
        <v>3524</v>
      </c>
      <c r="L430" s="7" t="s">
        <v>8</v>
      </c>
      <c r="M430" s="7" t="s">
        <v>9</v>
      </c>
      <c r="N430" s="7" t="s">
        <v>10</v>
      </c>
      <c r="O430" s="7" t="s">
        <v>1247</v>
      </c>
      <c r="P430" s="7" t="s">
        <v>1215</v>
      </c>
      <c r="Q430" s="7" t="s">
        <v>1304</v>
      </c>
      <c r="R430" t="s">
        <v>3633</v>
      </c>
    </row>
    <row r="431" spans="1:18" x14ac:dyDescent="0.3">
      <c r="A431" s="7" t="str">
        <f>HYPERLINK("https://hsdes.intel.com/resource/14013159507","14013159507")</f>
        <v>14013159507</v>
      </c>
      <c r="B431" s="7" t="s">
        <v>1305</v>
      </c>
      <c r="C431" s="7" t="s">
        <v>7</v>
      </c>
      <c r="D431" s="7" t="s">
        <v>3612</v>
      </c>
      <c r="E431" s="7" t="s">
        <v>3617</v>
      </c>
      <c r="F431" s="8" t="s">
        <v>3628</v>
      </c>
      <c r="H431" s="7" t="s">
        <v>3620</v>
      </c>
      <c r="I431" s="7" t="s">
        <v>3524</v>
      </c>
      <c r="L431" s="7" t="s">
        <v>8</v>
      </c>
      <c r="M431" s="7" t="s">
        <v>9</v>
      </c>
      <c r="N431" s="7" t="s">
        <v>10</v>
      </c>
      <c r="O431" s="7" t="s">
        <v>1269</v>
      </c>
      <c r="P431" s="7" t="s">
        <v>1306</v>
      </c>
      <c r="Q431" s="7" t="s">
        <v>1307</v>
      </c>
      <c r="R431" t="s">
        <v>3633</v>
      </c>
    </row>
    <row r="432" spans="1:18" x14ac:dyDescent="0.3">
      <c r="A432" s="7" t="str">
        <f>HYPERLINK("https://hsdes.intel.com/resource/14013159519","14013159519")</f>
        <v>14013159519</v>
      </c>
      <c r="B432" s="7" t="s">
        <v>1308</v>
      </c>
      <c r="C432" s="7" t="s">
        <v>7</v>
      </c>
      <c r="D432" s="7" t="s">
        <v>3612</v>
      </c>
      <c r="E432" s="7" t="s">
        <v>3617</v>
      </c>
      <c r="F432" s="8" t="s">
        <v>3628</v>
      </c>
      <c r="H432" s="7" t="s">
        <v>3620</v>
      </c>
      <c r="I432" s="7" t="s">
        <v>3524</v>
      </c>
      <c r="L432" s="7" t="s">
        <v>8</v>
      </c>
      <c r="M432" s="7" t="s">
        <v>9</v>
      </c>
      <c r="N432" s="7" t="s">
        <v>10</v>
      </c>
      <c r="O432" s="7" t="s">
        <v>1277</v>
      </c>
      <c r="P432" s="7" t="s">
        <v>1309</v>
      </c>
      <c r="Q432" s="7" t="s">
        <v>1310</v>
      </c>
      <c r="R432" t="s">
        <v>3633</v>
      </c>
    </row>
    <row r="433" spans="1:18" x14ac:dyDescent="0.3">
      <c r="A433" s="7" t="str">
        <f>HYPERLINK("https://hsdes.intel.com/resource/14013159554","14013159554")</f>
        <v>14013159554</v>
      </c>
      <c r="B433" s="7" t="s">
        <v>1311</v>
      </c>
      <c r="C433" s="7" t="s">
        <v>7</v>
      </c>
      <c r="D433" s="7" t="s">
        <v>3612</v>
      </c>
      <c r="E433" s="7" t="s">
        <v>3617</v>
      </c>
      <c r="F433" s="8" t="s">
        <v>3628</v>
      </c>
      <c r="H433" s="7" t="s">
        <v>3620</v>
      </c>
      <c r="I433" s="7" t="s">
        <v>3524</v>
      </c>
      <c r="L433" s="7" t="s">
        <v>8</v>
      </c>
      <c r="M433" s="7" t="s">
        <v>9</v>
      </c>
      <c r="N433" s="7" t="s">
        <v>10</v>
      </c>
      <c r="O433" s="7" t="s">
        <v>1239</v>
      </c>
      <c r="P433" s="7" t="s">
        <v>1289</v>
      </c>
      <c r="Q433" s="7" t="s">
        <v>1312</v>
      </c>
      <c r="R433" t="s">
        <v>3633</v>
      </c>
    </row>
    <row r="434" spans="1:18" x14ac:dyDescent="0.3">
      <c r="A434" s="7" t="str">
        <f>HYPERLINK("https://hsdes.intel.com/resource/14013159581","14013159581")</f>
        <v>14013159581</v>
      </c>
      <c r="B434" s="7" t="s">
        <v>1313</v>
      </c>
      <c r="C434" s="7" t="s">
        <v>7</v>
      </c>
      <c r="D434" s="7" t="s">
        <v>3612</v>
      </c>
      <c r="E434" s="7" t="s">
        <v>3617</v>
      </c>
      <c r="F434" s="8" t="s">
        <v>3628</v>
      </c>
      <c r="H434" s="7" t="s">
        <v>3620</v>
      </c>
      <c r="I434" s="7" t="s">
        <v>3524</v>
      </c>
      <c r="L434" s="7" t="s">
        <v>8</v>
      </c>
      <c r="M434" s="7" t="s">
        <v>9</v>
      </c>
      <c r="N434" s="7" t="s">
        <v>10</v>
      </c>
      <c r="O434" s="7" t="s">
        <v>1265</v>
      </c>
      <c r="P434" s="7" t="s">
        <v>1266</v>
      </c>
      <c r="Q434" s="7" t="s">
        <v>1314</v>
      </c>
      <c r="R434" t="s">
        <v>3633</v>
      </c>
    </row>
    <row r="435" spans="1:18" x14ac:dyDescent="0.3">
      <c r="A435" s="7" t="str">
        <f>HYPERLINK("https://hsdes.intel.com/resource/14013159584","14013159584")</f>
        <v>14013159584</v>
      </c>
      <c r="B435" s="7" t="s">
        <v>1315</v>
      </c>
      <c r="C435" s="7" t="s">
        <v>7</v>
      </c>
      <c r="D435" s="7" t="s">
        <v>3612</v>
      </c>
      <c r="E435" s="7" t="s">
        <v>3617</v>
      </c>
      <c r="F435" s="8" t="s">
        <v>3628</v>
      </c>
      <c r="H435" s="7" t="s">
        <v>3620</v>
      </c>
      <c r="I435" s="7" t="s">
        <v>3524</v>
      </c>
      <c r="L435" s="7" t="s">
        <v>8</v>
      </c>
      <c r="M435" s="7" t="s">
        <v>9</v>
      </c>
      <c r="N435" s="7" t="s">
        <v>10</v>
      </c>
      <c r="O435" s="7" t="s">
        <v>1292</v>
      </c>
      <c r="P435" s="7" t="s">
        <v>1293</v>
      </c>
      <c r="Q435" s="7" t="s">
        <v>1316</v>
      </c>
      <c r="R435" t="s">
        <v>3633</v>
      </c>
    </row>
    <row r="436" spans="1:18" x14ac:dyDescent="0.3">
      <c r="A436" s="7" t="str">
        <f>HYPERLINK("https://hsdes.intel.com/resource/14013159587","14013159587")</f>
        <v>14013159587</v>
      </c>
      <c r="B436" s="7" t="s">
        <v>1317</v>
      </c>
      <c r="C436" s="7" t="s">
        <v>7</v>
      </c>
      <c r="D436" s="7" t="s">
        <v>3612</v>
      </c>
      <c r="E436" s="7" t="s">
        <v>3617</v>
      </c>
      <c r="F436" s="8" t="s">
        <v>3628</v>
      </c>
      <c r="H436" s="7" t="s">
        <v>3620</v>
      </c>
      <c r="I436" s="7" t="s">
        <v>3524</v>
      </c>
      <c r="L436" s="7" t="s">
        <v>8</v>
      </c>
      <c r="M436" s="7" t="s">
        <v>9</v>
      </c>
      <c r="N436" s="7" t="s">
        <v>10</v>
      </c>
      <c r="O436" s="7" t="s">
        <v>1247</v>
      </c>
      <c r="P436" s="7" t="s">
        <v>1215</v>
      </c>
      <c r="Q436" s="7" t="s">
        <v>1318</v>
      </c>
      <c r="R436" t="s">
        <v>3633</v>
      </c>
    </row>
    <row r="437" spans="1:18" x14ac:dyDescent="0.3">
      <c r="A437" s="7" t="str">
        <f>HYPERLINK("https://hsdes.intel.com/resource/14013159601","14013159601")</f>
        <v>14013159601</v>
      </c>
      <c r="B437" s="7" t="s">
        <v>1319</v>
      </c>
      <c r="C437" s="7" t="s">
        <v>7</v>
      </c>
      <c r="D437" s="7" t="s">
        <v>3612</v>
      </c>
      <c r="E437" s="7" t="s">
        <v>3617</v>
      </c>
      <c r="F437" s="8" t="s">
        <v>3628</v>
      </c>
      <c r="H437" s="7" t="s">
        <v>3620</v>
      </c>
      <c r="I437" s="7" t="s">
        <v>3524</v>
      </c>
      <c r="L437" s="7" t="s">
        <v>8</v>
      </c>
      <c r="M437" s="7" t="s">
        <v>9</v>
      </c>
      <c r="N437" s="7" t="s">
        <v>738</v>
      </c>
      <c r="O437" s="7" t="s">
        <v>1320</v>
      </c>
      <c r="P437" s="7" t="s">
        <v>1218</v>
      </c>
      <c r="Q437" s="7" t="s">
        <v>1321</v>
      </c>
      <c r="R437" t="s">
        <v>3631</v>
      </c>
    </row>
    <row r="438" spans="1:18" x14ac:dyDescent="0.3">
      <c r="A438" s="7" t="str">
        <f>HYPERLINK("https://hsdes.intel.com/resource/14013159637","14013159637")</f>
        <v>14013159637</v>
      </c>
      <c r="B438" s="7" t="s">
        <v>1322</v>
      </c>
      <c r="C438" s="7" t="s">
        <v>7</v>
      </c>
      <c r="D438" s="7" t="s">
        <v>3613</v>
      </c>
      <c r="E438" s="7" t="s">
        <v>3617</v>
      </c>
      <c r="F438" s="8" t="s">
        <v>3628</v>
      </c>
      <c r="H438" s="7" t="s">
        <v>3620</v>
      </c>
      <c r="I438" s="7" t="s">
        <v>3524</v>
      </c>
      <c r="L438" s="7" t="s">
        <v>8</v>
      </c>
      <c r="M438" s="7" t="s">
        <v>9</v>
      </c>
      <c r="N438" s="7" t="s">
        <v>10</v>
      </c>
      <c r="O438" s="7" t="s">
        <v>1323</v>
      </c>
      <c r="P438" s="7" t="s">
        <v>1324</v>
      </c>
      <c r="Q438" s="7" t="s">
        <v>1325</v>
      </c>
      <c r="R438" t="s">
        <v>3633</v>
      </c>
    </row>
    <row r="439" spans="1:18" x14ac:dyDescent="0.3">
      <c r="A439" s="7" t="str">
        <f>HYPERLINK("https://hsdes.intel.com/resource/14013159644","14013159644")</f>
        <v>14013159644</v>
      </c>
      <c r="B439" s="7" t="s">
        <v>1326</v>
      </c>
      <c r="C439" s="7" t="s">
        <v>7</v>
      </c>
      <c r="D439" s="7" t="s">
        <v>3612</v>
      </c>
      <c r="E439" s="7" t="s">
        <v>3617</v>
      </c>
      <c r="F439" s="8" t="s">
        <v>3628</v>
      </c>
      <c r="H439" s="7" t="s">
        <v>3620</v>
      </c>
      <c r="I439" s="7" t="s">
        <v>3524</v>
      </c>
      <c r="L439" s="7" t="s">
        <v>8</v>
      </c>
      <c r="M439" s="7" t="s">
        <v>9</v>
      </c>
      <c r="N439" s="7" t="s">
        <v>10</v>
      </c>
      <c r="O439" s="7" t="s">
        <v>1265</v>
      </c>
      <c r="P439" s="7" t="s">
        <v>1266</v>
      </c>
      <c r="Q439" s="7" t="s">
        <v>1327</v>
      </c>
      <c r="R439" t="s">
        <v>3633</v>
      </c>
    </row>
    <row r="440" spans="1:18" x14ac:dyDescent="0.3">
      <c r="A440" s="7" t="str">
        <f>HYPERLINK("https://hsdes.intel.com/resource/14013159645","14013159645")</f>
        <v>14013159645</v>
      </c>
      <c r="B440" s="7" t="s">
        <v>1328</v>
      </c>
      <c r="C440" s="7" t="s">
        <v>7</v>
      </c>
      <c r="D440" s="7" t="s">
        <v>3612</v>
      </c>
      <c r="E440" s="7" t="s">
        <v>3617</v>
      </c>
      <c r="F440" s="8" t="s">
        <v>3628</v>
      </c>
      <c r="H440" s="7" t="s">
        <v>3620</v>
      </c>
      <c r="I440" s="7" t="s">
        <v>3524</v>
      </c>
      <c r="L440" s="7" t="s">
        <v>8</v>
      </c>
      <c r="M440" s="7" t="s">
        <v>9</v>
      </c>
      <c r="N440" s="7" t="s">
        <v>10</v>
      </c>
      <c r="O440" s="7" t="s">
        <v>1296</v>
      </c>
      <c r="P440" s="7" t="s">
        <v>1297</v>
      </c>
      <c r="Q440" s="7" t="s">
        <v>1329</v>
      </c>
      <c r="R440" t="s">
        <v>3633</v>
      </c>
    </row>
    <row r="441" spans="1:18" x14ac:dyDescent="0.3">
      <c r="A441" s="7" t="str">
        <f>HYPERLINK("https://hsdes.intel.com/resource/14013159647","14013159647")</f>
        <v>14013159647</v>
      </c>
      <c r="B441" s="7" t="s">
        <v>1330</v>
      </c>
      <c r="C441" s="7" t="s">
        <v>7</v>
      </c>
      <c r="D441" s="7" t="s">
        <v>3612</v>
      </c>
      <c r="E441" s="7" t="s">
        <v>3617</v>
      </c>
      <c r="F441" s="8" t="s">
        <v>3628</v>
      </c>
      <c r="H441" s="7" t="s">
        <v>3620</v>
      </c>
      <c r="I441" s="7" t="s">
        <v>3524</v>
      </c>
      <c r="L441" s="7" t="s">
        <v>8</v>
      </c>
      <c r="M441" s="7" t="s">
        <v>94</v>
      </c>
      <c r="N441" s="7" t="s">
        <v>738</v>
      </c>
      <c r="O441" s="7" t="s">
        <v>1331</v>
      </c>
      <c r="P441" s="7" t="s">
        <v>1332</v>
      </c>
      <c r="Q441" s="7" t="s">
        <v>1333</v>
      </c>
      <c r="R441" t="s">
        <v>3631</v>
      </c>
    </row>
    <row r="442" spans="1:18" x14ac:dyDescent="0.3">
      <c r="A442" s="7" t="str">
        <f>HYPERLINK("https://hsdes.intel.com/resource/14013159649","14013159649")</f>
        <v>14013159649</v>
      </c>
      <c r="B442" s="7" t="s">
        <v>1334</v>
      </c>
      <c r="C442" s="7" t="s">
        <v>7</v>
      </c>
      <c r="D442" s="7" t="s">
        <v>3612</v>
      </c>
      <c r="E442" s="7" t="s">
        <v>3617</v>
      </c>
      <c r="F442" s="8" t="s">
        <v>3628</v>
      </c>
      <c r="H442" s="7" t="s">
        <v>3620</v>
      </c>
      <c r="I442" s="7" t="s">
        <v>3524</v>
      </c>
      <c r="L442" s="7" t="s">
        <v>8</v>
      </c>
      <c r="M442" s="7" t="s">
        <v>9</v>
      </c>
      <c r="N442" s="7" t="s">
        <v>10</v>
      </c>
      <c r="O442" s="7" t="s">
        <v>1300</v>
      </c>
      <c r="P442" s="7" t="s">
        <v>1301</v>
      </c>
      <c r="Q442" s="7" t="s">
        <v>1335</v>
      </c>
      <c r="R442" t="s">
        <v>3633</v>
      </c>
    </row>
    <row r="443" spans="1:18" x14ac:dyDescent="0.3">
      <c r="A443" s="7" t="str">
        <f>HYPERLINK("https://hsdes.intel.com/resource/14013159652","14013159652")</f>
        <v>14013159652</v>
      </c>
      <c r="B443" s="7" t="s">
        <v>1336</v>
      </c>
      <c r="C443" s="7" t="s">
        <v>7</v>
      </c>
      <c r="D443" s="7" t="s">
        <v>3612</v>
      </c>
      <c r="E443" s="7" t="s">
        <v>3617</v>
      </c>
      <c r="F443" s="8" t="s">
        <v>3628</v>
      </c>
      <c r="H443" s="7" t="s">
        <v>3620</v>
      </c>
      <c r="I443" s="7" t="s">
        <v>3524</v>
      </c>
      <c r="L443" s="7" t="s">
        <v>8</v>
      </c>
      <c r="M443" s="7" t="s">
        <v>9</v>
      </c>
      <c r="N443" s="7" t="s">
        <v>10</v>
      </c>
      <c r="O443" s="7" t="s">
        <v>1247</v>
      </c>
      <c r="P443" s="7" t="s">
        <v>1215</v>
      </c>
      <c r="Q443" s="7" t="s">
        <v>1337</v>
      </c>
      <c r="R443" t="s">
        <v>3633</v>
      </c>
    </row>
    <row r="444" spans="1:18" x14ac:dyDescent="0.3">
      <c r="A444" s="7" t="str">
        <f>HYPERLINK("https://hsdes.intel.com/resource/14013159654","14013159654")</f>
        <v>14013159654</v>
      </c>
      <c r="B444" s="7" t="s">
        <v>1338</v>
      </c>
      <c r="C444" s="7" t="s">
        <v>7</v>
      </c>
      <c r="D444" s="7" t="s">
        <v>3612</v>
      </c>
      <c r="E444" s="7" t="s">
        <v>3617</v>
      </c>
      <c r="F444" s="8" t="s">
        <v>3628</v>
      </c>
      <c r="H444" s="7" t="s">
        <v>3620</v>
      </c>
      <c r="I444" s="7" t="s">
        <v>3524</v>
      </c>
      <c r="L444" s="7" t="s">
        <v>8</v>
      </c>
      <c r="M444" s="7" t="s">
        <v>9</v>
      </c>
      <c r="N444" s="7" t="s">
        <v>10</v>
      </c>
      <c r="O444" s="7" t="s">
        <v>1339</v>
      </c>
      <c r="P444" s="7" t="s">
        <v>1301</v>
      </c>
      <c r="Q444" s="7" t="s">
        <v>1340</v>
      </c>
      <c r="R444" t="s">
        <v>3633</v>
      </c>
    </row>
    <row r="445" spans="1:18" x14ac:dyDescent="0.3">
      <c r="A445" s="7" t="str">
        <f>HYPERLINK("https://hsdes.intel.com/resource/14013159662","14013159662")</f>
        <v>14013159662</v>
      </c>
      <c r="B445" s="7" t="s">
        <v>1341</v>
      </c>
      <c r="C445" s="7" t="s">
        <v>7</v>
      </c>
      <c r="D445" s="7" t="s">
        <v>3612</v>
      </c>
      <c r="E445" s="7" t="s">
        <v>3617</v>
      </c>
      <c r="F445" s="8" t="s">
        <v>3628</v>
      </c>
      <c r="H445" s="7" t="s">
        <v>3620</v>
      </c>
      <c r="I445" s="7" t="s">
        <v>3524</v>
      </c>
      <c r="L445" s="7" t="s">
        <v>8</v>
      </c>
      <c r="M445" s="7" t="s">
        <v>9</v>
      </c>
      <c r="N445" s="7" t="s">
        <v>738</v>
      </c>
      <c r="O445" s="7" t="s">
        <v>1331</v>
      </c>
      <c r="P445" s="7" t="s">
        <v>1342</v>
      </c>
      <c r="Q445" s="7" t="s">
        <v>1343</v>
      </c>
      <c r="R445" t="s">
        <v>3631</v>
      </c>
    </row>
    <row r="446" spans="1:18" x14ac:dyDescent="0.3">
      <c r="A446" s="7" t="str">
        <f>HYPERLINK("https://hsdes.intel.com/resource/14013159664","14013159664")</f>
        <v>14013159664</v>
      </c>
      <c r="B446" s="7" t="s">
        <v>1344</v>
      </c>
      <c r="C446" s="7" t="s">
        <v>7</v>
      </c>
      <c r="D446" s="7" t="s">
        <v>3612</v>
      </c>
      <c r="E446" s="7" t="s">
        <v>3617</v>
      </c>
      <c r="F446" s="8" t="s">
        <v>3628</v>
      </c>
      <c r="H446" s="7" t="s">
        <v>3620</v>
      </c>
      <c r="I446" s="7" t="s">
        <v>3524</v>
      </c>
      <c r="L446" s="7" t="s">
        <v>8</v>
      </c>
      <c r="M446" s="7" t="s">
        <v>9</v>
      </c>
      <c r="N446" s="7" t="s">
        <v>10</v>
      </c>
      <c r="O446" s="7" t="s">
        <v>984</v>
      </c>
      <c r="P446" s="7" t="s">
        <v>1345</v>
      </c>
      <c r="Q446" s="7" t="s">
        <v>1346</v>
      </c>
      <c r="R446" t="s">
        <v>3633</v>
      </c>
    </row>
    <row r="447" spans="1:18" x14ac:dyDescent="0.3">
      <c r="A447" s="9" t="str">
        <f>HYPERLINK("https://hsdes.intel.com/resource/14013159682","14013159682")</f>
        <v>14013159682</v>
      </c>
      <c r="B447" s="7" t="s">
        <v>1347</v>
      </c>
      <c r="C447" s="7" t="s">
        <v>845</v>
      </c>
      <c r="D447" s="7" t="s">
        <v>3612</v>
      </c>
      <c r="E447" s="7" t="s">
        <v>3617</v>
      </c>
      <c r="F447" s="8" t="s">
        <v>3628</v>
      </c>
      <c r="H447" s="7" t="s">
        <v>3619</v>
      </c>
      <c r="I447" s="7" t="s">
        <v>3622</v>
      </c>
      <c r="L447" s="7" t="s">
        <v>142</v>
      </c>
      <c r="M447" s="7" t="s">
        <v>9</v>
      </c>
      <c r="N447" s="7" t="s">
        <v>56</v>
      </c>
      <c r="O447" s="7" t="s">
        <v>1348</v>
      </c>
      <c r="P447" s="7" t="s">
        <v>1348</v>
      </c>
      <c r="Q447" s="7" t="s">
        <v>1349</v>
      </c>
      <c r="R447" t="s">
        <v>3631</v>
      </c>
    </row>
    <row r="448" spans="1:18" x14ac:dyDescent="0.3">
      <c r="A448" s="7" t="str">
        <f>HYPERLINK("https://hsdes.intel.com/resource/14013159696","14013159696")</f>
        <v>14013159696</v>
      </c>
      <c r="B448" s="7" t="s">
        <v>1350</v>
      </c>
      <c r="C448" s="7" t="s">
        <v>7</v>
      </c>
      <c r="D448" s="7" t="s">
        <v>3612</v>
      </c>
      <c r="E448" s="7" t="s">
        <v>3617</v>
      </c>
      <c r="F448" s="8" t="s">
        <v>3628</v>
      </c>
      <c r="H448" s="7" t="s">
        <v>3620</v>
      </c>
      <c r="I448" s="7" t="s">
        <v>3524</v>
      </c>
      <c r="L448" s="7" t="s">
        <v>8</v>
      </c>
      <c r="M448" s="7" t="s">
        <v>9</v>
      </c>
      <c r="N448" s="7" t="s">
        <v>10</v>
      </c>
      <c r="O448" s="7" t="s">
        <v>817</v>
      </c>
      <c r="P448" s="7" t="s">
        <v>1073</v>
      </c>
      <c r="Q448" s="7" t="s">
        <v>1351</v>
      </c>
      <c r="R448" t="s">
        <v>3633</v>
      </c>
    </row>
    <row r="449" spans="1:18" x14ac:dyDescent="0.3">
      <c r="A449" s="7" t="str">
        <f>HYPERLINK("https://hsdes.intel.com/resource/14013159700","14013159700")</f>
        <v>14013159700</v>
      </c>
      <c r="B449" s="7" t="s">
        <v>1352</v>
      </c>
      <c r="C449" s="7" t="s">
        <v>7</v>
      </c>
      <c r="D449" s="7" t="s">
        <v>3612</v>
      </c>
      <c r="E449" s="7" t="s">
        <v>3617</v>
      </c>
      <c r="F449" s="8" t="s">
        <v>3628</v>
      </c>
      <c r="H449" s="7" t="s">
        <v>3620</v>
      </c>
      <c r="I449" s="7" t="s">
        <v>3524</v>
      </c>
      <c r="L449" s="7" t="s">
        <v>8</v>
      </c>
      <c r="M449" s="7" t="s">
        <v>9</v>
      </c>
      <c r="N449" s="7" t="s">
        <v>10</v>
      </c>
      <c r="O449" s="7" t="s">
        <v>817</v>
      </c>
      <c r="P449" s="7" t="s">
        <v>1073</v>
      </c>
      <c r="Q449" s="7" t="s">
        <v>1353</v>
      </c>
      <c r="R449" t="s">
        <v>3633</v>
      </c>
    </row>
    <row r="450" spans="1:18" x14ac:dyDescent="0.3">
      <c r="A450" s="7" t="str">
        <f>HYPERLINK("https://hsdes.intel.com/resource/14013159702","14013159702")</f>
        <v>14013159702</v>
      </c>
      <c r="B450" s="7" t="s">
        <v>1354</v>
      </c>
      <c r="C450" s="7" t="s">
        <v>7</v>
      </c>
      <c r="D450" s="7" t="s">
        <v>3612</v>
      </c>
      <c r="E450" s="7" t="s">
        <v>3617</v>
      </c>
      <c r="F450" s="8" t="s">
        <v>3628</v>
      </c>
      <c r="H450" s="7" t="s">
        <v>3620</v>
      </c>
      <c r="I450" s="7" t="s">
        <v>3524</v>
      </c>
      <c r="L450" s="7" t="s">
        <v>8</v>
      </c>
      <c r="M450" s="7" t="s">
        <v>9</v>
      </c>
      <c r="N450" s="7" t="s">
        <v>10</v>
      </c>
      <c r="O450" s="7" t="s">
        <v>1099</v>
      </c>
      <c r="P450" s="7" t="s">
        <v>1073</v>
      </c>
      <c r="Q450" s="7" t="s">
        <v>1355</v>
      </c>
      <c r="R450" t="s">
        <v>3633</v>
      </c>
    </row>
    <row r="451" spans="1:18" x14ac:dyDescent="0.3">
      <c r="A451" s="7" t="str">
        <f>HYPERLINK("https://hsdes.intel.com/resource/14013159709","14013159709")</f>
        <v>14013159709</v>
      </c>
      <c r="B451" s="7" t="s">
        <v>1356</v>
      </c>
      <c r="C451" s="7" t="s">
        <v>7</v>
      </c>
      <c r="D451" s="7" t="s">
        <v>3612</v>
      </c>
      <c r="E451" s="7" t="s">
        <v>3617</v>
      </c>
      <c r="F451" s="8" t="s">
        <v>3628</v>
      </c>
      <c r="H451" s="7" t="s">
        <v>3620</v>
      </c>
      <c r="I451" s="7" t="s">
        <v>3524</v>
      </c>
      <c r="L451" s="7" t="s">
        <v>8</v>
      </c>
      <c r="M451" s="7" t="s">
        <v>9</v>
      </c>
      <c r="N451" s="7" t="s">
        <v>10</v>
      </c>
      <c r="O451" s="7" t="s">
        <v>817</v>
      </c>
      <c r="P451" s="7" t="s">
        <v>1161</v>
      </c>
      <c r="Q451" s="7" t="s">
        <v>1357</v>
      </c>
      <c r="R451" t="s">
        <v>3633</v>
      </c>
    </row>
    <row r="452" spans="1:18" x14ac:dyDescent="0.3">
      <c r="A452" s="7" t="str">
        <f>HYPERLINK("https://hsdes.intel.com/resource/14013159714","14013159714")</f>
        <v>14013159714</v>
      </c>
      <c r="B452" s="7" t="s">
        <v>1358</v>
      </c>
      <c r="C452" s="7" t="s">
        <v>7</v>
      </c>
      <c r="D452" s="7" t="s">
        <v>3612</v>
      </c>
      <c r="E452" s="7" t="s">
        <v>3617</v>
      </c>
      <c r="F452" s="8" t="s">
        <v>3628</v>
      </c>
      <c r="H452" s="7" t="s">
        <v>3620</v>
      </c>
      <c r="I452" s="7" t="s">
        <v>3524</v>
      </c>
      <c r="L452" s="7" t="s">
        <v>8</v>
      </c>
      <c r="M452" s="7" t="s">
        <v>94</v>
      </c>
      <c r="N452" s="7" t="s">
        <v>10</v>
      </c>
      <c r="O452" s="7" t="s">
        <v>1359</v>
      </c>
      <c r="P452" s="7" t="s">
        <v>1073</v>
      </c>
      <c r="Q452" s="7" t="s">
        <v>1360</v>
      </c>
      <c r="R452" t="s">
        <v>3633</v>
      </c>
    </row>
    <row r="453" spans="1:18" x14ac:dyDescent="0.3">
      <c r="A453" s="7" t="str">
        <f>HYPERLINK("https://hsdes.intel.com/resource/14013159726","14013159726")</f>
        <v>14013159726</v>
      </c>
      <c r="B453" s="7" t="s">
        <v>1361</v>
      </c>
      <c r="C453" s="7" t="s">
        <v>845</v>
      </c>
      <c r="D453" s="7" t="s">
        <v>3612</v>
      </c>
      <c r="E453" s="7" t="s">
        <v>3617</v>
      </c>
      <c r="F453" s="8" t="s">
        <v>3628</v>
      </c>
      <c r="H453" s="7" t="s">
        <v>3619</v>
      </c>
      <c r="I453" s="7" t="s">
        <v>3622</v>
      </c>
      <c r="L453" s="7" t="s">
        <v>142</v>
      </c>
      <c r="M453" s="7" t="s">
        <v>9</v>
      </c>
      <c r="N453" s="7" t="s">
        <v>56</v>
      </c>
      <c r="O453" s="7" t="s">
        <v>1362</v>
      </c>
      <c r="P453" s="7" t="s">
        <v>1362</v>
      </c>
      <c r="Q453" s="7" t="s">
        <v>1363</v>
      </c>
      <c r="R453" t="s">
        <v>3632</v>
      </c>
    </row>
    <row r="454" spans="1:18" x14ac:dyDescent="0.3">
      <c r="A454" s="7" t="str">
        <f>HYPERLINK("https://hsdes.intel.com/resource/14013159812","14013159812")</f>
        <v>14013159812</v>
      </c>
      <c r="B454" s="7" t="s">
        <v>1364</v>
      </c>
      <c r="C454" s="7" t="s">
        <v>212</v>
      </c>
      <c r="D454" s="7" t="s">
        <v>3612</v>
      </c>
      <c r="E454" s="7" t="s">
        <v>3617</v>
      </c>
      <c r="F454" s="8" t="s">
        <v>3628</v>
      </c>
      <c r="H454" s="7" t="s">
        <v>3620</v>
      </c>
      <c r="I454" s="7" t="s">
        <v>3654</v>
      </c>
      <c r="J454" s="7" t="s">
        <v>3526</v>
      </c>
      <c r="L454" s="7" t="s">
        <v>24</v>
      </c>
      <c r="M454" s="7" t="s">
        <v>9</v>
      </c>
      <c r="N454" s="7" t="s">
        <v>39</v>
      </c>
      <c r="O454" s="7" t="s">
        <v>1365</v>
      </c>
      <c r="P454" s="7" t="s">
        <v>1366</v>
      </c>
      <c r="Q454" s="7" t="s">
        <v>1367</v>
      </c>
      <c r="R454" t="s">
        <v>3633</v>
      </c>
    </row>
    <row r="455" spans="1:18" x14ac:dyDescent="0.3">
      <c r="A455" s="7" t="str">
        <f>HYPERLINK("https://hsdes.intel.com/resource/14013159844","14013159844")</f>
        <v>14013159844</v>
      </c>
      <c r="B455" s="7" t="s">
        <v>1368</v>
      </c>
      <c r="C455" s="7" t="s">
        <v>55</v>
      </c>
      <c r="D455" s="7" t="s">
        <v>3612</v>
      </c>
      <c r="E455" s="7" t="s">
        <v>3617</v>
      </c>
      <c r="F455" s="8" t="s">
        <v>3628</v>
      </c>
      <c r="H455" s="7" t="s">
        <v>3619</v>
      </c>
      <c r="I455" s="7" t="s">
        <v>3622</v>
      </c>
      <c r="L455" s="7" t="s">
        <v>30</v>
      </c>
      <c r="M455" s="7" t="s">
        <v>9</v>
      </c>
      <c r="N455" s="7" t="s">
        <v>39</v>
      </c>
      <c r="O455" s="7" t="s">
        <v>1369</v>
      </c>
      <c r="P455" s="7" t="s">
        <v>1370</v>
      </c>
      <c r="Q455" s="7" t="s">
        <v>1371</v>
      </c>
      <c r="R455" t="s">
        <v>3631</v>
      </c>
    </row>
    <row r="456" spans="1:18" x14ac:dyDescent="0.3">
      <c r="A456" s="7" t="str">
        <f>HYPERLINK("https://hsdes.intel.com/resource/14013159852","14013159852")</f>
        <v>14013159852</v>
      </c>
      <c r="B456" s="7" t="s">
        <v>1372</v>
      </c>
      <c r="C456" s="7" t="s">
        <v>55</v>
      </c>
      <c r="D456" s="7" t="s">
        <v>3612</v>
      </c>
      <c r="E456" s="7" t="s">
        <v>3617</v>
      </c>
      <c r="F456" s="8" t="s">
        <v>3628</v>
      </c>
      <c r="H456" s="7" t="s">
        <v>3620</v>
      </c>
      <c r="I456" s="7" t="s">
        <v>3622</v>
      </c>
      <c r="L456" s="7" t="s">
        <v>30</v>
      </c>
      <c r="M456" s="7" t="s">
        <v>9</v>
      </c>
      <c r="N456" s="7" t="s">
        <v>25</v>
      </c>
      <c r="O456" s="7" t="s">
        <v>1373</v>
      </c>
      <c r="P456" s="7" t="s">
        <v>1374</v>
      </c>
      <c r="Q456" s="7" t="s">
        <v>1375</v>
      </c>
      <c r="R456" t="s">
        <v>3632</v>
      </c>
    </row>
    <row r="457" spans="1:18" x14ac:dyDescent="0.3">
      <c r="A457" s="7" t="str">
        <f>HYPERLINK("https://hsdes.intel.com/resource/14013159858","14013159858")</f>
        <v>14013159858</v>
      </c>
      <c r="B457" s="7" t="s">
        <v>1376</v>
      </c>
      <c r="C457" s="7" t="s">
        <v>7</v>
      </c>
      <c r="D457" s="7" t="s">
        <v>3612</v>
      </c>
      <c r="E457" s="7" t="s">
        <v>3617</v>
      </c>
      <c r="F457" s="8" t="s">
        <v>3628</v>
      </c>
      <c r="H457" s="7" t="s">
        <v>3619</v>
      </c>
      <c r="I457" s="7" t="s">
        <v>3524</v>
      </c>
      <c r="L457" s="7" t="s">
        <v>8</v>
      </c>
      <c r="M457" s="7" t="s">
        <v>9</v>
      </c>
      <c r="N457" s="7" t="s">
        <v>738</v>
      </c>
      <c r="O457" s="7" t="s">
        <v>1096</v>
      </c>
      <c r="P457" s="7" t="s">
        <v>792</v>
      </c>
      <c r="Q457" s="7" t="s">
        <v>1377</v>
      </c>
      <c r="R457" t="s">
        <v>3632</v>
      </c>
    </row>
    <row r="458" spans="1:18" x14ac:dyDescent="0.3">
      <c r="A458" s="7" t="str">
        <f>HYPERLINK("https://hsdes.intel.com/resource/14013159862","14013159862")</f>
        <v>14013159862</v>
      </c>
      <c r="B458" s="7" t="s">
        <v>1378</v>
      </c>
      <c r="C458" s="7" t="s">
        <v>7</v>
      </c>
      <c r="D458" s="7" t="s">
        <v>3612</v>
      </c>
      <c r="E458" s="7" t="s">
        <v>3617</v>
      </c>
      <c r="F458" s="8" t="s">
        <v>3628</v>
      </c>
      <c r="H458" s="7" t="s">
        <v>3619</v>
      </c>
      <c r="I458" s="7" t="s">
        <v>3524</v>
      </c>
      <c r="L458" s="7" t="s">
        <v>8</v>
      </c>
      <c r="M458" s="7" t="s">
        <v>9</v>
      </c>
      <c r="N458" s="7" t="s">
        <v>738</v>
      </c>
      <c r="O458" s="7" t="s">
        <v>1096</v>
      </c>
      <c r="P458" s="7" t="s">
        <v>1379</v>
      </c>
      <c r="Q458" s="7" t="s">
        <v>1380</v>
      </c>
      <c r="R458" t="s">
        <v>3632</v>
      </c>
    </row>
    <row r="459" spans="1:18" x14ac:dyDescent="0.3">
      <c r="A459" s="7" t="str">
        <f>HYPERLINK("https://hsdes.intel.com/resource/14013159864","14013159864")</f>
        <v>14013159864</v>
      </c>
      <c r="B459" s="7" t="s">
        <v>1381</v>
      </c>
      <c r="C459" s="7" t="s">
        <v>7</v>
      </c>
      <c r="D459" s="7" t="s">
        <v>3612</v>
      </c>
      <c r="E459" s="7" t="s">
        <v>3617</v>
      </c>
      <c r="F459" s="8" t="s">
        <v>3628</v>
      </c>
      <c r="H459" s="7" t="s">
        <v>3619</v>
      </c>
      <c r="I459" s="7" t="s">
        <v>3524</v>
      </c>
      <c r="L459" s="7" t="s">
        <v>8</v>
      </c>
      <c r="M459" s="7" t="s">
        <v>9</v>
      </c>
      <c r="N459" s="7" t="s">
        <v>10</v>
      </c>
      <c r="O459" s="7" t="s">
        <v>1144</v>
      </c>
      <c r="P459" s="7" t="s">
        <v>1382</v>
      </c>
      <c r="Q459" s="7" t="s">
        <v>1383</v>
      </c>
      <c r="R459" t="s">
        <v>3633</v>
      </c>
    </row>
    <row r="460" spans="1:18" x14ac:dyDescent="0.3">
      <c r="A460" s="7" t="str">
        <f>HYPERLINK("https://hsdes.intel.com/resource/14013159868","14013159868")</f>
        <v>14013159868</v>
      </c>
      <c r="B460" s="7" t="s">
        <v>1384</v>
      </c>
      <c r="C460" s="7" t="s">
        <v>7</v>
      </c>
      <c r="D460" s="7" t="s">
        <v>3612</v>
      </c>
      <c r="E460" s="7" t="s">
        <v>3617</v>
      </c>
      <c r="F460" s="8" t="s">
        <v>3628</v>
      </c>
      <c r="H460" s="7" t="s">
        <v>3619</v>
      </c>
      <c r="I460" s="7" t="s">
        <v>3524</v>
      </c>
      <c r="L460" s="7" t="s">
        <v>8</v>
      </c>
      <c r="M460" s="7" t="s">
        <v>9</v>
      </c>
      <c r="N460" s="7" t="s">
        <v>1079</v>
      </c>
      <c r="O460" s="7" t="s">
        <v>1096</v>
      </c>
      <c r="P460" s="7" t="s">
        <v>1385</v>
      </c>
      <c r="Q460" s="7" t="s">
        <v>1386</v>
      </c>
      <c r="R460" t="s">
        <v>3632</v>
      </c>
    </row>
    <row r="461" spans="1:18" x14ac:dyDescent="0.3">
      <c r="A461" s="7" t="str">
        <f>HYPERLINK("https://hsdes.intel.com/resource/14013159870","14013159870")</f>
        <v>14013159870</v>
      </c>
      <c r="B461" s="7" t="s">
        <v>1387</v>
      </c>
      <c r="C461" s="7" t="s">
        <v>7</v>
      </c>
      <c r="D461" s="7" t="s">
        <v>3612</v>
      </c>
      <c r="E461" s="7" t="s">
        <v>3617</v>
      </c>
      <c r="F461" s="8" t="s">
        <v>3628</v>
      </c>
      <c r="H461" s="7" t="s">
        <v>3619</v>
      </c>
      <c r="I461" s="7" t="s">
        <v>3524</v>
      </c>
      <c r="L461" s="7" t="s">
        <v>8</v>
      </c>
      <c r="M461" s="7" t="s">
        <v>9</v>
      </c>
      <c r="N461" s="7" t="s">
        <v>10</v>
      </c>
      <c r="O461" s="7" t="s">
        <v>1144</v>
      </c>
      <c r="P461" s="7" t="s">
        <v>1388</v>
      </c>
      <c r="Q461" s="7" t="s">
        <v>1389</v>
      </c>
      <c r="R461" t="s">
        <v>3633</v>
      </c>
    </row>
    <row r="462" spans="1:18" x14ac:dyDescent="0.3">
      <c r="A462" s="7" t="str">
        <f>HYPERLINK("https://hsdes.intel.com/resource/14013159872","14013159872")</f>
        <v>14013159872</v>
      </c>
      <c r="B462" s="7" t="s">
        <v>1390</v>
      </c>
      <c r="C462" s="7" t="s">
        <v>7</v>
      </c>
      <c r="D462" s="7" t="s">
        <v>3612</v>
      </c>
      <c r="E462" s="7" t="s">
        <v>3617</v>
      </c>
      <c r="F462" s="8" t="s">
        <v>3628</v>
      </c>
      <c r="H462" s="7" t="s">
        <v>3619</v>
      </c>
      <c r="I462" s="7" t="s">
        <v>3524</v>
      </c>
      <c r="L462" s="7" t="s">
        <v>8</v>
      </c>
      <c r="M462" s="7" t="s">
        <v>9</v>
      </c>
      <c r="N462" s="7" t="s">
        <v>1391</v>
      </c>
      <c r="O462" s="7" t="s">
        <v>1132</v>
      </c>
      <c r="P462" s="7" t="s">
        <v>1392</v>
      </c>
      <c r="Q462" s="7" t="s">
        <v>1393</v>
      </c>
      <c r="R462" t="s">
        <v>3632</v>
      </c>
    </row>
    <row r="463" spans="1:18" x14ac:dyDescent="0.3">
      <c r="A463" s="7" t="str">
        <f>HYPERLINK("https://hsdes.intel.com/resource/14013159874","14013159874")</f>
        <v>14013159874</v>
      </c>
      <c r="B463" s="7" t="s">
        <v>1394</v>
      </c>
      <c r="C463" s="7" t="s">
        <v>7</v>
      </c>
      <c r="D463" s="7" t="s">
        <v>3612</v>
      </c>
      <c r="E463" s="7" t="s">
        <v>3617</v>
      </c>
      <c r="F463" s="8" t="s">
        <v>3628</v>
      </c>
      <c r="H463" s="7" t="s">
        <v>3619</v>
      </c>
      <c r="I463" s="7" t="s">
        <v>3524</v>
      </c>
      <c r="L463" s="7" t="s">
        <v>8</v>
      </c>
      <c r="M463" s="7" t="s">
        <v>9</v>
      </c>
      <c r="N463" s="7" t="s">
        <v>10</v>
      </c>
      <c r="O463" s="7" t="s">
        <v>1144</v>
      </c>
      <c r="P463" s="7" t="s">
        <v>1392</v>
      </c>
      <c r="Q463" s="7" t="s">
        <v>1395</v>
      </c>
      <c r="R463" t="s">
        <v>3631</v>
      </c>
    </row>
    <row r="464" spans="1:18" x14ac:dyDescent="0.3">
      <c r="A464" s="7" t="str">
        <f>HYPERLINK("https://hsdes.intel.com/resource/14013159876","14013159876")</f>
        <v>14013159876</v>
      </c>
      <c r="B464" s="7" t="s">
        <v>1396</v>
      </c>
      <c r="C464" s="7" t="s">
        <v>7</v>
      </c>
      <c r="D464" s="7" t="s">
        <v>3612</v>
      </c>
      <c r="E464" s="7" t="s">
        <v>3617</v>
      </c>
      <c r="F464" s="8" t="s">
        <v>3628</v>
      </c>
      <c r="H464" s="7" t="s">
        <v>3619</v>
      </c>
      <c r="I464" s="7" t="s">
        <v>3524</v>
      </c>
      <c r="L464" s="7" t="s">
        <v>8</v>
      </c>
      <c r="M464" s="7" t="s">
        <v>9</v>
      </c>
      <c r="N464" s="7" t="s">
        <v>10</v>
      </c>
      <c r="O464" s="7" t="s">
        <v>1144</v>
      </c>
      <c r="P464" s="7" t="s">
        <v>1397</v>
      </c>
      <c r="Q464" s="7" t="s">
        <v>1398</v>
      </c>
      <c r="R464" t="s">
        <v>3633</v>
      </c>
    </row>
    <row r="465" spans="1:20" x14ac:dyDescent="0.3">
      <c r="A465" s="7" t="str">
        <f>HYPERLINK("https://hsdes.intel.com/resource/14013159881","14013159881")</f>
        <v>14013159881</v>
      </c>
      <c r="B465" s="7" t="s">
        <v>1399</v>
      </c>
      <c r="C465" s="7" t="s">
        <v>7</v>
      </c>
      <c r="D465" s="7" t="s">
        <v>3612</v>
      </c>
      <c r="E465" s="7" t="s">
        <v>3617</v>
      </c>
      <c r="F465" s="8" t="s">
        <v>3628</v>
      </c>
      <c r="H465" s="7" t="s">
        <v>3619</v>
      </c>
      <c r="I465" s="7" t="s">
        <v>3524</v>
      </c>
      <c r="L465" s="7" t="s">
        <v>8</v>
      </c>
      <c r="M465" s="7" t="s">
        <v>94</v>
      </c>
      <c r="N465" s="7" t="s">
        <v>1391</v>
      </c>
      <c r="O465" s="7" t="s">
        <v>1359</v>
      </c>
      <c r="P465" s="7" t="s">
        <v>1073</v>
      </c>
      <c r="Q465" s="7" t="s">
        <v>1400</v>
      </c>
      <c r="R465" t="s">
        <v>3633</v>
      </c>
    </row>
    <row r="466" spans="1:20" x14ac:dyDescent="0.3">
      <c r="A466" s="7" t="str">
        <f>HYPERLINK("https://hsdes.intel.com/resource/14013159884","14013159884")</f>
        <v>14013159884</v>
      </c>
      <c r="B466" s="7" t="s">
        <v>1401</v>
      </c>
      <c r="C466" s="7" t="s">
        <v>7</v>
      </c>
      <c r="D466" s="7" t="s">
        <v>3612</v>
      </c>
      <c r="E466" s="7" t="s">
        <v>3617</v>
      </c>
      <c r="F466" s="8" t="s">
        <v>3628</v>
      </c>
      <c r="H466" s="7" t="s">
        <v>3619</v>
      </c>
      <c r="I466" s="7" t="s">
        <v>3524</v>
      </c>
      <c r="L466" s="7" t="s">
        <v>8</v>
      </c>
      <c r="M466" s="7" t="s">
        <v>94</v>
      </c>
      <c r="N466" s="7" t="s">
        <v>1391</v>
      </c>
      <c r="O466" s="7" t="s">
        <v>1359</v>
      </c>
      <c r="P466" s="7" t="s">
        <v>1073</v>
      </c>
      <c r="Q466" s="7" t="s">
        <v>1402</v>
      </c>
      <c r="R466" t="s">
        <v>3633</v>
      </c>
    </row>
    <row r="467" spans="1:20" x14ac:dyDescent="0.3">
      <c r="A467" s="7" t="str">
        <f>HYPERLINK("https://hsdes.intel.com/resource/14013159887","14013159887")</f>
        <v>14013159887</v>
      </c>
      <c r="B467" s="7" t="s">
        <v>1403</v>
      </c>
      <c r="C467" s="7" t="s">
        <v>7</v>
      </c>
      <c r="D467" s="7" t="s">
        <v>3612</v>
      </c>
      <c r="E467" s="7" t="s">
        <v>3617</v>
      </c>
      <c r="F467" s="8" t="s">
        <v>3628</v>
      </c>
      <c r="H467" s="7" t="s">
        <v>3619</v>
      </c>
      <c r="I467" s="7" t="s">
        <v>3524</v>
      </c>
      <c r="L467" s="7" t="s">
        <v>8</v>
      </c>
      <c r="M467" s="7" t="s">
        <v>9</v>
      </c>
      <c r="N467" s="7" t="s">
        <v>10</v>
      </c>
      <c r="O467" s="7" t="s">
        <v>1404</v>
      </c>
      <c r="P467" s="7" t="s">
        <v>1405</v>
      </c>
      <c r="Q467" s="7" t="s">
        <v>1406</v>
      </c>
      <c r="R467" t="s">
        <v>3633</v>
      </c>
    </row>
    <row r="468" spans="1:20" x14ac:dyDescent="0.3">
      <c r="A468" s="7" t="str">
        <f>HYPERLINK("https://hsdes.intel.com/resource/14013159889","14013159889")</f>
        <v>14013159889</v>
      </c>
      <c r="B468" s="7" t="s">
        <v>1407</v>
      </c>
      <c r="C468" s="7" t="s">
        <v>7</v>
      </c>
      <c r="D468" s="7" t="s">
        <v>3612</v>
      </c>
      <c r="E468" s="7" t="s">
        <v>3617</v>
      </c>
      <c r="F468" s="8" t="s">
        <v>3628</v>
      </c>
      <c r="H468" s="7" t="s">
        <v>3620</v>
      </c>
      <c r="I468" s="7" t="s">
        <v>3654</v>
      </c>
      <c r="J468" s="7" t="s">
        <v>3526</v>
      </c>
      <c r="L468" s="7" t="s">
        <v>8</v>
      </c>
      <c r="M468" s="7" t="s">
        <v>9</v>
      </c>
      <c r="N468" s="7" t="s">
        <v>10</v>
      </c>
      <c r="O468" s="7" t="s">
        <v>1408</v>
      </c>
      <c r="P468" s="7" t="s">
        <v>1409</v>
      </c>
      <c r="Q468" s="7" t="s">
        <v>1410</v>
      </c>
      <c r="R468" t="s">
        <v>3633</v>
      </c>
    </row>
    <row r="469" spans="1:20" x14ac:dyDescent="0.3">
      <c r="A469" s="7" t="str">
        <f>HYPERLINK("https://hsdes.intel.com/resource/14013159897","14013159897")</f>
        <v>14013159897</v>
      </c>
      <c r="B469" s="7" t="s">
        <v>1411</v>
      </c>
      <c r="C469" s="7" t="s">
        <v>7</v>
      </c>
      <c r="D469" s="7" t="s">
        <v>3612</v>
      </c>
      <c r="E469" s="7" t="s">
        <v>3617</v>
      </c>
      <c r="F469" s="8" t="s">
        <v>3628</v>
      </c>
      <c r="H469" s="7" t="s">
        <v>3620</v>
      </c>
      <c r="I469" s="7" t="s">
        <v>3524</v>
      </c>
      <c r="L469" s="7" t="s">
        <v>8</v>
      </c>
      <c r="M469" s="7" t="s">
        <v>9</v>
      </c>
      <c r="N469" s="7" t="s">
        <v>1391</v>
      </c>
      <c r="O469" s="7" t="s">
        <v>1412</v>
      </c>
      <c r="P469" s="7" t="s">
        <v>1081</v>
      </c>
      <c r="Q469" s="7" t="s">
        <v>1413</v>
      </c>
      <c r="R469" t="s">
        <v>3633</v>
      </c>
    </row>
    <row r="470" spans="1:20" x14ac:dyDescent="0.3">
      <c r="A470" s="7" t="str">
        <f>HYPERLINK("https://hsdes.intel.com/resource/14013159899","14013159899")</f>
        <v>14013159899</v>
      </c>
      <c r="B470" s="7" t="s">
        <v>1414</v>
      </c>
      <c r="C470" s="7" t="s">
        <v>7</v>
      </c>
      <c r="D470" s="7" t="s">
        <v>3612</v>
      </c>
      <c r="E470" s="7" t="s">
        <v>3617</v>
      </c>
      <c r="F470" s="8" t="s">
        <v>3628</v>
      </c>
      <c r="H470" s="7" t="s">
        <v>3620</v>
      </c>
      <c r="I470" s="7" t="s">
        <v>3654</v>
      </c>
      <c r="J470" s="7" t="s">
        <v>3526</v>
      </c>
      <c r="L470" s="7" t="s">
        <v>8</v>
      </c>
      <c r="M470" s="7" t="s">
        <v>9</v>
      </c>
      <c r="N470" s="7" t="s">
        <v>10</v>
      </c>
      <c r="O470" s="7" t="s">
        <v>998</v>
      </c>
      <c r="P470" s="7" t="s">
        <v>1415</v>
      </c>
      <c r="Q470" s="7" t="s">
        <v>1416</v>
      </c>
      <c r="R470" t="s">
        <v>3633</v>
      </c>
    </row>
    <row r="471" spans="1:20" x14ac:dyDescent="0.3">
      <c r="A471" s="7" t="str">
        <f>HYPERLINK("https://hsdes.intel.com/resource/14013159904","14013159904")</f>
        <v>14013159904</v>
      </c>
      <c r="B471" s="24" t="s">
        <v>1417</v>
      </c>
      <c r="C471" s="7" t="s">
        <v>7</v>
      </c>
      <c r="D471" s="7" t="s">
        <v>3612</v>
      </c>
      <c r="E471" s="7" t="s">
        <v>3617</v>
      </c>
      <c r="F471" s="8" t="s">
        <v>3628</v>
      </c>
      <c r="H471" s="7" t="s">
        <v>3619</v>
      </c>
      <c r="I471" s="7" t="s">
        <v>3645</v>
      </c>
      <c r="L471" s="7" t="s">
        <v>8</v>
      </c>
      <c r="M471" s="7" t="s">
        <v>9</v>
      </c>
      <c r="N471" s="7" t="s">
        <v>738</v>
      </c>
      <c r="O471" s="7" t="s">
        <v>1096</v>
      </c>
      <c r="P471" s="7" t="s">
        <v>1418</v>
      </c>
      <c r="Q471" s="7" t="s">
        <v>1419</v>
      </c>
      <c r="R471" t="s">
        <v>3632</v>
      </c>
      <c r="T471" s="22">
        <v>44820</v>
      </c>
    </row>
    <row r="472" spans="1:20" x14ac:dyDescent="0.3">
      <c r="A472" s="7" t="str">
        <f>HYPERLINK("https://hsdes.intel.com/resource/14013159907","14013159907")</f>
        <v>14013159907</v>
      </c>
      <c r="B472" s="7" t="s">
        <v>1420</v>
      </c>
      <c r="C472" s="7" t="s">
        <v>7</v>
      </c>
      <c r="D472" s="7" t="s">
        <v>3612</v>
      </c>
      <c r="E472" s="7" t="s">
        <v>3617</v>
      </c>
      <c r="F472" s="8" t="s">
        <v>3628</v>
      </c>
      <c r="H472" s="7" t="s">
        <v>3619</v>
      </c>
      <c r="I472" s="7" t="s">
        <v>3645</v>
      </c>
      <c r="L472" s="7" t="s">
        <v>8</v>
      </c>
      <c r="M472" s="7" t="s">
        <v>9</v>
      </c>
      <c r="N472" s="7" t="s">
        <v>738</v>
      </c>
      <c r="O472" s="7" t="s">
        <v>1096</v>
      </c>
      <c r="P472" s="7" t="s">
        <v>1421</v>
      </c>
      <c r="Q472" s="7" t="s">
        <v>1422</v>
      </c>
      <c r="R472" t="s">
        <v>3632</v>
      </c>
      <c r="T472" s="22">
        <v>44820</v>
      </c>
    </row>
    <row r="473" spans="1:20" x14ac:dyDescent="0.3">
      <c r="A473" s="7" t="str">
        <f>HYPERLINK("https://hsdes.intel.com/resource/14013159909","14013159909")</f>
        <v>14013159909</v>
      </c>
      <c r="B473" s="7" t="s">
        <v>1423</v>
      </c>
      <c r="C473" s="7" t="s">
        <v>7</v>
      </c>
      <c r="D473" s="7" t="s">
        <v>3612</v>
      </c>
      <c r="E473" s="7" t="s">
        <v>3617</v>
      </c>
      <c r="F473" s="8" t="s">
        <v>3628</v>
      </c>
      <c r="H473" s="7" t="s">
        <v>3619</v>
      </c>
      <c r="I473" s="7" t="s">
        <v>3645</v>
      </c>
      <c r="L473" s="7" t="s">
        <v>8</v>
      </c>
      <c r="M473" s="7" t="s">
        <v>9</v>
      </c>
      <c r="N473" s="7" t="s">
        <v>738</v>
      </c>
      <c r="O473" s="7" t="s">
        <v>1096</v>
      </c>
      <c r="P473" s="7" t="s">
        <v>1424</v>
      </c>
      <c r="Q473" s="7" t="s">
        <v>1425</v>
      </c>
      <c r="R473" t="s">
        <v>3632</v>
      </c>
      <c r="T473" s="22">
        <v>44820</v>
      </c>
    </row>
    <row r="474" spans="1:20" x14ac:dyDescent="0.3">
      <c r="A474" s="7" t="str">
        <f>HYPERLINK("https://hsdes.intel.com/resource/14013159912","14013159912")</f>
        <v>14013159912</v>
      </c>
      <c r="B474" s="7" t="s">
        <v>1426</v>
      </c>
      <c r="C474" s="7" t="s">
        <v>7</v>
      </c>
      <c r="D474" s="7" t="s">
        <v>3612</v>
      </c>
      <c r="E474" s="7" t="s">
        <v>3617</v>
      </c>
      <c r="F474" s="8" t="s">
        <v>3628</v>
      </c>
      <c r="H474" s="7" t="s">
        <v>3619</v>
      </c>
      <c r="I474" s="7" t="s">
        <v>3645</v>
      </c>
      <c r="L474" s="7" t="s">
        <v>8</v>
      </c>
      <c r="M474" s="7" t="s">
        <v>9</v>
      </c>
      <c r="N474" s="7" t="s">
        <v>10</v>
      </c>
      <c r="O474" s="7" t="s">
        <v>1144</v>
      </c>
      <c r="P474" s="7" t="s">
        <v>1388</v>
      </c>
      <c r="Q474" s="7" t="s">
        <v>1427</v>
      </c>
      <c r="R474" t="s">
        <v>3633</v>
      </c>
      <c r="T474" s="22">
        <v>44820</v>
      </c>
    </row>
    <row r="475" spans="1:20" x14ac:dyDescent="0.3">
      <c r="A475" s="7" t="str">
        <f>HYPERLINK("https://hsdes.intel.com/resource/14013159914","14013159914")</f>
        <v>14013159914</v>
      </c>
      <c r="B475" s="7" t="s">
        <v>1428</v>
      </c>
      <c r="C475" s="7" t="s">
        <v>7</v>
      </c>
      <c r="D475" s="7" t="s">
        <v>3612</v>
      </c>
      <c r="E475" s="7" t="s">
        <v>3617</v>
      </c>
      <c r="F475" s="8" t="s">
        <v>3628</v>
      </c>
      <c r="H475" s="7" t="s">
        <v>3620</v>
      </c>
      <c r="I475" s="7" t="s">
        <v>3645</v>
      </c>
      <c r="L475" s="7" t="s">
        <v>8</v>
      </c>
      <c r="M475" s="7" t="s">
        <v>9</v>
      </c>
      <c r="N475" s="7" t="s">
        <v>10</v>
      </c>
      <c r="O475" s="7" t="s">
        <v>1144</v>
      </c>
      <c r="P475" s="7" t="s">
        <v>1388</v>
      </c>
      <c r="Q475" s="7" t="s">
        <v>1429</v>
      </c>
      <c r="R475" t="s">
        <v>3633</v>
      </c>
      <c r="T475" s="22">
        <v>44820</v>
      </c>
    </row>
    <row r="476" spans="1:20" x14ac:dyDescent="0.3">
      <c r="A476" s="7" t="str">
        <f>HYPERLINK("https://hsdes.intel.com/resource/14013159917","14013159917")</f>
        <v>14013159917</v>
      </c>
      <c r="B476" s="24" t="s">
        <v>1430</v>
      </c>
      <c r="C476" s="7" t="s">
        <v>7</v>
      </c>
      <c r="D476" s="7" t="s">
        <v>3612</v>
      </c>
      <c r="E476" s="7" t="s">
        <v>3617</v>
      </c>
      <c r="F476" s="8" t="s">
        <v>3628</v>
      </c>
      <c r="H476" s="7" t="s">
        <v>3619</v>
      </c>
      <c r="I476" s="7" t="s">
        <v>3645</v>
      </c>
      <c r="L476" s="7" t="s">
        <v>8</v>
      </c>
      <c r="M476" s="7" t="s">
        <v>9</v>
      </c>
      <c r="N476" s="7" t="s">
        <v>1079</v>
      </c>
      <c r="O476" s="7" t="s">
        <v>1132</v>
      </c>
      <c r="P476" s="7" t="s">
        <v>1392</v>
      </c>
      <c r="Q476" s="7" t="s">
        <v>1431</v>
      </c>
      <c r="R476" t="s">
        <v>3632</v>
      </c>
      <c r="T476" s="22">
        <v>44820</v>
      </c>
    </row>
    <row r="477" spans="1:20" x14ac:dyDescent="0.3">
      <c r="A477" s="7" t="str">
        <f>HYPERLINK("https://hsdes.intel.com/resource/14013159920","14013159920")</f>
        <v>14013159920</v>
      </c>
      <c r="B477" s="7" t="s">
        <v>1432</v>
      </c>
      <c r="C477" s="7" t="s">
        <v>7</v>
      </c>
      <c r="D477" s="7" t="s">
        <v>3612</v>
      </c>
      <c r="E477" s="7" t="s">
        <v>3617</v>
      </c>
      <c r="F477" s="8" t="s">
        <v>3628</v>
      </c>
      <c r="H477" s="16" t="s">
        <v>3619</v>
      </c>
      <c r="I477" s="7" t="s">
        <v>3645</v>
      </c>
      <c r="L477" s="7" t="s">
        <v>8</v>
      </c>
      <c r="M477" s="7" t="s">
        <v>9</v>
      </c>
      <c r="N477" s="7" t="s">
        <v>1079</v>
      </c>
      <c r="O477" s="7" t="s">
        <v>1132</v>
      </c>
      <c r="P477" s="7" t="s">
        <v>1433</v>
      </c>
      <c r="Q477" s="7" t="s">
        <v>1434</v>
      </c>
      <c r="R477" t="s">
        <v>3632</v>
      </c>
      <c r="T477" s="22">
        <v>44820</v>
      </c>
    </row>
    <row r="478" spans="1:20" x14ac:dyDescent="0.3">
      <c r="A478" s="7" t="str">
        <f>HYPERLINK("https://hsdes.intel.com/resource/14013159923","14013159923")</f>
        <v>14013159923</v>
      </c>
      <c r="B478" s="7" t="s">
        <v>1435</v>
      </c>
      <c r="C478" s="7" t="s">
        <v>7</v>
      </c>
      <c r="D478" s="7" t="s">
        <v>3612</v>
      </c>
      <c r="E478" s="7" t="s">
        <v>3617</v>
      </c>
      <c r="F478" s="8" t="s">
        <v>3628</v>
      </c>
      <c r="H478" s="7" t="s">
        <v>3620</v>
      </c>
      <c r="I478" s="7" t="s">
        <v>3645</v>
      </c>
      <c r="L478" s="7" t="s">
        <v>8</v>
      </c>
      <c r="M478" s="7" t="s">
        <v>9</v>
      </c>
      <c r="N478" s="7" t="s">
        <v>1079</v>
      </c>
      <c r="O478" s="7" t="s">
        <v>1096</v>
      </c>
      <c r="P478" s="7" t="s">
        <v>1436</v>
      </c>
      <c r="Q478" s="7" t="s">
        <v>1437</v>
      </c>
      <c r="R478" t="s">
        <v>3632</v>
      </c>
      <c r="T478" s="22">
        <v>44820</v>
      </c>
    </row>
    <row r="479" spans="1:20" x14ac:dyDescent="0.3">
      <c r="A479" s="7" t="str">
        <f>HYPERLINK("https://hsdes.intel.com/resource/14013159925","14013159925")</f>
        <v>14013159925</v>
      </c>
      <c r="B479" s="7" t="s">
        <v>1438</v>
      </c>
      <c r="C479" s="7" t="s">
        <v>7</v>
      </c>
      <c r="D479" s="7" t="s">
        <v>3612</v>
      </c>
      <c r="E479" s="7" t="s">
        <v>3617</v>
      </c>
      <c r="F479" s="8" t="s">
        <v>3628</v>
      </c>
      <c r="H479" s="7" t="s">
        <v>3620</v>
      </c>
      <c r="I479" s="7" t="s">
        <v>3645</v>
      </c>
      <c r="L479" s="7" t="s">
        <v>8</v>
      </c>
      <c r="M479" s="7" t="s">
        <v>9</v>
      </c>
      <c r="N479" s="7" t="s">
        <v>10</v>
      </c>
      <c r="O479" s="7" t="s">
        <v>1144</v>
      </c>
      <c r="P479" s="7" t="s">
        <v>1388</v>
      </c>
      <c r="Q479" s="7" t="s">
        <v>1439</v>
      </c>
      <c r="R479" t="s">
        <v>3631</v>
      </c>
      <c r="T479" s="22">
        <v>44820</v>
      </c>
    </row>
    <row r="480" spans="1:20" x14ac:dyDescent="0.3">
      <c r="A480" s="7" t="str">
        <f>HYPERLINK("https://hsdes.intel.com/resource/14013159928","14013159928")</f>
        <v>14013159928</v>
      </c>
      <c r="B480" s="7" t="s">
        <v>1440</v>
      </c>
      <c r="C480" s="7" t="s">
        <v>7</v>
      </c>
      <c r="D480" s="7" t="s">
        <v>3612</v>
      </c>
      <c r="E480" s="7" t="s">
        <v>3617</v>
      </c>
      <c r="F480" s="8" t="s">
        <v>3628</v>
      </c>
      <c r="H480" s="7" t="s">
        <v>3620</v>
      </c>
      <c r="I480" s="7" t="s">
        <v>3645</v>
      </c>
      <c r="L480" s="7" t="s">
        <v>8</v>
      </c>
      <c r="M480" s="7" t="s">
        <v>9</v>
      </c>
      <c r="N480" s="7" t="s">
        <v>1079</v>
      </c>
      <c r="O480" s="7" t="s">
        <v>1096</v>
      </c>
      <c r="P480" s="7" t="s">
        <v>1388</v>
      </c>
      <c r="Q480" s="7" t="s">
        <v>1441</v>
      </c>
      <c r="R480" t="s">
        <v>3632</v>
      </c>
      <c r="T480" s="22">
        <v>44820</v>
      </c>
    </row>
    <row r="481" spans="1:20" x14ac:dyDescent="0.3">
      <c r="A481" s="7" t="str">
        <f>HYPERLINK("https://hsdes.intel.com/resource/14013159934","14013159934")</f>
        <v>14013159934</v>
      </c>
      <c r="B481" s="7" t="s">
        <v>1442</v>
      </c>
      <c r="C481" s="7" t="s">
        <v>7</v>
      </c>
      <c r="D481" s="7" t="s">
        <v>3612</v>
      </c>
      <c r="E481" s="7" t="s">
        <v>3617</v>
      </c>
      <c r="F481" s="8" t="s">
        <v>3628</v>
      </c>
      <c r="H481" s="16" t="s">
        <v>3620</v>
      </c>
      <c r="I481" s="7" t="s">
        <v>3645</v>
      </c>
      <c r="L481" s="7" t="s">
        <v>8</v>
      </c>
      <c r="M481" s="7" t="s">
        <v>9</v>
      </c>
      <c r="N481" s="7" t="s">
        <v>1391</v>
      </c>
      <c r="O481" s="7" t="s">
        <v>1096</v>
      </c>
      <c r="P481" s="7" t="s">
        <v>1388</v>
      </c>
      <c r="Q481" s="7" t="s">
        <v>1443</v>
      </c>
      <c r="R481" t="s">
        <v>3632</v>
      </c>
      <c r="T481" s="22">
        <v>44820</v>
      </c>
    </row>
    <row r="482" spans="1:20" x14ac:dyDescent="0.3">
      <c r="A482" s="7" t="str">
        <f>HYPERLINK("https://hsdes.intel.com/resource/14013159936","14013159936")</f>
        <v>14013159936</v>
      </c>
      <c r="B482" s="7" t="s">
        <v>1444</v>
      </c>
      <c r="C482" s="7" t="s">
        <v>7</v>
      </c>
      <c r="D482" s="7" t="s">
        <v>3612</v>
      </c>
      <c r="E482" s="7" t="s">
        <v>3617</v>
      </c>
      <c r="F482" s="8" t="s">
        <v>3628</v>
      </c>
      <c r="H482" s="7" t="s">
        <v>3619</v>
      </c>
      <c r="I482" s="7" t="s">
        <v>3645</v>
      </c>
      <c r="L482" s="7" t="s">
        <v>8</v>
      </c>
      <c r="M482" s="7" t="s">
        <v>9</v>
      </c>
      <c r="N482" s="7" t="s">
        <v>10</v>
      </c>
      <c r="O482" s="7" t="s">
        <v>1144</v>
      </c>
      <c r="P482" s="7" t="s">
        <v>1388</v>
      </c>
      <c r="Q482" s="7" t="s">
        <v>1445</v>
      </c>
      <c r="R482" t="s">
        <v>3633</v>
      </c>
      <c r="T482" s="22">
        <v>44820</v>
      </c>
    </row>
    <row r="483" spans="1:20" x14ac:dyDescent="0.3">
      <c r="A483" s="7" t="str">
        <f>HYPERLINK("https://hsdes.intel.com/resource/14013159940","14013159940")</f>
        <v>14013159940</v>
      </c>
      <c r="B483" s="7" t="s">
        <v>1446</v>
      </c>
      <c r="C483" s="7" t="s">
        <v>212</v>
      </c>
      <c r="D483" s="7" t="s">
        <v>3612</v>
      </c>
      <c r="E483" s="7" t="s">
        <v>3617</v>
      </c>
      <c r="F483" s="8" t="s">
        <v>3628</v>
      </c>
      <c r="H483" s="7" t="s">
        <v>3620</v>
      </c>
      <c r="I483" s="7" t="s">
        <v>3654</v>
      </c>
      <c r="J483" s="7" t="s">
        <v>3526</v>
      </c>
      <c r="L483" s="7" t="s">
        <v>24</v>
      </c>
      <c r="M483" s="7" t="s">
        <v>9</v>
      </c>
      <c r="N483" s="7" t="s">
        <v>39</v>
      </c>
      <c r="O483" s="7" t="s">
        <v>1447</v>
      </c>
      <c r="P483" s="7" t="s">
        <v>1366</v>
      </c>
      <c r="Q483" s="7" t="s">
        <v>1448</v>
      </c>
      <c r="R483" t="s">
        <v>3633</v>
      </c>
    </row>
    <row r="484" spans="1:20" x14ac:dyDescent="0.3">
      <c r="A484" s="7" t="str">
        <f>HYPERLINK("https://hsdes.intel.com/resource/14013159952","14013159952")</f>
        <v>14013159952</v>
      </c>
      <c r="B484" s="24" t="s">
        <v>1449</v>
      </c>
      <c r="C484" s="7" t="s">
        <v>7</v>
      </c>
      <c r="D484" s="7" t="s">
        <v>3612</v>
      </c>
      <c r="E484" s="7" t="s">
        <v>3617</v>
      </c>
      <c r="F484" s="8" t="s">
        <v>3628</v>
      </c>
      <c r="H484" s="7" t="s">
        <v>3619</v>
      </c>
      <c r="I484" s="7" t="s">
        <v>3645</v>
      </c>
      <c r="L484" s="7" t="s">
        <v>8</v>
      </c>
      <c r="M484" s="7" t="s">
        <v>9</v>
      </c>
      <c r="N484" s="7" t="s">
        <v>1391</v>
      </c>
      <c r="O484" s="7" t="s">
        <v>1412</v>
      </c>
      <c r="P484" s="7" t="s">
        <v>1450</v>
      </c>
      <c r="Q484" s="7" t="s">
        <v>1451</v>
      </c>
      <c r="R484" t="s">
        <v>3633</v>
      </c>
      <c r="T484" s="22">
        <v>44820</v>
      </c>
    </row>
    <row r="485" spans="1:20" x14ac:dyDescent="0.3">
      <c r="A485" s="7" t="str">
        <f>HYPERLINK("https://hsdes.intel.com/resource/14013159954","14013159954")</f>
        <v>14013159954</v>
      </c>
      <c r="B485" s="24" t="s">
        <v>1452</v>
      </c>
      <c r="C485" s="7" t="s">
        <v>7</v>
      </c>
      <c r="D485" s="7" t="s">
        <v>3612</v>
      </c>
      <c r="E485" s="7" t="s">
        <v>3617</v>
      </c>
      <c r="F485" s="8" t="s">
        <v>3628</v>
      </c>
      <c r="H485" s="7" t="s">
        <v>3619</v>
      </c>
      <c r="I485" s="7" t="s">
        <v>3645</v>
      </c>
      <c r="L485" s="7" t="s">
        <v>8</v>
      </c>
      <c r="M485" s="7" t="s">
        <v>9</v>
      </c>
      <c r="N485" s="7" t="s">
        <v>1391</v>
      </c>
      <c r="O485" s="7" t="s">
        <v>1453</v>
      </c>
      <c r="P485" s="7" t="s">
        <v>1454</v>
      </c>
      <c r="Q485" s="7" t="s">
        <v>1455</v>
      </c>
      <c r="R485" t="s">
        <v>3633</v>
      </c>
      <c r="T485" s="22">
        <v>44820</v>
      </c>
    </row>
    <row r="486" spans="1:20" x14ac:dyDescent="0.3">
      <c r="A486" s="7" t="str">
        <f>HYPERLINK("https://hsdes.intel.com/resource/14013159961","14013159961")</f>
        <v>14013159961</v>
      </c>
      <c r="B486" s="24" t="s">
        <v>1456</v>
      </c>
      <c r="C486" s="7" t="s">
        <v>7</v>
      </c>
      <c r="D486" s="7" t="s">
        <v>3612</v>
      </c>
      <c r="E486" s="7" t="s">
        <v>3617</v>
      </c>
      <c r="F486" s="8" t="s">
        <v>3628</v>
      </c>
      <c r="H486" s="7" t="s">
        <v>3619</v>
      </c>
      <c r="I486" s="7" t="s">
        <v>3645</v>
      </c>
      <c r="L486" s="7" t="s">
        <v>8</v>
      </c>
      <c r="M486" s="7" t="s">
        <v>9</v>
      </c>
      <c r="N486" s="7" t="s">
        <v>738</v>
      </c>
      <c r="O486" s="7" t="s">
        <v>1096</v>
      </c>
      <c r="P486" s="7" t="s">
        <v>1424</v>
      </c>
      <c r="Q486" s="7" t="s">
        <v>1457</v>
      </c>
      <c r="R486" t="s">
        <v>3632</v>
      </c>
      <c r="T486" s="22">
        <v>44820</v>
      </c>
    </row>
    <row r="487" spans="1:20" x14ac:dyDescent="0.3">
      <c r="A487" s="7" t="str">
        <f>HYPERLINK("https://hsdes.intel.com/resource/14013159965","14013159965")</f>
        <v>14013159965</v>
      </c>
      <c r="B487" s="7" t="s">
        <v>1458</v>
      </c>
      <c r="C487" s="7" t="s">
        <v>7</v>
      </c>
      <c r="D487" s="7" t="s">
        <v>3612</v>
      </c>
      <c r="E487" s="7" t="s">
        <v>3617</v>
      </c>
      <c r="F487" s="8" t="s">
        <v>3628</v>
      </c>
      <c r="H487" s="7" t="s">
        <v>3619</v>
      </c>
      <c r="I487" s="7" t="s">
        <v>3645</v>
      </c>
      <c r="L487" s="7" t="s">
        <v>8</v>
      </c>
      <c r="M487" s="7" t="s">
        <v>9</v>
      </c>
      <c r="N487" s="7" t="s">
        <v>738</v>
      </c>
      <c r="O487" s="7" t="s">
        <v>1096</v>
      </c>
      <c r="P487" s="7" t="s">
        <v>1382</v>
      </c>
      <c r="Q487" s="7" t="s">
        <v>1459</v>
      </c>
      <c r="R487" t="s">
        <v>3632</v>
      </c>
      <c r="T487" s="22">
        <v>44820</v>
      </c>
    </row>
    <row r="488" spans="1:20" x14ac:dyDescent="0.3">
      <c r="A488" s="7" t="str">
        <f>HYPERLINK("https://hsdes.intel.com/resource/14013159967","14013159967")</f>
        <v>14013159967</v>
      </c>
      <c r="B488" s="7" t="s">
        <v>1460</v>
      </c>
      <c r="C488" s="7" t="s">
        <v>7</v>
      </c>
      <c r="D488" s="7" t="s">
        <v>3612</v>
      </c>
      <c r="E488" s="7" t="s">
        <v>3617</v>
      </c>
      <c r="F488" s="8" t="s">
        <v>3628</v>
      </c>
      <c r="H488" s="7" t="s">
        <v>3620</v>
      </c>
      <c r="I488" s="7" t="s">
        <v>3645</v>
      </c>
      <c r="L488" s="7" t="s">
        <v>8</v>
      </c>
      <c r="M488" s="7" t="s">
        <v>9</v>
      </c>
      <c r="N488" s="7" t="s">
        <v>738</v>
      </c>
      <c r="O488" s="7" t="s">
        <v>1096</v>
      </c>
      <c r="P488" s="7" t="s">
        <v>792</v>
      </c>
      <c r="Q488" s="7" t="s">
        <v>1461</v>
      </c>
      <c r="R488" t="s">
        <v>3632</v>
      </c>
      <c r="T488" s="22">
        <v>44820</v>
      </c>
    </row>
    <row r="489" spans="1:20" x14ac:dyDescent="0.3">
      <c r="A489" s="7" t="str">
        <f>HYPERLINK("https://hsdes.intel.com/resource/14013159969","14013159969")</f>
        <v>14013159969</v>
      </c>
      <c r="B489" s="7" t="s">
        <v>1462</v>
      </c>
      <c r="C489" s="7" t="s">
        <v>7</v>
      </c>
      <c r="D489" s="7" t="s">
        <v>3612</v>
      </c>
      <c r="E489" s="7" t="s">
        <v>3617</v>
      </c>
      <c r="F489" s="8" t="s">
        <v>3628</v>
      </c>
      <c r="H489" s="7" t="s">
        <v>3620</v>
      </c>
      <c r="I489" s="7" t="s">
        <v>3645</v>
      </c>
      <c r="L489" s="7" t="s">
        <v>8</v>
      </c>
      <c r="M489" s="7" t="s">
        <v>9</v>
      </c>
      <c r="N489" s="7" t="s">
        <v>738</v>
      </c>
      <c r="O489" s="7" t="s">
        <v>1096</v>
      </c>
      <c r="P489" s="7" t="s">
        <v>792</v>
      </c>
      <c r="Q489" s="7" t="s">
        <v>1463</v>
      </c>
      <c r="R489" t="s">
        <v>3632</v>
      </c>
      <c r="T489" s="22">
        <v>44820</v>
      </c>
    </row>
    <row r="490" spans="1:20" x14ac:dyDescent="0.3">
      <c r="A490" s="7" t="str">
        <f>HYPERLINK("https://hsdes.intel.com/resource/14013159971","14013159971")</f>
        <v>14013159971</v>
      </c>
      <c r="B490" s="7" t="s">
        <v>1464</v>
      </c>
      <c r="C490" s="7" t="s">
        <v>7</v>
      </c>
      <c r="D490" s="7" t="s">
        <v>3612</v>
      </c>
      <c r="E490" s="7" t="s">
        <v>3617</v>
      </c>
      <c r="F490" s="8" t="s">
        <v>3628</v>
      </c>
      <c r="H490" s="7" t="s">
        <v>3619</v>
      </c>
      <c r="I490" s="7" t="s">
        <v>3645</v>
      </c>
      <c r="L490" s="7" t="s">
        <v>8</v>
      </c>
      <c r="M490" s="7" t="s">
        <v>9</v>
      </c>
      <c r="N490" s="7" t="s">
        <v>10</v>
      </c>
      <c r="O490" s="7" t="s">
        <v>1144</v>
      </c>
      <c r="P490" s="7" t="s">
        <v>1424</v>
      </c>
      <c r="Q490" s="7" t="s">
        <v>1465</v>
      </c>
      <c r="R490" t="s">
        <v>3633</v>
      </c>
      <c r="T490" s="22">
        <v>44820</v>
      </c>
    </row>
    <row r="491" spans="1:20" x14ac:dyDescent="0.3">
      <c r="A491" s="7" t="str">
        <f>HYPERLINK("https://hsdes.intel.com/resource/14013159973","14013159973")</f>
        <v>14013159973</v>
      </c>
      <c r="B491" s="7" t="s">
        <v>1466</v>
      </c>
      <c r="C491" s="7" t="s">
        <v>7</v>
      </c>
      <c r="D491" s="7" t="s">
        <v>3612</v>
      </c>
      <c r="E491" s="7" t="s">
        <v>3617</v>
      </c>
      <c r="F491" s="8" t="s">
        <v>3628</v>
      </c>
      <c r="H491" s="16" t="s">
        <v>3620</v>
      </c>
      <c r="I491" s="7" t="s">
        <v>3645</v>
      </c>
      <c r="L491" s="7" t="s">
        <v>8</v>
      </c>
      <c r="M491" s="7" t="s">
        <v>9</v>
      </c>
      <c r="N491" s="7" t="s">
        <v>1079</v>
      </c>
      <c r="O491" s="7" t="s">
        <v>1096</v>
      </c>
      <c r="P491" s="7" t="s">
        <v>792</v>
      </c>
      <c r="Q491" s="7" t="s">
        <v>1467</v>
      </c>
      <c r="R491" t="s">
        <v>3632</v>
      </c>
      <c r="T491" s="22">
        <v>44820</v>
      </c>
    </row>
    <row r="492" spans="1:20" x14ac:dyDescent="0.3">
      <c r="A492" s="7" t="str">
        <f>HYPERLINK("https://hsdes.intel.com/resource/14013159979","14013159979")</f>
        <v>14013159979</v>
      </c>
      <c r="B492" s="24" t="s">
        <v>1468</v>
      </c>
      <c r="C492" s="7" t="s">
        <v>7</v>
      </c>
      <c r="D492" s="7" t="s">
        <v>3612</v>
      </c>
      <c r="E492" s="7" t="s">
        <v>3617</v>
      </c>
      <c r="F492" s="8" t="s">
        <v>3628</v>
      </c>
      <c r="H492" s="7" t="s">
        <v>3619</v>
      </c>
      <c r="I492" s="7" t="s">
        <v>3645</v>
      </c>
      <c r="L492" s="7" t="s">
        <v>8</v>
      </c>
      <c r="M492" s="7" t="s">
        <v>9</v>
      </c>
      <c r="N492" s="7" t="s">
        <v>10</v>
      </c>
      <c r="O492" s="7" t="s">
        <v>1144</v>
      </c>
      <c r="P492" s="7" t="s">
        <v>1469</v>
      </c>
      <c r="Q492" s="7" t="s">
        <v>1470</v>
      </c>
      <c r="R492" t="s">
        <v>3633</v>
      </c>
      <c r="T492" s="22">
        <v>44820</v>
      </c>
    </row>
    <row r="493" spans="1:20" x14ac:dyDescent="0.3">
      <c r="A493" s="7" t="str">
        <f>HYPERLINK("https://hsdes.intel.com/resource/14013159982","14013159982")</f>
        <v>14013159982</v>
      </c>
      <c r="B493" s="24" t="s">
        <v>1471</v>
      </c>
      <c r="C493" s="7" t="s">
        <v>7</v>
      </c>
      <c r="D493" s="7" t="s">
        <v>3612</v>
      </c>
      <c r="E493" s="7" t="s">
        <v>3617</v>
      </c>
      <c r="F493" s="8" t="s">
        <v>3628</v>
      </c>
      <c r="H493" s="7" t="s">
        <v>3619</v>
      </c>
      <c r="I493" s="7" t="s">
        <v>3645</v>
      </c>
      <c r="L493" s="7" t="s">
        <v>8</v>
      </c>
      <c r="M493" s="7" t="s">
        <v>9</v>
      </c>
      <c r="N493" s="7" t="s">
        <v>1391</v>
      </c>
      <c r="O493" s="7" t="s">
        <v>1096</v>
      </c>
      <c r="P493" s="7" t="s">
        <v>1472</v>
      </c>
      <c r="Q493" s="7" t="s">
        <v>1473</v>
      </c>
      <c r="R493" t="s">
        <v>3632</v>
      </c>
      <c r="T493" s="22">
        <v>44820</v>
      </c>
    </row>
    <row r="494" spans="1:20" x14ac:dyDescent="0.3">
      <c r="A494" s="7" t="str">
        <f>HYPERLINK("https://hsdes.intel.com/resource/14013159985","14013159985")</f>
        <v>14013159985</v>
      </c>
      <c r="B494" s="24" t="s">
        <v>1474</v>
      </c>
      <c r="C494" s="7" t="s">
        <v>7</v>
      </c>
      <c r="D494" s="7" t="s">
        <v>3612</v>
      </c>
      <c r="E494" s="7" t="s">
        <v>3617</v>
      </c>
      <c r="F494" s="8" t="s">
        <v>3628</v>
      </c>
      <c r="H494" s="7" t="s">
        <v>3619</v>
      </c>
      <c r="I494" s="7" t="s">
        <v>3645</v>
      </c>
      <c r="L494" s="7" t="s">
        <v>8</v>
      </c>
      <c r="M494" s="7" t="s">
        <v>9</v>
      </c>
      <c r="N494" s="7" t="s">
        <v>1391</v>
      </c>
      <c r="O494" s="7" t="s">
        <v>1096</v>
      </c>
      <c r="P494" s="7" t="s">
        <v>1469</v>
      </c>
      <c r="Q494" s="7" t="s">
        <v>1475</v>
      </c>
      <c r="R494" t="s">
        <v>3632</v>
      </c>
      <c r="T494" s="22">
        <v>44820</v>
      </c>
    </row>
    <row r="495" spans="1:20" x14ac:dyDescent="0.3">
      <c r="A495" s="7" t="str">
        <f>HYPERLINK("https://hsdes.intel.com/resource/14013159987","14013159987")</f>
        <v>14013159987</v>
      </c>
      <c r="B495" s="7" t="s">
        <v>1476</v>
      </c>
      <c r="C495" s="7" t="s">
        <v>7</v>
      </c>
      <c r="D495" s="7" t="s">
        <v>3612</v>
      </c>
      <c r="E495" s="7" t="s">
        <v>3617</v>
      </c>
      <c r="F495" s="8" t="s">
        <v>3628</v>
      </c>
      <c r="H495" s="7" t="s">
        <v>3620</v>
      </c>
      <c r="I495" s="7" t="s">
        <v>3645</v>
      </c>
      <c r="L495" s="7" t="s">
        <v>8</v>
      </c>
      <c r="M495" s="7" t="s">
        <v>9</v>
      </c>
      <c r="N495" s="7" t="s">
        <v>10</v>
      </c>
      <c r="O495" s="7" t="s">
        <v>1144</v>
      </c>
      <c r="P495" s="7" t="s">
        <v>1073</v>
      </c>
      <c r="Q495" s="7" t="s">
        <v>1477</v>
      </c>
      <c r="R495" t="s">
        <v>3631</v>
      </c>
      <c r="T495" s="22">
        <v>44820</v>
      </c>
    </row>
    <row r="496" spans="1:20" x14ac:dyDescent="0.3">
      <c r="A496" s="7" t="str">
        <f>HYPERLINK("https://hsdes.intel.com/resource/14013160002","14013160002")</f>
        <v>14013160002</v>
      </c>
      <c r="B496" s="24" t="s">
        <v>1478</v>
      </c>
      <c r="C496" s="7" t="s">
        <v>7</v>
      </c>
      <c r="D496" s="7" t="s">
        <v>3612</v>
      </c>
      <c r="E496" s="7" t="s">
        <v>3617</v>
      </c>
      <c r="F496" s="8" t="s">
        <v>3628</v>
      </c>
      <c r="H496" s="7" t="s">
        <v>3619</v>
      </c>
      <c r="I496" s="7" t="s">
        <v>3645</v>
      </c>
      <c r="L496" s="7" t="s">
        <v>8</v>
      </c>
      <c r="M496" s="7" t="s">
        <v>9</v>
      </c>
      <c r="N496" s="7" t="s">
        <v>10</v>
      </c>
      <c r="O496" s="7" t="s">
        <v>1479</v>
      </c>
      <c r="P496" s="7" t="s">
        <v>1450</v>
      </c>
      <c r="Q496" s="7" t="s">
        <v>1480</v>
      </c>
      <c r="R496" t="s">
        <v>3633</v>
      </c>
      <c r="T496" s="22">
        <v>44820</v>
      </c>
    </row>
    <row r="497" spans="1:20" x14ac:dyDescent="0.3">
      <c r="A497" s="7" t="str">
        <f>HYPERLINK("https://hsdes.intel.com/resource/14013160006","14013160006")</f>
        <v>14013160006</v>
      </c>
      <c r="B497" s="7" t="s">
        <v>1481</v>
      </c>
      <c r="C497" s="7" t="s">
        <v>7</v>
      </c>
      <c r="D497" s="7" t="s">
        <v>3612</v>
      </c>
      <c r="E497" s="7" t="s">
        <v>3617</v>
      </c>
      <c r="F497" s="8" t="s">
        <v>3628</v>
      </c>
      <c r="H497" s="7" t="s">
        <v>3619</v>
      </c>
      <c r="I497" s="7" t="s">
        <v>3645</v>
      </c>
      <c r="L497" s="7" t="s">
        <v>8</v>
      </c>
      <c r="M497" s="7" t="s">
        <v>9</v>
      </c>
      <c r="N497" s="7" t="s">
        <v>738</v>
      </c>
      <c r="O497" s="7" t="s">
        <v>1096</v>
      </c>
      <c r="P497" s="7" t="s">
        <v>1424</v>
      </c>
      <c r="Q497" s="7" t="s">
        <v>1482</v>
      </c>
      <c r="R497" t="s">
        <v>3632</v>
      </c>
      <c r="T497" s="22">
        <v>44820</v>
      </c>
    </row>
    <row r="498" spans="1:20" x14ac:dyDescent="0.3">
      <c r="A498" s="7" t="str">
        <f>HYPERLINK("https://hsdes.intel.com/resource/14013160009","14013160009")</f>
        <v>14013160009</v>
      </c>
      <c r="B498" s="7" t="s">
        <v>1483</v>
      </c>
      <c r="C498" s="7" t="s">
        <v>7</v>
      </c>
      <c r="D498" s="7" t="s">
        <v>3612</v>
      </c>
      <c r="E498" s="7" t="s">
        <v>3617</v>
      </c>
      <c r="F498" s="8" t="s">
        <v>3628</v>
      </c>
      <c r="H498" s="7" t="s">
        <v>3619</v>
      </c>
      <c r="I498" s="7" t="s">
        <v>3645</v>
      </c>
      <c r="L498" s="7" t="s">
        <v>8</v>
      </c>
      <c r="M498" s="7" t="s">
        <v>9</v>
      </c>
      <c r="N498" s="7" t="s">
        <v>738</v>
      </c>
      <c r="O498" s="7" t="s">
        <v>1096</v>
      </c>
      <c r="P498" s="7" t="s">
        <v>1382</v>
      </c>
      <c r="Q498" s="7" t="s">
        <v>1484</v>
      </c>
      <c r="R498" t="s">
        <v>3632</v>
      </c>
      <c r="T498" s="22">
        <v>44820</v>
      </c>
    </row>
    <row r="499" spans="1:20" x14ac:dyDescent="0.3">
      <c r="A499" s="7" t="str">
        <f>HYPERLINK("https://hsdes.intel.com/resource/14013160011","14013160011")</f>
        <v>14013160011</v>
      </c>
      <c r="B499" s="24" t="s">
        <v>1485</v>
      </c>
      <c r="C499" s="7" t="s">
        <v>7</v>
      </c>
      <c r="D499" s="7" t="s">
        <v>3612</v>
      </c>
      <c r="E499" s="7" t="s">
        <v>3617</v>
      </c>
      <c r="F499" s="8" t="s">
        <v>3628</v>
      </c>
      <c r="H499" s="7" t="s">
        <v>3619</v>
      </c>
      <c r="I499" s="7" t="s">
        <v>3645</v>
      </c>
      <c r="L499" s="7" t="s">
        <v>8</v>
      </c>
      <c r="M499" s="7" t="s">
        <v>9</v>
      </c>
      <c r="N499" s="7" t="s">
        <v>10</v>
      </c>
      <c r="O499" s="7" t="s">
        <v>1144</v>
      </c>
      <c r="P499" s="7" t="s">
        <v>1424</v>
      </c>
      <c r="Q499" s="7" t="s">
        <v>1486</v>
      </c>
      <c r="R499" t="s">
        <v>3633</v>
      </c>
      <c r="T499" s="22">
        <v>44820</v>
      </c>
    </row>
    <row r="500" spans="1:20" x14ac:dyDescent="0.3">
      <c r="A500" s="7" t="str">
        <f>HYPERLINK("https://hsdes.intel.com/resource/14013160014","14013160014")</f>
        <v>14013160014</v>
      </c>
      <c r="B500" s="24" t="s">
        <v>1487</v>
      </c>
      <c r="C500" s="7" t="s">
        <v>7</v>
      </c>
      <c r="D500" s="7" t="s">
        <v>3612</v>
      </c>
      <c r="E500" s="7" t="s">
        <v>3617</v>
      </c>
      <c r="F500" s="8" t="s">
        <v>3628</v>
      </c>
      <c r="H500" s="7" t="s">
        <v>3619</v>
      </c>
      <c r="I500" s="7" t="s">
        <v>3645</v>
      </c>
      <c r="L500" s="7" t="s">
        <v>8</v>
      </c>
      <c r="M500" s="7" t="s">
        <v>9</v>
      </c>
      <c r="N500" s="7" t="s">
        <v>10</v>
      </c>
      <c r="O500" s="7" t="s">
        <v>1144</v>
      </c>
      <c r="P500" s="7" t="s">
        <v>1421</v>
      </c>
      <c r="Q500" s="7" t="s">
        <v>1488</v>
      </c>
      <c r="R500" t="s">
        <v>3633</v>
      </c>
      <c r="T500" s="22">
        <v>44820</v>
      </c>
    </row>
    <row r="501" spans="1:20" x14ac:dyDescent="0.3">
      <c r="A501" s="7" t="str">
        <f>HYPERLINK("https://hsdes.intel.com/resource/14013160018","14013160018")</f>
        <v>14013160018</v>
      </c>
      <c r="B501" s="24" t="s">
        <v>1489</v>
      </c>
      <c r="C501" s="7" t="s">
        <v>7</v>
      </c>
      <c r="D501" s="7" t="s">
        <v>3612</v>
      </c>
      <c r="E501" s="7" t="s">
        <v>3617</v>
      </c>
      <c r="F501" s="8" t="s">
        <v>3628</v>
      </c>
      <c r="H501" s="7" t="s">
        <v>3619</v>
      </c>
      <c r="I501" s="7" t="s">
        <v>3645</v>
      </c>
      <c r="L501" s="7" t="s">
        <v>8</v>
      </c>
      <c r="M501" s="7" t="s">
        <v>9</v>
      </c>
      <c r="N501" s="7" t="s">
        <v>10</v>
      </c>
      <c r="O501" s="7" t="s">
        <v>1144</v>
      </c>
      <c r="P501" s="7" t="s">
        <v>1421</v>
      </c>
      <c r="Q501" s="7" t="s">
        <v>1490</v>
      </c>
      <c r="R501" t="s">
        <v>3633</v>
      </c>
      <c r="T501" s="22">
        <v>44820</v>
      </c>
    </row>
    <row r="502" spans="1:20" x14ac:dyDescent="0.3">
      <c r="A502" s="7" t="str">
        <f>HYPERLINK("https://hsdes.intel.com/resource/14013160020","14013160020")</f>
        <v>14013160020</v>
      </c>
      <c r="B502" s="7" t="s">
        <v>1491</v>
      </c>
      <c r="C502" s="7" t="s">
        <v>7</v>
      </c>
      <c r="D502" s="7" t="s">
        <v>3612</v>
      </c>
      <c r="E502" s="7" t="s">
        <v>3617</v>
      </c>
      <c r="F502" s="8" t="s">
        <v>3628</v>
      </c>
      <c r="H502" s="7" t="s">
        <v>3619</v>
      </c>
      <c r="I502" s="7" t="s">
        <v>3645</v>
      </c>
      <c r="L502" s="7" t="s">
        <v>8</v>
      </c>
      <c r="M502" s="7" t="s">
        <v>9</v>
      </c>
      <c r="N502" s="7" t="s">
        <v>1079</v>
      </c>
      <c r="O502" s="7" t="s">
        <v>1096</v>
      </c>
      <c r="P502" s="7" t="s">
        <v>1433</v>
      </c>
      <c r="Q502" s="7" t="s">
        <v>1492</v>
      </c>
      <c r="R502" t="s">
        <v>3632</v>
      </c>
      <c r="T502" s="22">
        <v>44820</v>
      </c>
    </row>
    <row r="503" spans="1:20" x14ac:dyDescent="0.3">
      <c r="A503" s="7" t="str">
        <f>HYPERLINK("https://hsdes.intel.com/resource/14013160022","14013160022")</f>
        <v>14013160022</v>
      </c>
      <c r="B503" s="7" t="s">
        <v>1493</v>
      </c>
      <c r="C503" s="7" t="s">
        <v>7</v>
      </c>
      <c r="D503" s="7" t="s">
        <v>3612</v>
      </c>
      <c r="E503" s="7" t="s">
        <v>3617</v>
      </c>
      <c r="F503" s="8" t="s">
        <v>3628</v>
      </c>
      <c r="H503" s="16" t="s">
        <v>3620</v>
      </c>
      <c r="I503" s="7" t="s">
        <v>3645</v>
      </c>
      <c r="L503" s="7" t="s">
        <v>8</v>
      </c>
      <c r="M503" s="7" t="s">
        <v>9</v>
      </c>
      <c r="N503" s="7" t="s">
        <v>1079</v>
      </c>
      <c r="O503" s="7" t="s">
        <v>1096</v>
      </c>
      <c r="P503" s="7" t="s">
        <v>1388</v>
      </c>
      <c r="Q503" s="7" t="s">
        <v>1494</v>
      </c>
      <c r="R503" t="s">
        <v>3632</v>
      </c>
      <c r="T503" s="22">
        <v>44820</v>
      </c>
    </row>
    <row r="504" spans="1:20" x14ac:dyDescent="0.3">
      <c r="A504" s="7" t="str">
        <f>HYPERLINK("https://hsdes.intel.com/resource/14013160024","14013160024")</f>
        <v>14013160024</v>
      </c>
      <c r="B504" s="7" t="s">
        <v>1495</v>
      </c>
      <c r="C504" s="7" t="s">
        <v>7</v>
      </c>
      <c r="D504" s="7" t="s">
        <v>3612</v>
      </c>
      <c r="E504" s="7" t="s">
        <v>3617</v>
      </c>
      <c r="F504" s="8" t="s">
        <v>3628</v>
      </c>
      <c r="H504" s="7" t="s">
        <v>3620</v>
      </c>
      <c r="I504" s="7" t="s">
        <v>3645</v>
      </c>
      <c r="L504" s="7" t="s">
        <v>8</v>
      </c>
      <c r="M504" s="7" t="s">
        <v>9</v>
      </c>
      <c r="N504" s="7" t="s">
        <v>1079</v>
      </c>
      <c r="O504" s="7" t="s">
        <v>1096</v>
      </c>
      <c r="P504" s="7" t="s">
        <v>1388</v>
      </c>
      <c r="Q504" s="7" t="s">
        <v>1496</v>
      </c>
      <c r="R504" t="s">
        <v>3632</v>
      </c>
      <c r="T504" s="22">
        <v>44820</v>
      </c>
    </row>
    <row r="505" spans="1:20" x14ac:dyDescent="0.3">
      <c r="A505" s="9" t="str">
        <f>HYPERLINK("https://hsdes.intel.com/resource/14013160033","14013160033")</f>
        <v>14013160033</v>
      </c>
      <c r="B505" s="24" t="s">
        <v>1497</v>
      </c>
      <c r="C505" s="7" t="s">
        <v>7</v>
      </c>
      <c r="D505" s="7" t="s">
        <v>3612</v>
      </c>
      <c r="E505" s="7" t="s">
        <v>3617</v>
      </c>
      <c r="F505" s="8" t="s">
        <v>3628</v>
      </c>
      <c r="H505" s="7" t="s">
        <v>3619</v>
      </c>
      <c r="I505" s="7" t="s">
        <v>3645</v>
      </c>
      <c r="L505" s="7" t="s">
        <v>8</v>
      </c>
      <c r="M505" s="7" t="s">
        <v>9</v>
      </c>
      <c r="N505" s="7" t="s">
        <v>1079</v>
      </c>
      <c r="O505" s="7" t="s">
        <v>1096</v>
      </c>
      <c r="P505" s="7" t="s">
        <v>1469</v>
      </c>
      <c r="Q505" s="7" t="s">
        <v>1498</v>
      </c>
      <c r="R505" t="s">
        <v>3632</v>
      </c>
      <c r="T505" s="22">
        <v>44820</v>
      </c>
    </row>
    <row r="506" spans="1:20" x14ac:dyDescent="0.3">
      <c r="A506" s="7" t="str">
        <f>HYPERLINK("https://hsdes.intel.com/resource/14013160036","14013160036")</f>
        <v>14013160036</v>
      </c>
      <c r="B506" s="7" t="s">
        <v>1499</v>
      </c>
      <c r="C506" s="7" t="s">
        <v>7</v>
      </c>
      <c r="D506" s="7" t="s">
        <v>3612</v>
      </c>
      <c r="E506" s="7" t="s">
        <v>3617</v>
      </c>
      <c r="F506" s="8" t="s">
        <v>3628</v>
      </c>
      <c r="H506" s="7" t="s">
        <v>3619</v>
      </c>
      <c r="I506" s="7" t="s">
        <v>3645</v>
      </c>
      <c r="L506" s="7" t="s">
        <v>8</v>
      </c>
      <c r="M506" s="7" t="s">
        <v>9</v>
      </c>
      <c r="N506" s="7" t="s">
        <v>1079</v>
      </c>
      <c r="O506" s="7" t="s">
        <v>1096</v>
      </c>
      <c r="P506" s="7" t="s">
        <v>1433</v>
      </c>
      <c r="Q506" s="7" t="s">
        <v>1500</v>
      </c>
      <c r="R506" t="s">
        <v>3632</v>
      </c>
      <c r="T506" s="22">
        <v>44820</v>
      </c>
    </row>
    <row r="507" spans="1:20" x14ac:dyDescent="0.3">
      <c r="A507" s="7" t="str">
        <f>HYPERLINK("https://hsdes.intel.com/resource/14013160038","14013160038")</f>
        <v>14013160038</v>
      </c>
      <c r="B507" s="24" t="s">
        <v>1501</v>
      </c>
      <c r="C507" s="7" t="s">
        <v>7</v>
      </c>
      <c r="D507" s="7" t="s">
        <v>3612</v>
      </c>
      <c r="E507" s="7" t="s">
        <v>3617</v>
      </c>
      <c r="F507" s="8" t="s">
        <v>3628</v>
      </c>
      <c r="H507" s="7" t="s">
        <v>3619</v>
      </c>
      <c r="I507" s="7" t="s">
        <v>3645</v>
      </c>
      <c r="L507" s="7" t="s">
        <v>8</v>
      </c>
      <c r="M507" s="7" t="s">
        <v>9</v>
      </c>
      <c r="N507" s="7" t="s">
        <v>10</v>
      </c>
      <c r="O507" s="7" t="s">
        <v>1144</v>
      </c>
      <c r="P507" s="7" t="s">
        <v>1502</v>
      </c>
      <c r="Q507" s="7" t="s">
        <v>1503</v>
      </c>
      <c r="R507" t="s">
        <v>3633</v>
      </c>
      <c r="T507" s="22">
        <v>44820</v>
      </c>
    </row>
    <row r="508" spans="1:20" x14ac:dyDescent="0.3">
      <c r="A508" s="7" t="str">
        <f>HYPERLINK("https://hsdes.intel.com/resource/14013160044","14013160044")</f>
        <v>14013160044</v>
      </c>
      <c r="B508" s="7" t="s">
        <v>1504</v>
      </c>
      <c r="C508" s="7" t="s">
        <v>7</v>
      </c>
      <c r="D508" s="7" t="s">
        <v>3612</v>
      </c>
      <c r="E508" s="7" t="s">
        <v>3617</v>
      </c>
      <c r="F508" s="8" t="s">
        <v>3628</v>
      </c>
      <c r="H508" s="7" t="s">
        <v>3619</v>
      </c>
      <c r="I508" s="7" t="s">
        <v>3622</v>
      </c>
      <c r="L508" s="7" t="s">
        <v>8</v>
      </c>
      <c r="M508" s="7" t="s">
        <v>94</v>
      </c>
      <c r="N508" s="7" t="s">
        <v>10</v>
      </c>
      <c r="O508" s="7" t="s">
        <v>1505</v>
      </c>
      <c r="P508" s="7" t="s">
        <v>1506</v>
      </c>
      <c r="Q508" s="7" t="s">
        <v>1507</v>
      </c>
      <c r="R508" t="s">
        <v>3633</v>
      </c>
    </row>
    <row r="509" spans="1:20" x14ac:dyDescent="0.3">
      <c r="A509" s="7" t="str">
        <f>HYPERLINK("https://hsdes.intel.com/resource/14013160046","14013160046")</f>
        <v>14013160046</v>
      </c>
      <c r="B509" s="7" t="s">
        <v>1508</v>
      </c>
      <c r="C509" s="7" t="s">
        <v>7</v>
      </c>
      <c r="D509" s="7" t="s">
        <v>3612</v>
      </c>
      <c r="E509" s="7" t="s">
        <v>3617</v>
      </c>
      <c r="F509" s="8" t="s">
        <v>3628</v>
      </c>
      <c r="H509" s="7" t="s">
        <v>3619</v>
      </c>
      <c r="I509" s="7" t="s">
        <v>3624</v>
      </c>
      <c r="L509" s="7" t="s">
        <v>8</v>
      </c>
      <c r="M509" s="7" t="s">
        <v>9</v>
      </c>
      <c r="N509" s="7" t="s">
        <v>1391</v>
      </c>
      <c r="O509" s="7" t="s">
        <v>1453</v>
      </c>
      <c r="P509" s="7" t="s">
        <v>1509</v>
      </c>
      <c r="Q509" s="7" t="s">
        <v>1510</v>
      </c>
      <c r="R509" t="s">
        <v>3633</v>
      </c>
    </row>
    <row r="510" spans="1:20" x14ac:dyDescent="0.3">
      <c r="A510" s="7" t="str">
        <f>HYPERLINK("https://hsdes.intel.com/resource/14013160052","14013160052")</f>
        <v>14013160052</v>
      </c>
      <c r="B510" s="7" t="s">
        <v>1511</v>
      </c>
      <c r="C510" s="7" t="s">
        <v>7</v>
      </c>
      <c r="D510" s="7" t="s">
        <v>3612</v>
      </c>
      <c r="E510" s="7" t="s">
        <v>3617</v>
      </c>
      <c r="F510" s="8" t="s">
        <v>3628</v>
      </c>
      <c r="H510" s="7" t="s">
        <v>3619</v>
      </c>
      <c r="I510" s="7" t="s">
        <v>3640</v>
      </c>
      <c r="L510" s="7" t="s">
        <v>8</v>
      </c>
      <c r="M510" s="7" t="s">
        <v>9</v>
      </c>
      <c r="N510" s="7" t="s">
        <v>738</v>
      </c>
      <c r="O510" s="7" t="s">
        <v>1132</v>
      </c>
      <c r="P510" s="7" t="s">
        <v>1424</v>
      </c>
      <c r="Q510" s="7" t="s">
        <v>1512</v>
      </c>
      <c r="R510" t="s">
        <v>3632</v>
      </c>
    </row>
    <row r="511" spans="1:20" x14ac:dyDescent="0.3">
      <c r="A511" s="7" t="str">
        <f>HYPERLINK("https://hsdes.intel.com/resource/14013160054","14013160054")</f>
        <v>14013160054</v>
      </c>
      <c r="B511" s="7" t="s">
        <v>1513</v>
      </c>
      <c r="C511" s="7" t="s">
        <v>7</v>
      </c>
      <c r="D511" s="7" t="s">
        <v>3612</v>
      </c>
      <c r="E511" s="7" t="s">
        <v>3617</v>
      </c>
      <c r="F511" s="8" t="s">
        <v>3628</v>
      </c>
      <c r="H511" s="7" t="s">
        <v>3619</v>
      </c>
      <c r="I511" s="7" t="s">
        <v>3640</v>
      </c>
      <c r="L511" s="7" t="s">
        <v>8</v>
      </c>
      <c r="M511" s="7" t="s">
        <v>9</v>
      </c>
      <c r="N511" s="7" t="s">
        <v>738</v>
      </c>
      <c r="O511" s="7" t="s">
        <v>1096</v>
      </c>
      <c r="P511" s="7" t="s">
        <v>1421</v>
      </c>
      <c r="Q511" s="7" t="s">
        <v>1514</v>
      </c>
      <c r="R511" t="s">
        <v>3632</v>
      </c>
    </row>
    <row r="512" spans="1:20" x14ac:dyDescent="0.3">
      <c r="A512" s="7" t="str">
        <f>HYPERLINK("https://hsdes.intel.com/resource/14013160057","14013160057")</f>
        <v>14013160057</v>
      </c>
      <c r="B512" s="7" t="s">
        <v>1515</v>
      </c>
      <c r="C512" s="7" t="s">
        <v>7</v>
      </c>
      <c r="D512" s="7" t="s">
        <v>3612</v>
      </c>
      <c r="E512" s="7" t="s">
        <v>3617</v>
      </c>
      <c r="F512" s="8" t="s">
        <v>3628</v>
      </c>
      <c r="H512" s="7" t="s">
        <v>3619</v>
      </c>
      <c r="I512" s="7" t="s">
        <v>3640</v>
      </c>
      <c r="L512" s="7" t="s">
        <v>8</v>
      </c>
      <c r="M512" s="7" t="s">
        <v>9</v>
      </c>
      <c r="N512" s="7" t="s">
        <v>738</v>
      </c>
      <c r="O512" s="7" t="s">
        <v>1096</v>
      </c>
      <c r="P512" s="7" t="s">
        <v>1421</v>
      </c>
      <c r="Q512" s="7" t="s">
        <v>1516</v>
      </c>
      <c r="R512" t="s">
        <v>3632</v>
      </c>
    </row>
    <row r="513" spans="1:18" x14ac:dyDescent="0.3">
      <c r="A513" s="7" t="str">
        <f>HYPERLINK("https://hsdes.intel.com/resource/14013160059","14013160059")</f>
        <v>14013160059</v>
      </c>
      <c r="B513" s="7" t="s">
        <v>1517</v>
      </c>
      <c r="C513" s="7" t="s">
        <v>7</v>
      </c>
      <c r="D513" s="7" t="s">
        <v>3612</v>
      </c>
      <c r="E513" s="7" t="s">
        <v>3617</v>
      </c>
      <c r="F513" s="8" t="s">
        <v>3628</v>
      </c>
      <c r="H513" s="7" t="s">
        <v>3619</v>
      </c>
      <c r="I513" s="7" t="s">
        <v>3640</v>
      </c>
      <c r="L513" s="7" t="s">
        <v>8</v>
      </c>
      <c r="M513" s="7" t="s">
        <v>9</v>
      </c>
      <c r="N513" s="7" t="s">
        <v>10</v>
      </c>
      <c r="O513" s="7" t="s">
        <v>1144</v>
      </c>
      <c r="P513" s="7" t="s">
        <v>792</v>
      </c>
      <c r="Q513" s="7" t="s">
        <v>1518</v>
      </c>
      <c r="R513" t="s">
        <v>3633</v>
      </c>
    </row>
    <row r="514" spans="1:18" x14ac:dyDescent="0.3">
      <c r="A514" s="7" t="str">
        <f>HYPERLINK("https://hsdes.intel.com/resource/14013160061","14013160061")</f>
        <v>14013160061</v>
      </c>
      <c r="B514" s="7" t="s">
        <v>1519</v>
      </c>
      <c r="C514" s="7" t="s">
        <v>7</v>
      </c>
      <c r="D514" s="7" t="s">
        <v>3612</v>
      </c>
      <c r="E514" s="7" t="s">
        <v>3617</v>
      </c>
      <c r="F514" s="8" t="s">
        <v>3628</v>
      </c>
      <c r="H514" s="7" t="s">
        <v>3619</v>
      </c>
      <c r="I514" s="7" t="s">
        <v>3640</v>
      </c>
      <c r="L514" s="7" t="s">
        <v>8</v>
      </c>
      <c r="M514" s="7" t="s">
        <v>9</v>
      </c>
      <c r="N514" s="7" t="s">
        <v>1079</v>
      </c>
      <c r="O514" s="7" t="s">
        <v>1096</v>
      </c>
      <c r="P514" s="7" t="s">
        <v>1472</v>
      </c>
      <c r="Q514" s="7" t="s">
        <v>1520</v>
      </c>
      <c r="R514" t="s">
        <v>3632</v>
      </c>
    </row>
    <row r="515" spans="1:18" x14ac:dyDescent="0.3">
      <c r="A515" s="7" t="str">
        <f>HYPERLINK("https://hsdes.intel.com/resource/14013160063","14013160063")</f>
        <v>14013160063</v>
      </c>
      <c r="B515" s="7" t="s">
        <v>1521</v>
      </c>
      <c r="C515" s="7" t="s">
        <v>7</v>
      </c>
      <c r="D515" s="7" t="s">
        <v>3612</v>
      </c>
      <c r="E515" s="7" t="s">
        <v>3617</v>
      </c>
      <c r="F515" s="8" t="s">
        <v>3628</v>
      </c>
      <c r="H515" s="7" t="s">
        <v>3619</v>
      </c>
      <c r="I515" s="7" t="s">
        <v>3640</v>
      </c>
      <c r="L515" s="7" t="s">
        <v>8</v>
      </c>
      <c r="M515" s="7" t="s">
        <v>9</v>
      </c>
      <c r="N515" s="7" t="s">
        <v>1079</v>
      </c>
      <c r="O515" s="7" t="s">
        <v>1096</v>
      </c>
      <c r="P515" s="7" t="s">
        <v>1469</v>
      </c>
      <c r="Q515" s="7" t="s">
        <v>1522</v>
      </c>
      <c r="R515" t="s">
        <v>3632</v>
      </c>
    </row>
    <row r="516" spans="1:18" x14ac:dyDescent="0.3">
      <c r="A516" s="7" t="str">
        <f>HYPERLINK("https://hsdes.intel.com/resource/14013160066","14013160066")</f>
        <v>14013160066</v>
      </c>
      <c r="B516" s="7" t="s">
        <v>1523</v>
      </c>
      <c r="C516" s="7" t="s">
        <v>7</v>
      </c>
      <c r="D516" s="7" t="s">
        <v>3612</v>
      </c>
      <c r="E516" s="7" t="s">
        <v>3617</v>
      </c>
      <c r="F516" s="8" t="s">
        <v>3628</v>
      </c>
      <c r="H516" s="7" t="s">
        <v>3619</v>
      </c>
      <c r="I516" s="7" t="s">
        <v>3640</v>
      </c>
      <c r="L516" s="7" t="s">
        <v>8</v>
      </c>
      <c r="M516" s="7" t="s">
        <v>9</v>
      </c>
      <c r="N516" s="7" t="s">
        <v>10</v>
      </c>
      <c r="O516" s="7" t="s">
        <v>1144</v>
      </c>
      <c r="P516" s="7" t="s">
        <v>1524</v>
      </c>
      <c r="Q516" s="7" t="s">
        <v>1525</v>
      </c>
      <c r="R516" t="s">
        <v>3631</v>
      </c>
    </row>
    <row r="517" spans="1:18" x14ac:dyDescent="0.3">
      <c r="A517" s="7" t="str">
        <f>HYPERLINK("https://hsdes.intel.com/resource/14013160069","14013160069")</f>
        <v>14013160069</v>
      </c>
      <c r="B517" s="7" t="s">
        <v>1526</v>
      </c>
      <c r="C517" s="7" t="s">
        <v>7</v>
      </c>
      <c r="D517" s="7" t="s">
        <v>3612</v>
      </c>
      <c r="E517" s="7" t="s">
        <v>3617</v>
      </c>
      <c r="F517" s="8" t="s">
        <v>3628</v>
      </c>
      <c r="H517" s="7" t="s">
        <v>3619</v>
      </c>
      <c r="I517" s="7" t="s">
        <v>3640</v>
      </c>
      <c r="L517" s="7" t="s">
        <v>8</v>
      </c>
      <c r="M517" s="7" t="s">
        <v>9</v>
      </c>
      <c r="N517" s="7" t="s">
        <v>10</v>
      </c>
      <c r="O517" s="7" t="s">
        <v>1144</v>
      </c>
      <c r="P517" s="7" t="s">
        <v>1527</v>
      </c>
      <c r="Q517" s="7" t="s">
        <v>1528</v>
      </c>
      <c r="R517" t="s">
        <v>3633</v>
      </c>
    </row>
    <row r="518" spans="1:18" x14ac:dyDescent="0.3">
      <c r="A518" s="7" t="str">
        <f>HYPERLINK("https://hsdes.intel.com/resource/14013160071","14013160071")</f>
        <v>14013160071</v>
      </c>
      <c r="B518" s="7" t="s">
        <v>1529</v>
      </c>
      <c r="C518" s="7" t="s">
        <v>7</v>
      </c>
      <c r="D518" s="7" t="s">
        <v>3612</v>
      </c>
      <c r="E518" s="7" t="s">
        <v>3617</v>
      </c>
      <c r="F518" s="8" t="s">
        <v>3628</v>
      </c>
      <c r="H518" s="7" t="s">
        <v>3619</v>
      </c>
      <c r="I518" s="7" t="s">
        <v>3640</v>
      </c>
      <c r="L518" s="7" t="s">
        <v>8</v>
      </c>
      <c r="M518" s="7" t="s">
        <v>9</v>
      </c>
      <c r="N518" s="7" t="s">
        <v>1391</v>
      </c>
      <c r="O518" s="7" t="s">
        <v>1096</v>
      </c>
      <c r="P518" s="7" t="s">
        <v>1433</v>
      </c>
      <c r="Q518" s="7" t="s">
        <v>1530</v>
      </c>
      <c r="R518" t="s">
        <v>3632</v>
      </c>
    </row>
    <row r="519" spans="1:18" x14ac:dyDescent="0.3">
      <c r="A519" s="7" t="str">
        <f>HYPERLINK("https://hsdes.intel.com/resource/14013160073","14013160073")</f>
        <v>14013160073</v>
      </c>
      <c r="B519" s="7" t="s">
        <v>1531</v>
      </c>
      <c r="C519" s="7" t="s">
        <v>7</v>
      </c>
      <c r="D519" s="7" t="s">
        <v>3612</v>
      </c>
      <c r="E519" s="7" t="s">
        <v>3617</v>
      </c>
      <c r="F519" s="8" t="s">
        <v>3628</v>
      </c>
      <c r="H519" s="7" t="s">
        <v>3619</v>
      </c>
      <c r="I519" s="7" t="s">
        <v>3640</v>
      </c>
      <c r="L519" s="7" t="s">
        <v>8</v>
      </c>
      <c r="M519" s="7" t="s">
        <v>9</v>
      </c>
      <c r="N519" s="7" t="s">
        <v>1391</v>
      </c>
      <c r="O519" s="7" t="s">
        <v>1132</v>
      </c>
      <c r="P519" s="7" t="s">
        <v>1073</v>
      </c>
      <c r="Q519" s="7" t="s">
        <v>1532</v>
      </c>
      <c r="R519" t="s">
        <v>3632</v>
      </c>
    </row>
    <row r="520" spans="1:18" x14ac:dyDescent="0.3">
      <c r="A520" s="7" t="str">
        <f>HYPERLINK("https://hsdes.intel.com/resource/14013160077","14013160077")</f>
        <v>14013160077</v>
      </c>
      <c r="B520" s="7" t="s">
        <v>1533</v>
      </c>
      <c r="C520" s="7" t="s">
        <v>7</v>
      </c>
      <c r="D520" s="7" t="s">
        <v>3612</v>
      </c>
      <c r="E520" s="7" t="s">
        <v>3617</v>
      </c>
      <c r="F520" s="8" t="s">
        <v>3628</v>
      </c>
      <c r="H520" s="7" t="s">
        <v>3619</v>
      </c>
      <c r="I520" s="7" t="s">
        <v>3640</v>
      </c>
      <c r="L520" s="7" t="s">
        <v>8</v>
      </c>
      <c r="M520" s="7" t="s">
        <v>9</v>
      </c>
      <c r="N520" s="7" t="s">
        <v>1391</v>
      </c>
      <c r="O520" s="7" t="s">
        <v>1096</v>
      </c>
      <c r="P520" s="7" t="s">
        <v>1073</v>
      </c>
      <c r="Q520" s="7" t="s">
        <v>1534</v>
      </c>
      <c r="R520" t="s">
        <v>3632</v>
      </c>
    </row>
    <row r="521" spans="1:18" x14ac:dyDescent="0.3">
      <c r="A521" s="7" t="str">
        <f>HYPERLINK("https://hsdes.intel.com/resource/14013160080","14013160080")</f>
        <v>14013160080</v>
      </c>
      <c r="B521" s="7" t="s">
        <v>1535</v>
      </c>
      <c r="C521" s="7" t="s">
        <v>7</v>
      </c>
      <c r="D521" s="7" t="s">
        <v>3612</v>
      </c>
      <c r="E521" s="7" t="s">
        <v>3617</v>
      </c>
      <c r="F521" s="8" t="s">
        <v>3628</v>
      </c>
      <c r="H521" s="7" t="s">
        <v>3619</v>
      </c>
      <c r="I521" s="7" t="s">
        <v>3640</v>
      </c>
      <c r="L521" s="7" t="s">
        <v>8</v>
      </c>
      <c r="M521" s="7" t="s">
        <v>9</v>
      </c>
      <c r="N521" s="7" t="s">
        <v>10</v>
      </c>
      <c r="O521" s="7" t="s">
        <v>1144</v>
      </c>
      <c r="P521" s="7" t="s">
        <v>1536</v>
      </c>
      <c r="Q521" s="7" t="s">
        <v>1537</v>
      </c>
      <c r="R521" t="s">
        <v>3633</v>
      </c>
    </row>
    <row r="522" spans="1:18" x14ac:dyDescent="0.3">
      <c r="A522" s="7" t="str">
        <f>HYPERLINK("https://hsdes.intel.com/resource/14013160082","14013160082")</f>
        <v>14013160082</v>
      </c>
      <c r="B522" s="7" t="s">
        <v>1538</v>
      </c>
      <c r="C522" s="7" t="s">
        <v>7</v>
      </c>
      <c r="D522" s="7" t="s">
        <v>3612</v>
      </c>
      <c r="E522" s="7" t="s">
        <v>3617</v>
      </c>
      <c r="F522" s="8" t="s">
        <v>3628</v>
      </c>
      <c r="H522" s="7" t="s">
        <v>3620</v>
      </c>
      <c r="I522" s="7" t="s">
        <v>3654</v>
      </c>
      <c r="J522" s="7" t="s">
        <v>3526</v>
      </c>
      <c r="K522" s="11"/>
      <c r="L522" s="7" t="s">
        <v>8</v>
      </c>
      <c r="M522" s="7" t="s">
        <v>9</v>
      </c>
      <c r="N522" s="7" t="s">
        <v>10</v>
      </c>
      <c r="O522" s="7" t="s">
        <v>1539</v>
      </c>
      <c r="P522" s="7" t="s">
        <v>1161</v>
      </c>
      <c r="Q522" s="7" t="s">
        <v>1540</v>
      </c>
      <c r="R522" t="s">
        <v>3633</v>
      </c>
    </row>
    <row r="523" spans="1:18" x14ac:dyDescent="0.3">
      <c r="A523" s="7" t="str">
        <f>HYPERLINK("https://hsdes.intel.com/resource/14013160118","14013160118")</f>
        <v>14013160118</v>
      </c>
      <c r="B523" s="7" t="s">
        <v>1541</v>
      </c>
      <c r="C523" s="7" t="s">
        <v>121</v>
      </c>
      <c r="D523" s="7" t="s">
        <v>3612</v>
      </c>
      <c r="E523" s="7" t="s">
        <v>3617</v>
      </c>
      <c r="F523" s="8" t="s">
        <v>3628</v>
      </c>
      <c r="H523" s="7" t="s">
        <v>3619</v>
      </c>
      <c r="I523" s="7" t="s">
        <v>3622</v>
      </c>
      <c r="L523" s="7" t="s">
        <v>142</v>
      </c>
      <c r="M523" s="7" t="s">
        <v>9</v>
      </c>
      <c r="N523" s="7" t="s">
        <v>56</v>
      </c>
      <c r="O523" s="7" t="s">
        <v>1542</v>
      </c>
      <c r="P523" s="7" t="s">
        <v>1542</v>
      </c>
      <c r="Q523" s="7" t="s">
        <v>1543</v>
      </c>
      <c r="R523" t="s">
        <v>3632</v>
      </c>
    </row>
    <row r="524" spans="1:18" x14ac:dyDescent="0.3">
      <c r="A524" s="7" t="str">
        <f>HYPERLINK("https://hsdes.intel.com/resource/14013160125","14013160125")</f>
        <v>14013160125</v>
      </c>
      <c r="B524" s="7" t="s">
        <v>1544</v>
      </c>
      <c r="C524" s="7" t="s">
        <v>121</v>
      </c>
      <c r="D524" s="7" t="s">
        <v>3612</v>
      </c>
      <c r="E524" s="7" t="s">
        <v>3617</v>
      </c>
      <c r="F524" s="8" t="s">
        <v>3628</v>
      </c>
      <c r="H524" s="7" t="s">
        <v>3619</v>
      </c>
      <c r="I524" s="7" t="s">
        <v>3622</v>
      </c>
      <c r="L524" s="7" t="s">
        <v>142</v>
      </c>
      <c r="M524" s="7" t="s">
        <v>9</v>
      </c>
      <c r="N524" s="7" t="s">
        <v>56</v>
      </c>
      <c r="O524" s="7" t="s">
        <v>358</v>
      </c>
      <c r="P524" s="7" t="s">
        <v>358</v>
      </c>
      <c r="Q524" s="7" t="s">
        <v>1545</v>
      </c>
      <c r="R524" t="s">
        <v>3631</v>
      </c>
    </row>
    <row r="525" spans="1:18" x14ac:dyDescent="0.3">
      <c r="A525" s="7" t="str">
        <f>HYPERLINK("https://hsdes.intel.com/resource/14013160127","14013160127")</f>
        <v>14013160127</v>
      </c>
      <c r="B525" s="7" t="s">
        <v>1546</v>
      </c>
      <c r="C525" s="7" t="s">
        <v>121</v>
      </c>
      <c r="D525" s="7" t="s">
        <v>3612</v>
      </c>
      <c r="E525" s="7" t="s">
        <v>3617</v>
      </c>
      <c r="F525" s="8" t="s">
        <v>3628</v>
      </c>
      <c r="H525" s="7" t="s">
        <v>3619</v>
      </c>
      <c r="I525" s="7" t="s">
        <v>3622</v>
      </c>
      <c r="L525" s="7" t="s">
        <v>142</v>
      </c>
      <c r="M525" s="7" t="s">
        <v>9</v>
      </c>
      <c r="N525" s="7" t="s">
        <v>56</v>
      </c>
      <c r="O525" s="7" t="s">
        <v>358</v>
      </c>
      <c r="P525" s="7" t="s">
        <v>358</v>
      </c>
      <c r="Q525" s="7" t="s">
        <v>1547</v>
      </c>
      <c r="R525" t="s">
        <v>3631</v>
      </c>
    </row>
    <row r="526" spans="1:18" x14ac:dyDescent="0.3">
      <c r="A526" s="7" t="str">
        <f>HYPERLINK("https://hsdes.intel.com/resource/14013160130","14013160130")</f>
        <v>14013160130</v>
      </c>
      <c r="B526" s="7" t="s">
        <v>1548</v>
      </c>
      <c r="C526" s="7" t="s">
        <v>121</v>
      </c>
      <c r="D526" s="7" t="s">
        <v>3612</v>
      </c>
      <c r="E526" s="7" t="s">
        <v>3617</v>
      </c>
      <c r="F526" s="8" t="s">
        <v>3628</v>
      </c>
      <c r="H526" s="7" t="s">
        <v>3619</v>
      </c>
      <c r="I526" s="7" t="s">
        <v>3622</v>
      </c>
      <c r="L526" s="7" t="s">
        <v>142</v>
      </c>
      <c r="M526" s="7" t="s">
        <v>9</v>
      </c>
      <c r="N526" s="7" t="s">
        <v>56</v>
      </c>
      <c r="O526" s="7" t="s">
        <v>1542</v>
      </c>
      <c r="P526" s="7" t="s">
        <v>1542</v>
      </c>
      <c r="Q526" s="7" t="s">
        <v>1549</v>
      </c>
      <c r="R526" t="s">
        <v>3632</v>
      </c>
    </row>
    <row r="527" spans="1:18" x14ac:dyDescent="0.3">
      <c r="A527" s="7" t="str">
        <f>HYPERLINK("https://hsdes.intel.com/resource/14013160431","14013160431")</f>
        <v>14013160431</v>
      </c>
      <c r="B527" s="7" t="s">
        <v>1550</v>
      </c>
      <c r="C527" s="7" t="s">
        <v>121</v>
      </c>
      <c r="D527" s="7" t="s">
        <v>3612</v>
      </c>
      <c r="E527" s="7" t="s">
        <v>3617</v>
      </c>
      <c r="F527" s="8" t="s">
        <v>3628</v>
      </c>
      <c r="H527" s="7" t="s">
        <v>3619</v>
      </c>
      <c r="I527" s="7" t="s">
        <v>3622</v>
      </c>
      <c r="L527" s="7" t="s">
        <v>142</v>
      </c>
      <c r="M527" s="7" t="s">
        <v>9</v>
      </c>
      <c r="N527" s="7" t="s">
        <v>39</v>
      </c>
      <c r="O527" s="7" t="s">
        <v>358</v>
      </c>
      <c r="P527" s="7" t="s">
        <v>358</v>
      </c>
      <c r="Q527" s="7" t="s">
        <v>1551</v>
      </c>
      <c r="R527" t="s">
        <v>3632</v>
      </c>
    </row>
    <row r="528" spans="1:18" x14ac:dyDescent="0.3">
      <c r="A528" s="7" t="str">
        <f>HYPERLINK("https://hsdes.intel.com/resource/14013160435","14013160435")</f>
        <v>14013160435</v>
      </c>
      <c r="B528" s="7" t="s">
        <v>1552</v>
      </c>
      <c r="C528" s="7" t="s">
        <v>121</v>
      </c>
      <c r="D528" s="7" t="s">
        <v>3612</v>
      </c>
      <c r="E528" s="7" t="s">
        <v>3617</v>
      </c>
      <c r="F528" s="8" t="s">
        <v>3628</v>
      </c>
      <c r="H528" s="7" t="s">
        <v>3619</v>
      </c>
      <c r="I528" s="7" t="s">
        <v>3622</v>
      </c>
      <c r="L528" s="7" t="s">
        <v>142</v>
      </c>
      <c r="M528" s="7" t="s">
        <v>9</v>
      </c>
      <c r="N528" s="7" t="s">
        <v>39</v>
      </c>
      <c r="O528" s="7" t="s">
        <v>358</v>
      </c>
      <c r="P528" s="7" t="s">
        <v>358</v>
      </c>
      <c r="Q528" s="7" t="s">
        <v>1553</v>
      </c>
      <c r="R528" t="s">
        <v>3631</v>
      </c>
    </row>
    <row r="529" spans="1:18" x14ac:dyDescent="0.3">
      <c r="A529" s="7" t="str">
        <f>HYPERLINK("https://hsdes.intel.com/resource/14013160456","14013160456")</f>
        <v>14013160456</v>
      </c>
      <c r="B529" s="7" t="s">
        <v>1554</v>
      </c>
      <c r="C529" s="7" t="s">
        <v>63</v>
      </c>
      <c r="D529" s="7" t="s">
        <v>3612</v>
      </c>
      <c r="E529" s="7" t="s">
        <v>3617</v>
      </c>
      <c r="F529" s="8" t="s">
        <v>3628</v>
      </c>
      <c r="H529" s="7" t="s">
        <v>3619</v>
      </c>
      <c r="I529" s="7" t="s">
        <v>3622</v>
      </c>
      <c r="L529" s="7" t="s">
        <v>64</v>
      </c>
      <c r="M529" s="7" t="s">
        <v>9</v>
      </c>
      <c r="N529" s="7" t="s">
        <v>56</v>
      </c>
      <c r="O529" s="7" t="s">
        <v>108</v>
      </c>
      <c r="P529" s="7" t="s">
        <v>109</v>
      </c>
      <c r="Q529" s="7" t="s">
        <v>1555</v>
      </c>
      <c r="R529" t="s">
        <v>3633</v>
      </c>
    </row>
    <row r="530" spans="1:18" x14ac:dyDescent="0.3">
      <c r="A530" s="7" t="str">
        <f>HYPERLINK("https://hsdes.intel.com/resource/14013160507","14013160507")</f>
        <v>14013160507</v>
      </c>
      <c r="B530" s="7" t="s">
        <v>1556</v>
      </c>
      <c r="C530" s="7" t="s">
        <v>175</v>
      </c>
      <c r="D530" s="7" t="s">
        <v>3612</v>
      </c>
      <c r="E530" s="7" t="s">
        <v>3617</v>
      </c>
      <c r="F530" s="8" t="s">
        <v>3628</v>
      </c>
      <c r="H530" s="7" t="s">
        <v>3618</v>
      </c>
      <c r="J530" s="7" t="s">
        <v>3569</v>
      </c>
      <c r="L530" s="7" t="s">
        <v>38</v>
      </c>
      <c r="M530" s="7" t="s">
        <v>94</v>
      </c>
      <c r="N530" s="7" t="s">
        <v>1557</v>
      </c>
      <c r="O530" s="7" t="s">
        <v>1558</v>
      </c>
      <c r="P530" s="7" t="s">
        <v>1558</v>
      </c>
      <c r="Q530" s="7" t="s">
        <v>1559</v>
      </c>
      <c r="R530" t="s">
        <v>3632</v>
      </c>
    </row>
    <row r="531" spans="1:18" x14ac:dyDescent="0.3">
      <c r="A531" s="7" t="str">
        <f>HYPERLINK("https://hsdes.intel.com/resource/14013160511","14013160511")</f>
        <v>14013160511</v>
      </c>
      <c r="B531" s="7" t="s">
        <v>1560</v>
      </c>
      <c r="C531" s="7" t="s">
        <v>175</v>
      </c>
      <c r="D531" s="7" t="s">
        <v>3612</v>
      </c>
      <c r="E531" s="7" t="s">
        <v>3617</v>
      </c>
      <c r="F531" s="8" t="s">
        <v>3628</v>
      </c>
      <c r="H531" s="7" t="s">
        <v>3618</v>
      </c>
      <c r="J531" s="7" t="s">
        <v>3569</v>
      </c>
      <c r="L531" s="7" t="s">
        <v>38</v>
      </c>
      <c r="M531" s="7" t="s">
        <v>94</v>
      </c>
      <c r="N531" s="7" t="s">
        <v>1557</v>
      </c>
      <c r="O531" s="7" t="s">
        <v>1558</v>
      </c>
      <c r="P531" s="7" t="s">
        <v>1558</v>
      </c>
      <c r="Q531" s="7" t="s">
        <v>1561</v>
      </c>
      <c r="R531" t="s">
        <v>3632</v>
      </c>
    </row>
    <row r="532" spans="1:18" x14ac:dyDescent="0.3">
      <c r="A532" s="7" t="str">
        <f>HYPERLINK("https://hsdes.intel.com/resource/14013160517","14013160517")</f>
        <v>14013160517</v>
      </c>
      <c r="B532" s="7" t="s">
        <v>1562</v>
      </c>
      <c r="C532" s="7" t="s">
        <v>175</v>
      </c>
      <c r="D532" s="7" t="s">
        <v>3612</v>
      </c>
      <c r="E532" s="7" t="s">
        <v>3617</v>
      </c>
      <c r="F532" s="8" t="s">
        <v>3628</v>
      </c>
      <c r="H532" s="7" t="s">
        <v>3618</v>
      </c>
      <c r="J532" s="7" t="s">
        <v>3569</v>
      </c>
      <c r="L532" s="7" t="s">
        <v>38</v>
      </c>
      <c r="M532" s="7" t="s">
        <v>94</v>
      </c>
      <c r="N532" s="7" t="s">
        <v>1557</v>
      </c>
      <c r="O532" s="7" t="s">
        <v>1558</v>
      </c>
      <c r="P532" s="7" t="s">
        <v>1558</v>
      </c>
      <c r="Q532" s="7" t="s">
        <v>1563</v>
      </c>
      <c r="R532" t="s">
        <v>3632</v>
      </c>
    </row>
    <row r="533" spans="1:18" x14ac:dyDescent="0.3">
      <c r="A533" s="7" t="str">
        <f>HYPERLINK("https://hsdes.intel.com/resource/14013160580","14013160580")</f>
        <v>14013160580</v>
      </c>
      <c r="B533" s="7" t="s">
        <v>1564</v>
      </c>
      <c r="C533" s="7" t="s">
        <v>55</v>
      </c>
      <c r="D533" s="7" t="s">
        <v>3612</v>
      </c>
      <c r="E533" s="7" t="s">
        <v>3617</v>
      </c>
      <c r="F533" s="8" t="s">
        <v>3628</v>
      </c>
      <c r="H533" s="7" t="s">
        <v>3618</v>
      </c>
      <c r="J533" s="7" t="s">
        <v>3531</v>
      </c>
      <c r="L533" s="7" t="s">
        <v>8</v>
      </c>
      <c r="M533" s="7" t="s">
        <v>9</v>
      </c>
      <c r="N533" s="7" t="s">
        <v>1565</v>
      </c>
      <c r="O533" s="7" t="s">
        <v>1566</v>
      </c>
      <c r="P533" s="7" t="s">
        <v>1566</v>
      </c>
      <c r="Q533" s="7" t="s">
        <v>1567</v>
      </c>
      <c r="R533" t="s">
        <v>3633</v>
      </c>
    </row>
    <row r="534" spans="1:18" x14ac:dyDescent="0.3">
      <c r="A534" s="7" t="str">
        <f>HYPERLINK("https://hsdes.intel.com/resource/14013160596","14013160596")</f>
        <v>14013160596</v>
      </c>
      <c r="B534" s="7" t="s">
        <v>1568</v>
      </c>
      <c r="C534" s="7" t="s">
        <v>55</v>
      </c>
      <c r="D534" s="7" t="s">
        <v>3612</v>
      </c>
      <c r="E534" s="7" t="s">
        <v>3617</v>
      </c>
      <c r="F534" s="8" t="s">
        <v>3628</v>
      </c>
      <c r="H534" s="7" t="s">
        <v>3618</v>
      </c>
      <c r="J534" s="7" t="s">
        <v>3531</v>
      </c>
      <c r="L534" s="7" t="s">
        <v>8</v>
      </c>
      <c r="M534" s="7" t="s">
        <v>9</v>
      </c>
      <c r="N534" s="7" t="s">
        <v>56</v>
      </c>
      <c r="O534" s="7" t="s">
        <v>1569</v>
      </c>
      <c r="P534" s="7" t="s">
        <v>1569</v>
      </c>
      <c r="Q534" s="7" t="s">
        <v>1570</v>
      </c>
      <c r="R534" t="s">
        <v>3633</v>
      </c>
    </row>
    <row r="535" spans="1:18" x14ac:dyDescent="0.3">
      <c r="A535" s="7" t="str">
        <f>HYPERLINK("https://hsdes.intel.com/resource/14013160602","14013160602")</f>
        <v>14013160602</v>
      </c>
      <c r="B535" s="7" t="s">
        <v>1571</v>
      </c>
      <c r="C535" s="7" t="s">
        <v>55</v>
      </c>
      <c r="D535" s="7" t="s">
        <v>3612</v>
      </c>
      <c r="E535" s="7" t="s">
        <v>3617</v>
      </c>
      <c r="F535" s="8" t="s">
        <v>3628</v>
      </c>
      <c r="H535" s="7" t="s">
        <v>3619</v>
      </c>
      <c r="I535" s="7" t="s">
        <v>3622</v>
      </c>
      <c r="L535" s="7" t="s">
        <v>30</v>
      </c>
      <c r="M535" s="7" t="s">
        <v>9</v>
      </c>
      <c r="N535" s="7" t="s">
        <v>39</v>
      </c>
      <c r="O535" s="7" t="s">
        <v>1572</v>
      </c>
      <c r="P535" s="7" t="s">
        <v>1572</v>
      </c>
      <c r="Q535" s="7" t="s">
        <v>1573</v>
      </c>
      <c r="R535" t="s">
        <v>3632</v>
      </c>
    </row>
    <row r="536" spans="1:18" x14ac:dyDescent="0.3">
      <c r="A536" s="7" t="str">
        <f>HYPERLINK("https://hsdes.intel.com/resource/14013160612","14013160612")</f>
        <v>14013160612</v>
      </c>
      <c r="B536" s="7" t="s">
        <v>1574</v>
      </c>
      <c r="C536" s="7" t="s">
        <v>55</v>
      </c>
      <c r="D536" s="7" t="s">
        <v>3612</v>
      </c>
      <c r="E536" s="7" t="s">
        <v>3617</v>
      </c>
      <c r="F536" s="8" t="s">
        <v>3628</v>
      </c>
      <c r="H536" s="7" t="s">
        <v>3619</v>
      </c>
      <c r="I536" s="7" t="s">
        <v>3649</v>
      </c>
      <c r="L536" s="7" t="s">
        <v>30</v>
      </c>
      <c r="M536" s="7" t="s">
        <v>9</v>
      </c>
      <c r="N536" s="7" t="s">
        <v>39</v>
      </c>
      <c r="O536" s="7" t="s">
        <v>1575</v>
      </c>
      <c r="P536" s="7" t="s">
        <v>1576</v>
      </c>
      <c r="Q536" s="7" t="s">
        <v>1577</v>
      </c>
      <c r="R536" t="s">
        <v>3632</v>
      </c>
    </row>
    <row r="537" spans="1:18" x14ac:dyDescent="0.3">
      <c r="A537" s="7" t="str">
        <f>HYPERLINK("https://hsdes.intel.com/resource/14013160618","14013160618")</f>
        <v>14013160618</v>
      </c>
      <c r="B537" s="7" t="s">
        <v>1578</v>
      </c>
      <c r="C537" s="7" t="s">
        <v>845</v>
      </c>
      <c r="D537" s="7" t="s">
        <v>3612</v>
      </c>
      <c r="E537" s="7" t="s">
        <v>3617</v>
      </c>
      <c r="F537" s="8" t="s">
        <v>3628</v>
      </c>
      <c r="H537" s="7" t="s">
        <v>3619</v>
      </c>
      <c r="I537" s="7" t="s">
        <v>3622</v>
      </c>
      <c r="L537" s="7" t="s">
        <v>142</v>
      </c>
      <c r="M537" s="7" t="s">
        <v>9</v>
      </c>
      <c r="N537" s="7" t="s">
        <v>56</v>
      </c>
      <c r="O537" s="7" t="s">
        <v>1579</v>
      </c>
      <c r="P537" s="7" t="s">
        <v>1580</v>
      </c>
      <c r="Q537" s="7" t="s">
        <v>1581</v>
      </c>
      <c r="R537" t="s">
        <v>3632</v>
      </c>
    </row>
    <row r="538" spans="1:18" x14ac:dyDescent="0.3">
      <c r="A538" s="7" t="str">
        <f>HYPERLINK("https://hsdes.intel.com/resource/14013160634","14013160634")</f>
        <v>14013160634</v>
      </c>
      <c r="B538" s="7" t="s">
        <v>1582</v>
      </c>
      <c r="C538" s="7" t="s">
        <v>175</v>
      </c>
      <c r="D538" s="7" t="s">
        <v>3612</v>
      </c>
      <c r="E538" s="7" t="s">
        <v>3617</v>
      </c>
      <c r="F538" s="8" t="s">
        <v>3628</v>
      </c>
      <c r="H538" s="7" t="s">
        <v>3618</v>
      </c>
      <c r="J538" s="7" t="s">
        <v>3569</v>
      </c>
      <c r="L538" s="7" t="s">
        <v>38</v>
      </c>
      <c r="M538" s="7" t="s">
        <v>94</v>
      </c>
      <c r="N538" s="7" t="s">
        <v>122</v>
      </c>
      <c r="O538" s="7" t="s">
        <v>178</v>
      </c>
      <c r="P538" s="7" t="s">
        <v>178</v>
      </c>
      <c r="Q538" s="7" t="s">
        <v>1583</v>
      </c>
      <c r="R538" t="s">
        <v>3632</v>
      </c>
    </row>
    <row r="539" spans="1:18" x14ac:dyDescent="0.3">
      <c r="A539" s="7" t="str">
        <f>HYPERLINK("https://hsdes.intel.com/resource/14013160644","14013160644")</f>
        <v>14013160644</v>
      </c>
      <c r="B539" s="7" t="s">
        <v>1584</v>
      </c>
      <c r="C539" s="7" t="s">
        <v>175</v>
      </c>
      <c r="D539" s="7" t="s">
        <v>3612</v>
      </c>
      <c r="E539" s="7" t="s">
        <v>3617</v>
      </c>
      <c r="F539" s="8" t="s">
        <v>3628</v>
      </c>
      <c r="H539" s="7" t="s">
        <v>3618</v>
      </c>
      <c r="J539" s="7" t="s">
        <v>3569</v>
      </c>
      <c r="L539" s="7" t="s">
        <v>38</v>
      </c>
      <c r="M539" s="7" t="s">
        <v>94</v>
      </c>
      <c r="N539" s="7" t="s">
        <v>56</v>
      </c>
      <c r="O539" s="7" t="s">
        <v>1558</v>
      </c>
      <c r="P539" s="7" t="s">
        <v>1558</v>
      </c>
      <c r="Q539" s="7" t="s">
        <v>1585</v>
      </c>
      <c r="R539" t="s">
        <v>3632</v>
      </c>
    </row>
    <row r="540" spans="1:18" x14ac:dyDescent="0.3">
      <c r="A540" s="7" t="str">
        <f>HYPERLINK("https://hsdes.intel.com/resource/14013160649","14013160649")</f>
        <v>14013160649</v>
      </c>
      <c r="B540" s="7" t="s">
        <v>1586</v>
      </c>
      <c r="C540" s="7" t="s">
        <v>175</v>
      </c>
      <c r="D540" s="7" t="s">
        <v>3612</v>
      </c>
      <c r="E540" s="7" t="s">
        <v>3617</v>
      </c>
      <c r="F540" s="8" t="s">
        <v>3628</v>
      </c>
      <c r="H540" s="7" t="s">
        <v>3618</v>
      </c>
      <c r="J540" s="7" t="s">
        <v>3569</v>
      </c>
      <c r="L540" s="7" t="s">
        <v>38</v>
      </c>
      <c r="M540" s="7" t="s">
        <v>94</v>
      </c>
      <c r="N540" s="7" t="s">
        <v>56</v>
      </c>
      <c r="O540" s="7" t="s">
        <v>1558</v>
      </c>
      <c r="P540" s="7" t="s">
        <v>1558</v>
      </c>
      <c r="Q540" s="7" t="s">
        <v>1587</v>
      </c>
      <c r="R540" t="s">
        <v>3632</v>
      </c>
    </row>
    <row r="541" spans="1:18" x14ac:dyDescent="0.3">
      <c r="A541" s="7" t="str">
        <f>HYPERLINK("https://hsdes.intel.com/resource/14013160650","14013160650")</f>
        <v>14013160650</v>
      </c>
      <c r="B541" s="7" t="s">
        <v>1588</v>
      </c>
      <c r="C541" s="7" t="s">
        <v>175</v>
      </c>
      <c r="D541" s="7" t="s">
        <v>3612</v>
      </c>
      <c r="E541" s="7" t="s">
        <v>3617</v>
      </c>
      <c r="F541" s="8" t="s">
        <v>3628</v>
      </c>
      <c r="H541" s="7" t="s">
        <v>3618</v>
      </c>
      <c r="J541" s="7" t="s">
        <v>3569</v>
      </c>
      <c r="L541" s="7" t="s">
        <v>38</v>
      </c>
      <c r="M541" s="7" t="s">
        <v>94</v>
      </c>
      <c r="N541" s="7" t="s">
        <v>56</v>
      </c>
      <c r="O541" s="7" t="s">
        <v>1558</v>
      </c>
      <c r="P541" s="7" t="s">
        <v>1558</v>
      </c>
      <c r="Q541" s="7" t="s">
        <v>1589</v>
      </c>
      <c r="R541" t="s">
        <v>3632</v>
      </c>
    </row>
    <row r="542" spans="1:18" x14ac:dyDescent="0.3">
      <c r="A542" s="7" t="str">
        <f>HYPERLINK("https://hsdes.intel.com/resource/14013160651","14013160651")</f>
        <v>14013160651</v>
      </c>
      <c r="B542" s="7" t="s">
        <v>1590</v>
      </c>
      <c r="C542" s="7" t="s">
        <v>175</v>
      </c>
      <c r="D542" s="7" t="s">
        <v>3612</v>
      </c>
      <c r="E542" s="7" t="s">
        <v>3617</v>
      </c>
      <c r="F542" s="8" t="s">
        <v>3628</v>
      </c>
      <c r="H542" s="7" t="s">
        <v>3618</v>
      </c>
      <c r="J542" s="7" t="s">
        <v>3569</v>
      </c>
      <c r="L542" s="7" t="s">
        <v>38</v>
      </c>
      <c r="M542" s="7" t="s">
        <v>94</v>
      </c>
      <c r="N542" s="7" t="s">
        <v>56</v>
      </c>
      <c r="O542" s="7" t="s">
        <v>178</v>
      </c>
      <c r="P542" s="7" t="s">
        <v>178</v>
      </c>
      <c r="Q542" s="7" t="s">
        <v>1591</v>
      </c>
      <c r="R542" t="s">
        <v>3632</v>
      </c>
    </row>
    <row r="543" spans="1:18" x14ac:dyDescent="0.3">
      <c r="A543" s="7" t="str">
        <f>HYPERLINK("https://hsdes.intel.com/resource/14013160652","14013160652")</f>
        <v>14013160652</v>
      </c>
      <c r="B543" s="7" t="s">
        <v>1592</v>
      </c>
      <c r="C543" s="7" t="s">
        <v>175</v>
      </c>
      <c r="D543" s="7" t="s">
        <v>3612</v>
      </c>
      <c r="E543" s="7" t="s">
        <v>3617</v>
      </c>
      <c r="F543" s="8" t="s">
        <v>3628</v>
      </c>
      <c r="H543" s="7" t="s">
        <v>3618</v>
      </c>
      <c r="J543" s="7" t="s">
        <v>3569</v>
      </c>
      <c r="L543" s="7" t="s">
        <v>38</v>
      </c>
      <c r="M543" s="7" t="s">
        <v>94</v>
      </c>
      <c r="N543" s="7" t="s">
        <v>56</v>
      </c>
      <c r="O543" s="7" t="s">
        <v>1558</v>
      </c>
      <c r="P543" s="7" t="s">
        <v>1558</v>
      </c>
      <c r="Q543" s="7" t="s">
        <v>1593</v>
      </c>
      <c r="R543" t="s">
        <v>3632</v>
      </c>
    </row>
    <row r="544" spans="1:18" x14ac:dyDescent="0.3">
      <c r="A544" s="7" t="str">
        <f>HYPERLINK("https://hsdes.intel.com/resource/14013160653","14013160653")</f>
        <v>14013160653</v>
      </c>
      <c r="B544" s="7" t="s">
        <v>1594</v>
      </c>
      <c r="C544" s="7" t="s">
        <v>175</v>
      </c>
      <c r="D544" s="7" t="s">
        <v>3612</v>
      </c>
      <c r="E544" s="7" t="s">
        <v>3617</v>
      </c>
      <c r="F544" s="8" t="s">
        <v>3628</v>
      </c>
      <c r="H544" s="7" t="s">
        <v>3618</v>
      </c>
      <c r="J544" s="7" t="s">
        <v>3569</v>
      </c>
      <c r="L544" s="7" t="s">
        <v>38</v>
      </c>
      <c r="M544" s="7" t="s">
        <v>94</v>
      </c>
      <c r="N544" s="7" t="s">
        <v>56</v>
      </c>
      <c r="O544" s="7" t="s">
        <v>1558</v>
      </c>
      <c r="P544" s="7" t="s">
        <v>1558</v>
      </c>
      <c r="Q544" s="7" t="s">
        <v>1595</v>
      </c>
      <c r="R544" t="s">
        <v>3632</v>
      </c>
    </row>
    <row r="545" spans="1:18" x14ac:dyDescent="0.3">
      <c r="A545" s="7" t="str">
        <f>HYPERLINK("https://hsdes.intel.com/resource/14013160654","14013160654")</f>
        <v>14013160654</v>
      </c>
      <c r="B545" s="7" t="s">
        <v>1596</v>
      </c>
      <c r="C545" s="7" t="s">
        <v>175</v>
      </c>
      <c r="D545" s="7" t="s">
        <v>3612</v>
      </c>
      <c r="E545" s="7" t="s">
        <v>3617</v>
      </c>
      <c r="F545" s="8" t="s">
        <v>3628</v>
      </c>
      <c r="H545" s="7" t="s">
        <v>3618</v>
      </c>
      <c r="J545" s="7" t="s">
        <v>3569</v>
      </c>
      <c r="L545" s="7" t="s">
        <v>38</v>
      </c>
      <c r="M545" s="7" t="s">
        <v>94</v>
      </c>
      <c r="N545" s="7" t="s">
        <v>56</v>
      </c>
      <c r="O545" s="7" t="s">
        <v>1558</v>
      </c>
      <c r="P545" s="7" t="s">
        <v>1558</v>
      </c>
      <c r="Q545" s="7" t="s">
        <v>1597</v>
      </c>
      <c r="R545" t="s">
        <v>3632</v>
      </c>
    </row>
    <row r="546" spans="1:18" x14ac:dyDescent="0.3">
      <c r="A546" s="7" t="str">
        <f>HYPERLINK("https://hsdes.intel.com/resource/14013160655","14013160655")</f>
        <v>14013160655</v>
      </c>
      <c r="B546" s="7" t="s">
        <v>1598</v>
      </c>
      <c r="C546" s="7" t="s">
        <v>212</v>
      </c>
      <c r="D546" s="7" t="s">
        <v>3612</v>
      </c>
      <c r="E546" s="7" t="s">
        <v>3617</v>
      </c>
      <c r="F546" s="8" t="s">
        <v>3628</v>
      </c>
      <c r="H546" s="7" t="s">
        <v>3620</v>
      </c>
      <c r="I546" s="7" t="s">
        <v>3654</v>
      </c>
      <c r="J546" s="7" t="s">
        <v>3526</v>
      </c>
      <c r="L546" s="7" t="s">
        <v>24</v>
      </c>
      <c r="M546" s="7" t="s">
        <v>9</v>
      </c>
      <c r="N546" s="7" t="s">
        <v>1088</v>
      </c>
      <c r="O546" s="7" t="s">
        <v>1365</v>
      </c>
      <c r="P546" s="7" t="s">
        <v>1366</v>
      </c>
      <c r="Q546" s="7" t="s">
        <v>1599</v>
      </c>
      <c r="R546" t="s">
        <v>3633</v>
      </c>
    </row>
    <row r="547" spans="1:18" x14ac:dyDescent="0.3">
      <c r="A547" s="7" t="str">
        <f>HYPERLINK("https://hsdes.intel.com/resource/14013160659","14013160659")</f>
        <v>14013160659</v>
      </c>
      <c r="B547" s="7" t="s">
        <v>1600</v>
      </c>
      <c r="C547" s="7" t="s">
        <v>212</v>
      </c>
      <c r="D547" s="7" t="s">
        <v>3612</v>
      </c>
      <c r="E547" s="7" t="s">
        <v>3617</v>
      </c>
      <c r="F547" s="8" t="s">
        <v>3628</v>
      </c>
      <c r="H547" s="7" t="s">
        <v>3620</v>
      </c>
      <c r="I547" s="7" t="s">
        <v>3654</v>
      </c>
      <c r="J547" s="7" t="s">
        <v>3526</v>
      </c>
      <c r="L547" s="7" t="s">
        <v>24</v>
      </c>
      <c r="M547" s="7" t="s">
        <v>9</v>
      </c>
      <c r="N547" s="7" t="s">
        <v>1601</v>
      </c>
      <c r="O547" s="7" t="s">
        <v>1602</v>
      </c>
      <c r="P547" s="7" t="s">
        <v>1603</v>
      </c>
      <c r="Q547" s="7" t="s">
        <v>1604</v>
      </c>
      <c r="R547" t="s">
        <v>3633</v>
      </c>
    </row>
    <row r="548" spans="1:18" x14ac:dyDescent="0.3">
      <c r="A548" s="7" t="str">
        <f>HYPERLINK("https://hsdes.intel.com/resource/14013160660","14013160660")</f>
        <v>14013160660</v>
      </c>
      <c r="B548" s="7" t="s">
        <v>1605</v>
      </c>
      <c r="C548" s="7" t="s">
        <v>212</v>
      </c>
      <c r="D548" s="7" t="s">
        <v>3612</v>
      </c>
      <c r="E548" s="7" t="s">
        <v>3617</v>
      </c>
      <c r="F548" s="8" t="s">
        <v>3628</v>
      </c>
      <c r="H548" s="7" t="s">
        <v>3620</v>
      </c>
      <c r="I548" s="7" t="s">
        <v>3654</v>
      </c>
      <c r="J548" s="7" t="s">
        <v>3526</v>
      </c>
      <c r="L548" s="7" t="s">
        <v>24</v>
      </c>
      <c r="M548" s="7" t="s">
        <v>9</v>
      </c>
      <c r="N548" s="7" t="s">
        <v>39</v>
      </c>
      <c r="O548" s="7" t="s">
        <v>1606</v>
      </c>
      <c r="P548" s="7" t="s">
        <v>1366</v>
      </c>
      <c r="Q548" s="7" t="s">
        <v>1607</v>
      </c>
      <c r="R548" t="s">
        <v>3633</v>
      </c>
    </row>
    <row r="549" spans="1:18" x14ac:dyDescent="0.3">
      <c r="A549" s="7" t="str">
        <f>HYPERLINK("https://hsdes.intel.com/resource/14013160677","14013160677")</f>
        <v>14013160677</v>
      </c>
      <c r="B549" s="7" t="s">
        <v>1608</v>
      </c>
      <c r="C549" s="7" t="s">
        <v>175</v>
      </c>
      <c r="D549" s="7" t="s">
        <v>3612</v>
      </c>
      <c r="E549" s="7" t="s">
        <v>3617</v>
      </c>
      <c r="F549" s="8" t="s">
        <v>3628</v>
      </c>
      <c r="H549" s="7" t="s">
        <v>3618</v>
      </c>
      <c r="J549" s="7" t="s">
        <v>3569</v>
      </c>
      <c r="L549" s="7" t="s">
        <v>38</v>
      </c>
      <c r="M549" s="7" t="s">
        <v>94</v>
      </c>
      <c r="N549" s="7" t="s">
        <v>176</v>
      </c>
      <c r="O549" s="7" t="s">
        <v>1609</v>
      </c>
      <c r="P549" s="7" t="s">
        <v>1610</v>
      </c>
      <c r="Q549" s="7" t="s">
        <v>1611</v>
      </c>
      <c r="R549" t="s">
        <v>3632</v>
      </c>
    </row>
    <row r="550" spans="1:18" x14ac:dyDescent="0.3">
      <c r="A550" s="7" t="str">
        <f>HYPERLINK("https://hsdes.intel.com/resource/14013160679","14013160679")</f>
        <v>14013160679</v>
      </c>
      <c r="B550" s="7" t="s">
        <v>1612</v>
      </c>
      <c r="C550" s="7" t="s">
        <v>175</v>
      </c>
      <c r="D550" s="7" t="s">
        <v>3612</v>
      </c>
      <c r="E550" s="7" t="s">
        <v>3617</v>
      </c>
      <c r="F550" s="8" t="s">
        <v>3628</v>
      </c>
      <c r="H550" s="7" t="s">
        <v>3618</v>
      </c>
      <c r="J550" s="7" t="s">
        <v>3569</v>
      </c>
      <c r="L550" s="7" t="s">
        <v>38</v>
      </c>
      <c r="M550" s="7" t="s">
        <v>94</v>
      </c>
      <c r="N550" s="7" t="s">
        <v>122</v>
      </c>
      <c r="O550" s="7" t="s">
        <v>1609</v>
      </c>
      <c r="P550" s="7" t="s">
        <v>1610</v>
      </c>
      <c r="Q550" s="7" t="s">
        <v>1613</v>
      </c>
      <c r="R550" t="s">
        <v>3632</v>
      </c>
    </row>
    <row r="551" spans="1:18" x14ac:dyDescent="0.3">
      <c r="A551" s="7" t="str">
        <f>HYPERLINK("https://hsdes.intel.com/resource/14013160682","14013160682")</f>
        <v>14013160682</v>
      </c>
      <c r="B551" s="7" t="s">
        <v>1614</v>
      </c>
      <c r="C551" s="7" t="s">
        <v>175</v>
      </c>
      <c r="D551" s="7" t="s">
        <v>3612</v>
      </c>
      <c r="E551" s="7" t="s">
        <v>3617</v>
      </c>
      <c r="F551" s="8" t="s">
        <v>3628</v>
      </c>
      <c r="H551" s="7" t="s">
        <v>3618</v>
      </c>
      <c r="J551" s="7" t="s">
        <v>3569</v>
      </c>
      <c r="L551" s="7" t="s">
        <v>38</v>
      </c>
      <c r="M551" s="7" t="s">
        <v>94</v>
      </c>
      <c r="N551" s="7" t="s">
        <v>56</v>
      </c>
      <c r="O551" s="7" t="s">
        <v>1609</v>
      </c>
      <c r="P551" s="7" t="s">
        <v>1610</v>
      </c>
      <c r="Q551" s="7" t="s">
        <v>1615</v>
      </c>
      <c r="R551" t="s">
        <v>3632</v>
      </c>
    </row>
    <row r="552" spans="1:18" x14ac:dyDescent="0.3">
      <c r="A552" s="7" t="str">
        <f>HYPERLINK("https://hsdes.intel.com/resource/14013160683","14013160683")</f>
        <v>14013160683</v>
      </c>
      <c r="B552" s="7" t="s">
        <v>1616</v>
      </c>
      <c r="C552" s="7" t="s">
        <v>175</v>
      </c>
      <c r="D552" s="7" t="s">
        <v>3612</v>
      </c>
      <c r="E552" s="7" t="s">
        <v>3617</v>
      </c>
      <c r="F552" s="8" t="s">
        <v>3628</v>
      </c>
      <c r="H552" s="7" t="s">
        <v>3618</v>
      </c>
      <c r="J552" s="7" t="s">
        <v>3569</v>
      </c>
      <c r="L552" s="7" t="s">
        <v>38</v>
      </c>
      <c r="M552" s="7" t="s">
        <v>94</v>
      </c>
      <c r="N552" s="7" t="s">
        <v>56</v>
      </c>
      <c r="O552" s="7" t="s">
        <v>1609</v>
      </c>
      <c r="P552" s="7" t="s">
        <v>1610</v>
      </c>
      <c r="Q552" s="7" t="s">
        <v>1617</v>
      </c>
      <c r="R552" t="s">
        <v>3632</v>
      </c>
    </row>
    <row r="553" spans="1:18" x14ac:dyDescent="0.3">
      <c r="A553" s="7" t="str">
        <f>HYPERLINK("https://hsdes.intel.com/resource/14013160687","14013160687")</f>
        <v>14013160687</v>
      </c>
      <c r="B553" s="7" t="s">
        <v>1618</v>
      </c>
      <c r="C553" s="7" t="s">
        <v>845</v>
      </c>
      <c r="D553" s="7" t="s">
        <v>3612</v>
      </c>
      <c r="E553" s="7" t="s">
        <v>3617</v>
      </c>
      <c r="F553" s="8" t="s">
        <v>3628</v>
      </c>
      <c r="H553" s="7" t="s">
        <v>3619</v>
      </c>
      <c r="I553" s="7" t="s">
        <v>3622</v>
      </c>
      <c r="L553" s="7" t="s">
        <v>142</v>
      </c>
      <c r="M553" s="7" t="s">
        <v>9</v>
      </c>
      <c r="N553" s="7" t="s">
        <v>56</v>
      </c>
      <c r="O553" s="7" t="s">
        <v>1619</v>
      </c>
      <c r="P553" s="7" t="s">
        <v>1620</v>
      </c>
      <c r="Q553" s="7" t="s">
        <v>1621</v>
      </c>
      <c r="R553" t="s">
        <v>3631</v>
      </c>
    </row>
    <row r="554" spans="1:18" x14ac:dyDescent="0.3">
      <c r="A554" s="7" t="str">
        <f>HYPERLINK("https://hsdes.intel.com/resource/14013160688","14013160688")</f>
        <v>14013160688</v>
      </c>
      <c r="B554" s="7" t="s">
        <v>1622</v>
      </c>
      <c r="C554" s="7" t="s">
        <v>845</v>
      </c>
      <c r="D554" s="7" t="s">
        <v>3612</v>
      </c>
      <c r="E554" s="7" t="s">
        <v>3617</v>
      </c>
      <c r="F554" s="8" t="s">
        <v>3628</v>
      </c>
      <c r="H554" s="7" t="s">
        <v>3619</v>
      </c>
      <c r="I554" s="7" t="s">
        <v>3622</v>
      </c>
      <c r="L554" s="7" t="s">
        <v>142</v>
      </c>
      <c r="M554" s="7" t="s">
        <v>9</v>
      </c>
      <c r="N554" s="7" t="s">
        <v>1063</v>
      </c>
      <c r="O554" s="7" t="s">
        <v>1619</v>
      </c>
      <c r="P554" s="7" t="s">
        <v>1620</v>
      </c>
      <c r="Q554" s="7" t="s">
        <v>1623</v>
      </c>
      <c r="R554" t="s">
        <v>3631</v>
      </c>
    </row>
    <row r="555" spans="1:18" x14ac:dyDescent="0.3">
      <c r="A555" s="7" t="str">
        <f>HYPERLINK("https://hsdes.intel.com/resource/14013160691","14013160691")</f>
        <v>14013160691</v>
      </c>
      <c r="B555" s="7" t="s">
        <v>1624</v>
      </c>
      <c r="C555" s="7" t="s">
        <v>845</v>
      </c>
      <c r="D555" s="7" t="s">
        <v>3612</v>
      </c>
      <c r="E555" s="7" t="s">
        <v>3617</v>
      </c>
      <c r="F555" s="8" t="s">
        <v>3628</v>
      </c>
      <c r="H555" s="7" t="s">
        <v>3619</v>
      </c>
      <c r="I555" s="7" t="s">
        <v>3622</v>
      </c>
      <c r="L555" s="7" t="s">
        <v>142</v>
      </c>
      <c r="M555" s="7" t="s">
        <v>9</v>
      </c>
      <c r="N555" s="7" t="s">
        <v>1063</v>
      </c>
      <c r="O555" s="7" t="s">
        <v>1619</v>
      </c>
      <c r="P555" s="7" t="s">
        <v>1620</v>
      </c>
      <c r="Q555" s="7" t="s">
        <v>1625</v>
      </c>
      <c r="R555" t="s">
        <v>3631</v>
      </c>
    </row>
    <row r="556" spans="1:18" x14ac:dyDescent="0.3">
      <c r="A556" s="7" t="str">
        <f>HYPERLINK("https://hsdes.intel.com/resource/14013160703","14013160703")</f>
        <v>14013160703</v>
      </c>
      <c r="B556" s="7" t="s">
        <v>1626</v>
      </c>
      <c r="C556" s="7" t="s">
        <v>161</v>
      </c>
      <c r="D556" s="7" t="s">
        <v>3612</v>
      </c>
      <c r="E556" s="7" t="s">
        <v>3617</v>
      </c>
      <c r="F556" s="8" t="s">
        <v>3628</v>
      </c>
      <c r="H556" s="7" t="s">
        <v>3618</v>
      </c>
      <c r="J556" s="7" t="s">
        <v>3529</v>
      </c>
      <c r="L556" s="7" t="s">
        <v>38</v>
      </c>
      <c r="M556" s="7" t="s">
        <v>94</v>
      </c>
      <c r="N556" s="7" t="s">
        <v>56</v>
      </c>
      <c r="O556" s="7" t="s">
        <v>1627</v>
      </c>
      <c r="P556" s="7" t="s">
        <v>1628</v>
      </c>
      <c r="Q556" s="7" t="s">
        <v>1629</v>
      </c>
      <c r="R556" t="s">
        <v>3632</v>
      </c>
    </row>
    <row r="557" spans="1:18" x14ac:dyDescent="0.3">
      <c r="A557" s="7" t="str">
        <f>HYPERLINK("https://hsdes.intel.com/resource/14013160714","14013160714")</f>
        <v>14013160714</v>
      </c>
      <c r="B557" s="7" t="s">
        <v>1630</v>
      </c>
      <c r="C557" s="7" t="s">
        <v>175</v>
      </c>
      <c r="D557" s="7" t="s">
        <v>3612</v>
      </c>
      <c r="E557" s="7" t="s">
        <v>3617</v>
      </c>
      <c r="F557" s="8" t="s">
        <v>3628</v>
      </c>
      <c r="H557" s="7" t="s">
        <v>3618</v>
      </c>
      <c r="J557" s="7" t="s">
        <v>3569</v>
      </c>
      <c r="L557" s="7" t="s">
        <v>38</v>
      </c>
      <c r="M557" s="7" t="s">
        <v>94</v>
      </c>
      <c r="N557" s="7" t="s">
        <v>56</v>
      </c>
      <c r="O557" s="7" t="s">
        <v>1609</v>
      </c>
      <c r="P557" s="7" t="s">
        <v>1610</v>
      </c>
      <c r="Q557" s="7" t="s">
        <v>1631</v>
      </c>
      <c r="R557" t="s">
        <v>3632</v>
      </c>
    </row>
    <row r="558" spans="1:18" x14ac:dyDescent="0.3">
      <c r="A558" s="7" t="str">
        <f>HYPERLINK("https://hsdes.intel.com/resource/14013160716","14013160716")</f>
        <v>14013160716</v>
      </c>
      <c r="B558" s="7" t="s">
        <v>1632</v>
      </c>
      <c r="C558" s="7" t="s">
        <v>212</v>
      </c>
      <c r="D558" s="7" t="s">
        <v>3612</v>
      </c>
      <c r="E558" s="7" t="s">
        <v>3617</v>
      </c>
      <c r="F558" s="8" t="s">
        <v>3628</v>
      </c>
      <c r="H558" s="7" t="s">
        <v>3620</v>
      </c>
      <c r="I558" s="7" t="s">
        <v>3654</v>
      </c>
      <c r="J558" s="7" t="s">
        <v>3526</v>
      </c>
      <c r="L558" s="7" t="s">
        <v>24</v>
      </c>
      <c r="M558" s="7" t="s">
        <v>94</v>
      </c>
      <c r="N558" s="7" t="s">
        <v>39</v>
      </c>
      <c r="O558" s="7" t="s">
        <v>1633</v>
      </c>
      <c r="P558" s="7" t="s">
        <v>1634</v>
      </c>
      <c r="Q558" s="7" t="s">
        <v>1635</v>
      </c>
      <c r="R558" t="s">
        <v>3633</v>
      </c>
    </row>
    <row r="559" spans="1:18" x14ac:dyDescent="0.3">
      <c r="A559" s="7" t="str">
        <f>HYPERLINK("https://hsdes.intel.com/resource/14013160718","14013160718")</f>
        <v>14013160718</v>
      </c>
      <c r="B559" s="7" t="s">
        <v>1636</v>
      </c>
      <c r="C559" s="7" t="s">
        <v>212</v>
      </c>
      <c r="D559" s="7" t="s">
        <v>3612</v>
      </c>
      <c r="E559" s="7" t="s">
        <v>3617</v>
      </c>
      <c r="F559" s="8" t="s">
        <v>3628</v>
      </c>
      <c r="H559" s="7" t="s">
        <v>3620</v>
      </c>
      <c r="I559" s="7" t="s">
        <v>3654</v>
      </c>
      <c r="J559" s="7" t="s">
        <v>3526</v>
      </c>
      <c r="L559" s="7" t="s">
        <v>24</v>
      </c>
      <c r="M559" s="7" t="s">
        <v>9</v>
      </c>
      <c r="N559" s="7" t="s">
        <v>1637</v>
      </c>
      <c r="O559" s="7" t="s">
        <v>944</v>
      </c>
      <c r="P559" s="7" t="s">
        <v>945</v>
      </c>
      <c r="Q559" s="7" t="s">
        <v>1638</v>
      </c>
      <c r="R559" t="s">
        <v>3633</v>
      </c>
    </row>
    <row r="560" spans="1:18" x14ac:dyDescent="0.3">
      <c r="A560" s="7" t="str">
        <f>HYPERLINK("https://hsdes.intel.com/resource/14013160721","14013160721")</f>
        <v>14013160721</v>
      </c>
      <c r="B560" s="7" t="s">
        <v>1639</v>
      </c>
      <c r="C560" s="7" t="s">
        <v>212</v>
      </c>
      <c r="D560" s="7" t="s">
        <v>3612</v>
      </c>
      <c r="E560" s="7" t="s">
        <v>3617</v>
      </c>
      <c r="F560" s="8" t="s">
        <v>3628</v>
      </c>
      <c r="H560" s="7" t="s">
        <v>3620</v>
      </c>
      <c r="I560" s="7" t="s">
        <v>3654</v>
      </c>
      <c r="J560" s="7" t="s">
        <v>3526</v>
      </c>
      <c r="L560" s="7" t="s">
        <v>24</v>
      </c>
      <c r="M560" s="7" t="s">
        <v>9</v>
      </c>
      <c r="N560" s="7" t="s">
        <v>39</v>
      </c>
      <c r="O560" s="7" t="s">
        <v>1606</v>
      </c>
      <c r="P560" s="7" t="s">
        <v>1366</v>
      </c>
      <c r="Q560" s="7" t="s">
        <v>1640</v>
      </c>
      <c r="R560" t="s">
        <v>3633</v>
      </c>
    </row>
    <row r="561" spans="1:20" x14ac:dyDescent="0.3">
      <c r="A561" s="7" t="str">
        <f>HYPERLINK("https://hsdes.intel.com/resource/14013160722","14013160722")</f>
        <v>14013160722</v>
      </c>
      <c r="B561" s="7" t="s">
        <v>1641</v>
      </c>
      <c r="C561" s="7" t="s">
        <v>212</v>
      </c>
      <c r="D561" s="7" t="s">
        <v>3612</v>
      </c>
      <c r="E561" s="7" t="s">
        <v>3617</v>
      </c>
      <c r="F561" s="8" t="s">
        <v>3628</v>
      </c>
      <c r="H561" s="7" t="s">
        <v>3620</v>
      </c>
      <c r="I561" s="7" t="s">
        <v>3654</v>
      </c>
      <c r="J561" s="7" t="s">
        <v>3526</v>
      </c>
      <c r="L561" s="7" t="s">
        <v>24</v>
      </c>
      <c r="M561" s="7" t="s">
        <v>9</v>
      </c>
      <c r="N561" s="7" t="s">
        <v>39</v>
      </c>
      <c r="O561" s="7" t="s">
        <v>885</v>
      </c>
      <c r="P561" s="7" t="s">
        <v>1642</v>
      </c>
      <c r="Q561" s="7" t="s">
        <v>1643</v>
      </c>
      <c r="R561" t="s">
        <v>3633</v>
      </c>
    </row>
    <row r="562" spans="1:20" x14ac:dyDescent="0.3">
      <c r="A562" s="7" t="str">
        <f>HYPERLINK("https://hsdes.intel.com/resource/14013160723","14013160723")</f>
        <v>14013160723</v>
      </c>
      <c r="B562" s="7" t="s">
        <v>1644</v>
      </c>
      <c r="C562" s="7" t="s">
        <v>63</v>
      </c>
      <c r="D562" s="7" t="s">
        <v>3612</v>
      </c>
      <c r="E562" s="7" t="s">
        <v>3617</v>
      </c>
      <c r="F562" s="8" t="s">
        <v>3628</v>
      </c>
      <c r="H562" s="7" t="s">
        <v>3619</v>
      </c>
      <c r="I562" s="7" t="s">
        <v>3622</v>
      </c>
      <c r="L562" s="7" t="s">
        <v>64</v>
      </c>
      <c r="M562" s="7" t="s">
        <v>9</v>
      </c>
      <c r="N562" s="7" t="s">
        <v>56</v>
      </c>
      <c r="O562" s="7" t="s">
        <v>1645</v>
      </c>
      <c r="P562" s="7" t="s">
        <v>192</v>
      </c>
      <c r="Q562" s="7" t="s">
        <v>1646</v>
      </c>
      <c r="R562" t="s">
        <v>3632</v>
      </c>
    </row>
    <row r="563" spans="1:20" x14ac:dyDescent="0.3">
      <c r="A563" s="7" t="str">
        <f>HYPERLINK("https://hsdes.intel.com/resource/14013160725","14013160725")</f>
        <v>14013160725</v>
      </c>
      <c r="B563" s="7" t="s">
        <v>1647</v>
      </c>
      <c r="C563" s="7" t="s">
        <v>55</v>
      </c>
      <c r="D563" s="7" t="s">
        <v>3612</v>
      </c>
      <c r="E563" s="7" t="s">
        <v>3617</v>
      </c>
      <c r="F563" s="8" t="s">
        <v>3628</v>
      </c>
      <c r="H563" s="7" t="s">
        <v>3619</v>
      </c>
      <c r="I563" s="7" t="s">
        <v>3622</v>
      </c>
      <c r="L563" s="7" t="s">
        <v>30</v>
      </c>
      <c r="M563" s="7" t="s">
        <v>9</v>
      </c>
      <c r="N563" s="7" t="s">
        <v>39</v>
      </c>
      <c r="O563" s="7" t="s">
        <v>1648</v>
      </c>
      <c r="P563" s="7" t="s">
        <v>1649</v>
      </c>
      <c r="Q563" s="7" t="s">
        <v>1650</v>
      </c>
      <c r="R563" t="s">
        <v>3632</v>
      </c>
    </row>
    <row r="564" spans="1:20" x14ac:dyDescent="0.3">
      <c r="A564" s="7" t="str">
        <f>HYPERLINK("https://hsdes.intel.com/resource/14013160726","14013160726")</f>
        <v>14013160726</v>
      </c>
      <c r="B564" s="7" t="s">
        <v>1651</v>
      </c>
      <c r="C564" s="7" t="s">
        <v>7</v>
      </c>
      <c r="D564" s="7" t="s">
        <v>3612</v>
      </c>
      <c r="E564" s="7" t="s">
        <v>3617</v>
      </c>
      <c r="F564" s="8" t="s">
        <v>3628</v>
      </c>
      <c r="H564" s="7" t="s">
        <v>3619</v>
      </c>
      <c r="I564" s="7" t="s">
        <v>3640</v>
      </c>
      <c r="L564" s="7" t="s">
        <v>8</v>
      </c>
      <c r="M564" s="7" t="s">
        <v>9</v>
      </c>
      <c r="N564" s="7" t="s">
        <v>10</v>
      </c>
      <c r="O564" s="7" t="s">
        <v>1652</v>
      </c>
      <c r="P564" s="7" t="s">
        <v>1653</v>
      </c>
      <c r="Q564" s="7" t="s">
        <v>1654</v>
      </c>
      <c r="R564" t="s">
        <v>3632</v>
      </c>
    </row>
    <row r="565" spans="1:20" x14ac:dyDescent="0.3">
      <c r="A565" s="7" t="str">
        <f>HYPERLINK("https://hsdes.intel.com/resource/14013160728","14013160728")</f>
        <v>14013160728</v>
      </c>
      <c r="B565" s="7" t="s">
        <v>1655</v>
      </c>
      <c r="C565" s="7" t="s">
        <v>7</v>
      </c>
      <c r="D565" s="7" t="s">
        <v>3612</v>
      </c>
      <c r="E565" s="7" t="s">
        <v>3617</v>
      </c>
      <c r="F565" s="8" t="s">
        <v>3628</v>
      </c>
      <c r="H565" s="7" t="s">
        <v>3619</v>
      </c>
      <c r="I565" s="7" t="s">
        <v>3647</v>
      </c>
      <c r="L565" s="7" t="s">
        <v>8</v>
      </c>
      <c r="M565" s="7" t="s">
        <v>9</v>
      </c>
      <c r="N565" s="7" t="s">
        <v>10</v>
      </c>
      <c r="O565" s="7" t="s">
        <v>1656</v>
      </c>
      <c r="P565" s="7" t="s">
        <v>1100</v>
      </c>
      <c r="Q565" s="7" t="s">
        <v>1657</v>
      </c>
      <c r="R565" t="s">
        <v>3631</v>
      </c>
      <c r="T565" s="22">
        <v>44823</v>
      </c>
    </row>
    <row r="566" spans="1:20" x14ac:dyDescent="0.3">
      <c r="A566" s="7" t="str">
        <f>HYPERLINK("https://hsdes.intel.com/resource/14013160747","14013160747")</f>
        <v>14013160747</v>
      </c>
      <c r="B566" s="7" t="s">
        <v>1658</v>
      </c>
      <c r="C566" s="7" t="s">
        <v>55</v>
      </c>
      <c r="D566" s="7" t="s">
        <v>3612</v>
      </c>
      <c r="E566" s="7" t="s">
        <v>3617</v>
      </c>
      <c r="F566" s="8" t="s">
        <v>3628</v>
      </c>
      <c r="H566" s="7" t="s">
        <v>3619</v>
      </c>
      <c r="I566" s="7" t="s">
        <v>3622</v>
      </c>
      <c r="L566" s="7" t="s">
        <v>30</v>
      </c>
      <c r="M566" s="7" t="s">
        <v>9</v>
      </c>
      <c r="N566" s="7" t="s">
        <v>39</v>
      </c>
      <c r="O566" s="7" t="s">
        <v>1659</v>
      </c>
      <c r="P566" s="7" t="s">
        <v>1660</v>
      </c>
      <c r="Q566" s="7" t="s">
        <v>1661</v>
      </c>
      <c r="R566" t="s">
        <v>3633</v>
      </c>
    </row>
    <row r="567" spans="1:20" x14ac:dyDescent="0.3">
      <c r="A567" s="7" t="str">
        <f>HYPERLINK("https://hsdes.intel.com/resource/14013160750","14013160750")</f>
        <v>14013160750</v>
      </c>
      <c r="B567" s="7" t="s">
        <v>1662</v>
      </c>
      <c r="C567" s="7" t="s">
        <v>23</v>
      </c>
      <c r="D567" s="7" t="s">
        <v>3612</v>
      </c>
      <c r="E567" s="7" t="s">
        <v>3617</v>
      </c>
      <c r="F567" s="8" t="s">
        <v>3628</v>
      </c>
      <c r="H567" s="7" t="s">
        <v>3619</v>
      </c>
      <c r="I567" s="7" t="s">
        <v>3624</v>
      </c>
      <c r="L567" s="7" t="s">
        <v>142</v>
      </c>
      <c r="M567" s="7" t="s">
        <v>9</v>
      </c>
      <c r="N567" s="7" t="s">
        <v>483</v>
      </c>
      <c r="O567" s="7" t="s">
        <v>1663</v>
      </c>
      <c r="P567" s="7" t="s">
        <v>1663</v>
      </c>
      <c r="Q567" s="7" t="s">
        <v>1664</v>
      </c>
      <c r="R567" t="s">
        <v>3632</v>
      </c>
    </row>
    <row r="568" spans="1:20" x14ac:dyDescent="0.3">
      <c r="A568" s="7" t="str">
        <f>HYPERLINK("https://hsdes.intel.com/resource/14013160762","14013160762")</f>
        <v>14013160762</v>
      </c>
      <c r="B568" s="7" t="s">
        <v>1665</v>
      </c>
      <c r="C568" s="7" t="s">
        <v>1666</v>
      </c>
      <c r="D568" s="7" t="s">
        <v>3612</v>
      </c>
      <c r="E568" s="7" t="s">
        <v>3617</v>
      </c>
      <c r="F568" s="8" t="s">
        <v>3628</v>
      </c>
      <c r="H568" s="7" t="s">
        <v>3619</v>
      </c>
      <c r="I568" s="7" t="s">
        <v>3622</v>
      </c>
      <c r="L568" s="7" t="s">
        <v>38</v>
      </c>
      <c r="M568" s="7" t="s">
        <v>9</v>
      </c>
      <c r="N568" s="7" t="s">
        <v>1667</v>
      </c>
      <c r="O568" s="7" t="s">
        <v>1668</v>
      </c>
      <c r="P568" s="7" t="s">
        <v>1668</v>
      </c>
      <c r="Q568" s="7" t="s">
        <v>1669</v>
      </c>
      <c r="R568" t="s">
        <v>3632</v>
      </c>
    </row>
    <row r="569" spans="1:20" x14ac:dyDescent="0.3">
      <c r="A569" s="7" t="str">
        <f>HYPERLINK("https://hsdes.intel.com/resource/14013160804","14013160804")</f>
        <v>14013160804</v>
      </c>
      <c r="B569" s="7" t="s">
        <v>1670</v>
      </c>
      <c r="C569" s="7" t="s">
        <v>7</v>
      </c>
      <c r="D569" s="7" t="s">
        <v>3613</v>
      </c>
      <c r="E569" s="7" t="s">
        <v>3617</v>
      </c>
      <c r="F569" s="8" t="s">
        <v>3628</v>
      </c>
      <c r="H569" s="7" t="s">
        <v>3619</v>
      </c>
      <c r="I569" s="7" t="s">
        <v>3647</v>
      </c>
      <c r="L569" s="7" t="s">
        <v>8</v>
      </c>
      <c r="M569" s="7" t="s">
        <v>9</v>
      </c>
      <c r="N569" s="7" t="s">
        <v>10</v>
      </c>
      <c r="O569" s="7" t="s">
        <v>1671</v>
      </c>
      <c r="P569" s="7" t="s">
        <v>1672</v>
      </c>
      <c r="Q569" s="7" t="s">
        <v>1673</v>
      </c>
      <c r="R569" t="s">
        <v>3632</v>
      </c>
      <c r="T569" s="22">
        <v>44823</v>
      </c>
    </row>
    <row r="570" spans="1:20" x14ac:dyDescent="0.3">
      <c r="A570" s="7" t="str">
        <f>HYPERLINK("https://hsdes.intel.com/resource/14013160825","14013160825")</f>
        <v>14013160825</v>
      </c>
      <c r="B570" s="7" t="s">
        <v>1674</v>
      </c>
      <c r="C570" s="7" t="s">
        <v>55</v>
      </c>
      <c r="D570" s="7" t="s">
        <v>3612</v>
      </c>
      <c r="E570" s="7" t="s">
        <v>3617</v>
      </c>
      <c r="F570" s="8" t="s">
        <v>3628</v>
      </c>
      <c r="H570" s="7" t="s">
        <v>3619</v>
      </c>
      <c r="I570" s="7" t="s">
        <v>3622</v>
      </c>
      <c r="L570" s="7" t="s">
        <v>30</v>
      </c>
      <c r="M570" s="7" t="s">
        <v>9</v>
      </c>
      <c r="N570" s="7" t="s">
        <v>483</v>
      </c>
      <c r="O570" s="7" t="s">
        <v>913</v>
      </c>
      <c r="P570" s="7" t="s">
        <v>1675</v>
      </c>
      <c r="Q570" s="7" t="s">
        <v>1676</v>
      </c>
      <c r="R570" t="s">
        <v>3632</v>
      </c>
    </row>
    <row r="571" spans="1:20" x14ac:dyDescent="0.3">
      <c r="A571" s="7" t="str">
        <f>HYPERLINK("https://hsdes.intel.com/resource/14013160828","14013160828")</f>
        <v>14013160828</v>
      </c>
      <c r="B571" s="7" t="s">
        <v>1677</v>
      </c>
      <c r="C571" s="7" t="s">
        <v>845</v>
      </c>
      <c r="D571" s="7" t="s">
        <v>3612</v>
      </c>
      <c r="E571" s="7" t="s">
        <v>3617</v>
      </c>
      <c r="F571" s="8" t="s">
        <v>3628</v>
      </c>
      <c r="H571" s="7" t="s">
        <v>3619</v>
      </c>
      <c r="I571" s="7" t="s">
        <v>3622</v>
      </c>
      <c r="L571" s="7" t="s">
        <v>142</v>
      </c>
      <c r="M571" s="7" t="s">
        <v>9</v>
      </c>
      <c r="N571" s="7" t="s">
        <v>56</v>
      </c>
      <c r="O571" s="7" t="s">
        <v>1678</v>
      </c>
      <c r="P571" s="7" t="s">
        <v>1679</v>
      </c>
      <c r="Q571" s="7" t="s">
        <v>1680</v>
      </c>
      <c r="R571" t="s">
        <v>3632</v>
      </c>
    </row>
    <row r="572" spans="1:20" x14ac:dyDescent="0.3">
      <c r="A572" s="7" t="str">
        <f>HYPERLINK("https://hsdes.intel.com/resource/14013160845","14013160845")</f>
        <v>14013160845</v>
      </c>
      <c r="B572" s="7" t="s">
        <v>1681</v>
      </c>
      <c r="C572" s="7" t="s">
        <v>55</v>
      </c>
      <c r="D572" s="7" t="s">
        <v>3612</v>
      </c>
      <c r="E572" s="7" t="s">
        <v>3617</v>
      </c>
      <c r="F572" s="8" t="s">
        <v>3628</v>
      </c>
      <c r="H572" s="7" t="s">
        <v>3619</v>
      </c>
      <c r="I572" s="7" t="s">
        <v>3622</v>
      </c>
      <c r="L572" s="7" t="s">
        <v>30</v>
      </c>
      <c r="M572" s="7" t="s">
        <v>9</v>
      </c>
      <c r="N572" s="7" t="s">
        <v>39</v>
      </c>
      <c r="O572" s="7" t="s">
        <v>1682</v>
      </c>
      <c r="P572" s="7" t="s">
        <v>1683</v>
      </c>
      <c r="Q572" s="7" t="s">
        <v>1684</v>
      </c>
      <c r="R572" t="s">
        <v>3632</v>
      </c>
    </row>
    <row r="573" spans="1:20" x14ac:dyDescent="0.3">
      <c r="A573" s="9" t="str">
        <f>HYPERLINK("https://hsdes.intel.com/resource/14013160847","14013160847")</f>
        <v>14013160847</v>
      </c>
      <c r="B573" s="7" t="s">
        <v>1685</v>
      </c>
      <c r="C573" s="7" t="s">
        <v>877</v>
      </c>
      <c r="D573" s="7" t="s">
        <v>3612</v>
      </c>
      <c r="E573" s="7" t="s">
        <v>3617</v>
      </c>
      <c r="F573" s="8" t="s">
        <v>3628</v>
      </c>
      <c r="H573" s="7" t="s">
        <v>3620</v>
      </c>
      <c r="I573" s="7" t="s">
        <v>3644</v>
      </c>
      <c r="L573" s="7" t="s">
        <v>142</v>
      </c>
      <c r="M573" s="7" t="s">
        <v>9</v>
      </c>
      <c r="N573" s="7" t="s">
        <v>1686</v>
      </c>
      <c r="O573" s="7" t="s">
        <v>913</v>
      </c>
      <c r="P573" s="7" t="s">
        <v>1687</v>
      </c>
      <c r="Q573" s="7" t="s">
        <v>1688</v>
      </c>
      <c r="R573" t="s">
        <v>3632</v>
      </c>
    </row>
    <row r="574" spans="1:20" x14ac:dyDescent="0.3">
      <c r="A574" s="7" t="str">
        <f>HYPERLINK("https://hsdes.intel.com/resource/14013160873","14013160873")</f>
        <v>14013160873</v>
      </c>
      <c r="B574" s="7" t="s">
        <v>1689</v>
      </c>
      <c r="C574" s="7" t="s">
        <v>55</v>
      </c>
      <c r="D574" s="7" t="s">
        <v>3612</v>
      </c>
      <c r="E574" s="7" t="s">
        <v>3617</v>
      </c>
      <c r="F574" s="8" t="s">
        <v>3628</v>
      </c>
      <c r="H574" s="7" t="s">
        <v>3619</v>
      </c>
      <c r="I574" s="7" t="s">
        <v>3622</v>
      </c>
      <c r="L574" s="7" t="s">
        <v>30</v>
      </c>
      <c r="M574" s="7" t="s">
        <v>9</v>
      </c>
      <c r="N574" s="7" t="s">
        <v>39</v>
      </c>
      <c r="O574" s="7" t="s">
        <v>1690</v>
      </c>
      <c r="P574" s="7" t="s">
        <v>1691</v>
      </c>
      <c r="Q574" s="7" t="s">
        <v>1692</v>
      </c>
      <c r="R574" t="s">
        <v>3632</v>
      </c>
    </row>
    <row r="575" spans="1:20" x14ac:dyDescent="0.3">
      <c r="A575" s="7" t="str">
        <f>HYPERLINK("https://hsdes.intel.com/resource/14013160917","14013160917")</f>
        <v>14013160917</v>
      </c>
      <c r="B575" s="7" t="s">
        <v>1693</v>
      </c>
      <c r="C575" s="7" t="s">
        <v>231</v>
      </c>
      <c r="D575" s="7" t="s">
        <v>3612</v>
      </c>
      <c r="E575" s="7" t="s">
        <v>3617</v>
      </c>
      <c r="F575" s="8" t="s">
        <v>3628</v>
      </c>
      <c r="H575" s="7" t="s">
        <v>3619</v>
      </c>
      <c r="I575" s="7" t="s">
        <v>3649</v>
      </c>
      <c r="L575" s="7" t="s">
        <v>64</v>
      </c>
      <c r="M575" s="7" t="s">
        <v>94</v>
      </c>
      <c r="N575" s="7" t="s">
        <v>232</v>
      </c>
      <c r="O575" s="7" t="s">
        <v>233</v>
      </c>
      <c r="P575" s="7" t="s">
        <v>233</v>
      </c>
      <c r="Q575" s="7" t="s">
        <v>1694</v>
      </c>
      <c r="R575" t="s">
        <v>3631</v>
      </c>
    </row>
    <row r="576" spans="1:20" x14ac:dyDescent="0.3">
      <c r="A576" s="7" t="str">
        <f>HYPERLINK("https://hsdes.intel.com/resource/14013160956","14013160956")</f>
        <v>14013160956</v>
      </c>
      <c r="B576" s="7" t="s">
        <v>1695</v>
      </c>
      <c r="C576" s="7" t="s">
        <v>212</v>
      </c>
      <c r="D576" s="7" t="s">
        <v>3612</v>
      </c>
      <c r="E576" s="7" t="s">
        <v>3617</v>
      </c>
      <c r="F576" s="8" t="s">
        <v>3628</v>
      </c>
      <c r="H576" s="7" t="s">
        <v>3620</v>
      </c>
      <c r="I576" s="7" t="s">
        <v>3654</v>
      </c>
      <c r="J576" s="7" t="s">
        <v>3526</v>
      </c>
      <c r="L576" s="7" t="s">
        <v>24</v>
      </c>
      <c r="M576" s="7" t="s">
        <v>9</v>
      </c>
      <c r="N576" s="7" t="s">
        <v>39</v>
      </c>
      <c r="O576" s="7" t="s">
        <v>364</v>
      </c>
      <c r="P576" s="7" t="s">
        <v>365</v>
      </c>
      <c r="Q576" s="7" t="s">
        <v>1696</v>
      </c>
      <c r="R576" t="s">
        <v>3631</v>
      </c>
    </row>
    <row r="577" spans="1:20" x14ac:dyDescent="0.3">
      <c r="A577" s="7" t="str">
        <f>HYPERLINK("https://hsdes.intel.com/resource/14013160965","14013160965")</f>
        <v>14013160965</v>
      </c>
      <c r="B577" s="7" t="s">
        <v>1697</v>
      </c>
      <c r="C577" s="7" t="s">
        <v>175</v>
      </c>
      <c r="D577" s="7" t="s">
        <v>3612</v>
      </c>
      <c r="E577" s="7" t="s">
        <v>3617</v>
      </c>
      <c r="F577" s="8" t="s">
        <v>3628</v>
      </c>
      <c r="H577" s="7" t="s">
        <v>3618</v>
      </c>
      <c r="J577" s="7" t="s">
        <v>3543</v>
      </c>
      <c r="L577" s="7" t="s">
        <v>38</v>
      </c>
      <c r="M577" s="7" t="s">
        <v>94</v>
      </c>
      <c r="N577" s="7" t="s">
        <v>1637</v>
      </c>
      <c r="O577" s="7" t="s">
        <v>1698</v>
      </c>
      <c r="P577" s="7" t="s">
        <v>1698</v>
      </c>
      <c r="Q577" s="7" t="s">
        <v>1699</v>
      </c>
      <c r="R577" t="s">
        <v>3632</v>
      </c>
    </row>
    <row r="578" spans="1:20" x14ac:dyDescent="0.3">
      <c r="A578" s="7" t="str">
        <f>HYPERLINK("https://hsdes.intel.com/resource/14013160973","14013160973")</f>
        <v>14013160973</v>
      </c>
      <c r="B578" s="7" t="s">
        <v>1700</v>
      </c>
      <c r="C578" s="7" t="s">
        <v>175</v>
      </c>
      <c r="D578" s="7" t="s">
        <v>3612</v>
      </c>
      <c r="E578" s="7" t="s">
        <v>3617</v>
      </c>
      <c r="F578" s="8" t="s">
        <v>3628</v>
      </c>
      <c r="H578" s="7" t="s">
        <v>3618</v>
      </c>
      <c r="J578" s="7" t="s">
        <v>3543</v>
      </c>
      <c r="L578" s="7" t="s">
        <v>38</v>
      </c>
      <c r="M578" s="7" t="s">
        <v>94</v>
      </c>
      <c r="N578" s="7" t="s">
        <v>786</v>
      </c>
      <c r="O578" s="7" t="s">
        <v>1701</v>
      </c>
      <c r="P578" s="7" t="s">
        <v>1702</v>
      </c>
      <c r="Q578" s="7" t="s">
        <v>1703</v>
      </c>
      <c r="R578" t="s">
        <v>3632</v>
      </c>
    </row>
    <row r="579" spans="1:20" x14ac:dyDescent="0.3">
      <c r="A579" s="7" t="str">
        <f>HYPERLINK("https://hsdes.intel.com/resource/14013160979","14013160979")</f>
        <v>14013160979</v>
      </c>
      <c r="B579" s="7" t="s">
        <v>1704</v>
      </c>
      <c r="C579" s="7" t="s">
        <v>175</v>
      </c>
      <c r="D579" s="7" t="s">
        <v>3612</v>
      </c>
      <c r="E579" s="7" t="s">
        <v>3617</v>
      </c>
      <c r="F579" s="8" t="s">
        <v>3628</v>
      </c>
      <c r="H579" s="7" t="s">
        <v>3618</v>
      </c>
      <c r="J579" s="7" t="s">
        <v>3543</v>
      </c>
      <c r="L579" s="7" t="s">
        <v>38</v>
      </c>
      <c r="M579" s="7" t="s">
        <v>94</v>
      </c>
      <c r="N579" s="7" t="s">
        <v>786</v>
      </c>
      <c r="O579" s="7" t="s">
        <v>801</v>
      </c>
      <c r="P579" s="7" t="s">
        <v>1705</v>
      </c>
      <c r="Q579" s="7" t="s">
        <v>1706</v>
      </c>
      <c r="R579" t="s">
        <v>3632</v>
      </c>
    </row>
    <row r="580" spans="1:20" x14ac:dyDescent="0.3">
      <c r="A580" s="7" t="str">
        <f>HYPERLINK("https://hsdes.intel.com/resource/14013161002","14013161002")</f>
        <v>14013161002</v>
      </c>
      <c r="B580" s="7" t="s">
        <v>1707</v>
      </c>
      <c r="C580" s="7" t="s">
        <v>212</v>
      </c>
      <c r="D580" s="7" t="s">
        <v>3612</v>
      </c>
      <c r="E580" s="7" t="s">
        <v>3617</v>
      </c>
      <c r="F580" s="8" t="s">
        <v>3628</v>
      </c>
      <c r="H580" s="7" t="s">
        <v>3620</v>
      </c>
      <c r="I580" s="7" t="s">
        <v>3645</v>
      </c>
      <c r="L580" s="7" t="s">
        <v>24</v>
      </c>
      <c r="M580" s="7" t="s">
        <v>9</v>
      </c>
      <c r="N580" s="7" t="s">
        <v>39</v>
      </c>
      <c r="O580" s="7" t="s">
        <v>1708</v>
      </c>
      <c r="P580" s="7" t="s">
        <v>365</v>
      </c>
      <c r="Q580" s="7" t="s">
        <v>1709</v>
      </c>
      <c r="R580" t="s">
        <v>3631</v>
      </c>
      <c r="T580" s="22">
        <v>44819</v>
      </c>
    </row>
    <row r="581" spans="1:20" x14ac:dyDescent="0.3">
      <c r="A581" s="7" t="str">
        <f>HYPERLINK("https://hsdes.intel.com/resource/14013161009","14013161009")</f>
        <v>14013161009</v>
      </c>
      <c r="B581" s="7" t="s">
        <v>1710</v>
      </c>
      <c r="C581" s="7" t="s">
        <v>212</v>
      </c>
      <c r="D581" s="7" t="s">
        <v>3612</v>
      </c>
      <c r="E581" s="7" t="s">
        <v>3617</v>
      </c>
      <c r="F581" s="8" t="s">
        <v>3628</v>
      </c>
      <c r="H581" s="7" t="s">
        <v>3620</v>
      </c>
      <c r="I581" s="7" t="s">
        <v>3654</v>
      </c>
      <c r="J581" s="7" t="s">
        <v>3526</v>
      </c>
      <c r="L581" s="7" t="s">
        <v>24</v>
      </c>
      <c r="M581" s="7" t="s">
        <v>9</v>
      </c>
      <c r="N581" s="7" t="s">
        <v>39</v>
      </c>
      <c r="O581" s="7" t="s">
        <v>1711</v>
      </c>
      <c r="P581" s="7" t="s">
        <v>365</v>
      </c>
      <c r="Q581" s="7" t="s">
        <v>1712</v>
      </c>
      <c r="R581" t="s">
        <v>3633</v>
      </c>
    </row>
    <row r="582" spans="1:20" x14ac:dyDescent="0.3">
      <c r="A582" s="7" t="str">
        <f>HYPERLINK("https://hsdes.intel.com/resource/14013161019","14013161019")</f>
        <v>14013161019</v>
      </c>
      <c r="B582" s="7" t="s">
        <v>1713</v>
      </c>
      <c r="C582" s="7" t="s">
        <v>212</v>
      </c>
      <c r="D582" s="7" t="s">
        <v>3612</v>
      </c>
      <c r="E582" s="7" t="s">
        <v>3617</v>
      </c>
      <c r="F582" s="8" t="s">
        <v>3628</v>
      </c>
      <c r="H582" s="7" t="s">
        <v>3620</v>
      </c>
      <c r="I582" s="7" t="s">
        <v>3654</v>
      </c>
      <c r="J582" s="7" t="s">
        <v>3526</v>
      </c>
      <c r="L582" s="7" t="s">
        <v>24</v>
      </c>
      <c r="M582" s="7" t="s">
        <v>9</v>
      </c>
      <c r="N582" s="7" t="s">
        <v>39</v>
      </c>
      <c r="O582" s="7" t="s">
        <v>1714</v>
      </c>
      <c r="P582" s="7" t="s">
        <v>1715</v>
      </c>
      <c r="Q582" s="7" t="s">
        <v>1716</v>
      </c>
      <c r="R582" t="s">
        <v>3633</v>
      </c>
    </row>
    <row r="583" spans="1:20" x14ac:dyDescent="0.3">
      <c r="A583" s="7" t="str">
        <f>HYPERLINK("https://hsdes.intel.com/resource/14013161024","14013161024")</f>
        <v>14013161024</v>
      </c>
      <c r="B583" s="7" t="s">
        <v>1717</v>
      </c>
      <c r="C583" s="7" t="s">
        <v>212</v>
      </c>
      <c r="D583" s="7" t="s">
        <v>3612</v>
      </c>
      <c r="E583" s="7" t="s">
        <v>3617</v>
      </c>
      <c r="F583" s="8" t="s">
        <v>3628</v>
      </c>
      <c r="H583" s="7" t="s">
        <v>3620</v>
      </c>
      <c r="I583" s="7" t="s">
        <v>3654</v>
      </c>
      <c r="J583" s="7" t="s">
        <v>3526</v>
      </c>
      <c r="L583" s="7" t="s">
        <v>24</v>
      </c>
      <c r="M583" s="7" t="s">
        <v>9</v>
      </c>
      <c r="N583" s="7" t="s">
        <v>39</v>
      </c>
      <c r="O583" s="7" t="s">
        <v>1718</v>
      </c>
      <c r="P583" s="7" t="s">
        <v>365</v>
      </c>
      <c r="Q583" s="7" t="s">
        <v>1719</v>
      </c>
      <c r="R583" t="s">
        <v>3633</v>
      </c>
    </row>
    <row r="584" spans="1:20" x14ac:dyDescent="0.3">
      <c r="A584" s="7" t="str">
        <f>HYPERLINK("https://hsdes.intel.com/resource/14013161080","14013161080")</f>
        <v>14013161080</v>
      </c>
      <c r="B584" s="7" t="s">
        <v>1720</v>
      </c>
      <c r="C584" s="7" t="s">
        <v>133</v>
      </c>
      <c r="D584" s="7" t="s">
        <v>3612</v>
      </c>
      <c r="E584" s="7" t="s">
        <v>3617</v>
      </c>
      <c r="F584" s="8" t="s">
        <v>3628</v>
      </c>
      <c r="H584" s="7" t="s">
        <v>3620</v>
      </c>
      <c r="I584" s="7" t="s">
        <v>3640</v>
      </c>
      <c r="L584" s="7" t="s">
        <v>24</v>
      </c>
      <c r="M584" s="7" t="s">
        <v>94</v>
      </c>
      <c r="N584" s="7" t="s">
        <v>39</v>
      </c>
      <c r="O584" s="7" t="s">
        <v>143</v>
      </c>
      <c r="P584" s="7" t="s">
        <v>143</v>
      </c>
      <c r="Q584" s="7" t="s">
        <v>1721</v>
      </c>
      <c r="R584" t="s">
        <v>3632</v>
      </c>
    </row>
    <row r="585" spans="1:20" x14ac:dyDescent="0.3">
      <c r="A585" s="7" t="str">
        <f>HYPERLINK("https://hsdes.intel.com/resource/14013161121","14013161121")</f>
        <v>14013161121</v>
      </c>
      <c r="B585" s="7" t="s">
        <v>1722</v>
      </c>
      <c r="C585" s="7" t="s">
        <v>212</v>
      </c>
      <c r="D585" s="7" t="s">
        <v>3612</v>
      </c>
      <c r="E585" s="7" t="s">
        <v>3617</v>
      </c>
      <c r="F585" s="8" t="s">
        <v>3628</v>
      </c>
      <c r="H585" s="7" t="s">
        <v>3619</v>
      </c>
      <c r="I585" s="7" t="s">
        <v>3645</v>
      </c>
      <c r="L585" s="7" t="s">
        <v>24</v>
      </c>
      <c r="M585" s="7" t="s">
        <v>94</v>
      </c>
      <c r="N585" s="7" t="s">
        <v>56</v>
      </c>
      <c r="O585" s="7" t="s">
        <v>1723</v>
      </c>
      <c r="P585" s="7" t="s">
        <v>1724</v>
      </c>
      <c r="Q585" s="7" t="s">
        <v>1725</v>
      </c>
      <c r="R585" t="s">
        <v>3632</v>
      </c>
      <c r="T585" s="22">
        <v>44819</v>
      </c>
    </row>
    <row r="586" spans="1:20" x14ac:dyDescent="0.3">
      <c r="A586" s="7" t="str">
        <f>HYPERLINK("https://hsdes.intel.com/resource/14013161173","14013161173")</f>
        <v>14013161173</v>
      </c>
      <c r="B586" s="7" t="s">
        <v>1726</v>
      </c>
      <c r="C586" s="7" t="s">
        <v>845</v>
      </c>
      <c r="D586" s="7" t="s">
        <v>3612</v>
      </c>
      <c r="E586" s="7" t="s">
        <v>3617</v>
      </c>
      <c r="F586" s="8" t="s">
        <v>3628</v>
      </c>
      <c r="H586" s="16" t="s">
        <v>3619</v>
      </c>
      <c r="I586" s="7" t="s">
        <v>3622</v>
      </c>
      <c r="L586" s="7" t="s">
        <v>142</v>
      </c>
      <c r="M586" s="7" t="s">
        <v>9</v>
      </c>
      <c r="N586" s="7" t="s">
        <v>56</v>
      </c>
      <c r="O586" s="7" t="s">
        <v>1678</v>
      </c>
      <c r="P586" s="7" t="s">
        <v>1679</v>
      </c>
      <c r="Q586" s="7" t="s">
        <v>1727</v>
      </c>
      <c r="R586" t="s">
        <v>3631</v>
      </c>
    </row>
    <row r="587" spans="1:20" x14ac:dyDescent="0.3">
      <c r="A587" s="7" t="str">
        <f>HYPERLINK("https://hsdes.intel.com/resource/14013161190","14013161190")</f>
        <v>14013161190</v>
      </c>
      <c r="B587" s="7" t="s">
        <v>1728</v>
      </c>
      <c r="C587" s="7" t="s">
        <v>121</v>
      </c>
      <c r="D587" s="7" t="s">
        <v>3612</v>
      </c>
      <c r="E587" s="7" t="s">
        <v>3617</v>
      </c>
      <c r="F587" s="8" t="s">
        <v>3628</v>
      </c>
      <c r="H587" s="7" t="s">
        <v>3619</v>
      </c>
      <c r="I587" s="7" t="s">
        <v>3622</v>
      </c>
      <c r="L587" s="7" t="s">
        <v>142</v>
      </c>
      <c r="M587" s="7" t="s">
        <v>9</v>
      </c>
      <c r="N587" s="7" t="s">
        <v>39</v>
      </c>
      <c r="O587" s="7" t="s">
        <v>217</v>
      </c>
      <c r="P587" s="7" t="s">
        <v>217</v>
      </c>
      <c r="Q587" s="7" t="s">
        <v>1729</v>
      </c>
      <c r="R587" t="s">
        <v>3632</v>
      </c>
    </row>
    <row r="588" spans="1:20" x14ac:dyDescent="0.3">
      <c r="A588" s="7" t="str">
        <f>HYPERLINK("https://hsdes.intel.com/resource/14013161207","14013161207")</f>
        <v>14013161207</v>
      </c>
      <c r="B588" s="7" t="s">
        <v>1730</v>
      </c>
      <c r="C588" s="7" t="s">
        <v>121</v>
      </c>
      <c r="D588" s="7" t="s">
        <v>3612</v>
      </c>
      <c r="E588" s="7" t="s">
        <v>3617</v>
      </c>
      <c r="F588" s="8" t="s">
        <v>3628</v>
      </c>
      <c r="H588" s="7" t="s">
        <v>3619</v>
      </c>
      <c r="I588" s="7" t="s">
        <v>3622</v>
      </c>
      <c r="L588" s="7" t="s">
        <v>142</v>
      </c>
      <c r="M588" s="7" t="s">
        <v>9</v>
      </c>
      <c r="N588" s="7" t="s">
        <v>1667</v>
      </c>
      <c r="O588" s="7" t="s">
        <v>143</v>
      </c>
      <c r="P588" s="7" t="s">
        <v>1731</v>
      </c>
      <c r="Q588" s="7" t="s">
        <v>1732</v>
      </c>
      <c r="R588" t="s">
        <v>3632</v>
      </c>
    </row>
    <row r="589" spans="1:20" x14ac:dyDescent="0.3">
      <c r="A589" s="7" t="str">
        <f>HYPERLINK("https://hsdes.intel.com/resource/14013161281","14013161281")</f>
        <v>14013161281</v>
      </c>
      <c r="B589" s="7" t="s">
        <v>1733</v>
      </c>
      <c r="C589" s="7" t="s">
        <v>121</v>
      </c>
      <c r="D589" s="7" t="s">
        <v>3612</v>
      </c>
      <c r="E589" s="7" t="s">
        <v>3617</v>
      </c>
      <c r="F589" s="8" t="s">
        <v>3628</v>
      </c>
      <c r="H589" s="16" t="s">
        <v>3619</v>
      </c>
      <c r="I589" s="7" t="s">
        <v>3622</v>
      </c>
      <c r="L589" s="7" t="s">
        <v>142</v>
      </c>
      <c r="M589" s="7" t="s">
        <v>9</v>
      </c>
      <c r="N589" s="7" t="s">
        <v>56</v>
      </c>
      <c r="O589" s="7" t="s">
        <v>358</v>
      </c>
      <c r="P589" s="7" t="s">
        <v>358</v>
      </c>
      <c r="Q589" s="7" t="s">
        <v>1734</v>
      </c>
      <c r="R589" t="s">
        <v>3631</v>
      </c>
    </row>
    <row r="590" spans="1:20" x14ac:dyDescent="0.3">
      <c r="A590" s="9" t="str">
        <f>HYPERLINK("https://hsdes.intel.com/resource/14013161283","14013161283")</f>
        <v>14013161283</v>
      </c>
      <c r="B590" s="7" t="s">
        <v>1735</v>
      </c>
      <c r="C590" s="7" t="s">
        <v>845</v>
      </c>
      <c r="D590" s="7" t="s">
        <v>3612</v>
      </c>
      <c r="E590" s="7" t="s">
        <v>3617</v>
      </c>
      <c r="F590" s="8" t="s">
        <v>3628</v>
      </c>
      <c r="H590" s="16" t="s">
        <v>3619</v>
      </c>
      <c r="I590" s="7" t="s">
        <v>3622</v>
      </c>
      <c r="J590" s="6" t="s">
        <v>3550</v>
      </c>
      <c r="L590" s="7" t="s">
        <v>142</v>
      </c>
      <c r="M590" s="7" t="s">
        <v>9</v>
      </c>
      <c r="N590" s="7" t="s">
        <v>56</v>
      </c>
      <c r="O590" s="7" t="s">
        <v>1736</v>
      </c>
      <c r="P590" s="7" t="s">
        <v>1737</v>
      </c>
      <c r="Q590" s="7" t="s">
        <v>1738</v>
      </c>
      <c r="R590" t="s">
        <v>3632</v>
      </c>
    </row>
    <row r="591" spans="1:20" x14ac:dyDescent="0.3">
      <c r="A591" s="7" t="str">
        <f>HYPERLINK("https://hsdes.intel.com/resource/14013161291","14013161291")</f>
        <v>14013161291</v>
      </c>
      <c r="B591" s="7" t="s">
        <v>1739</v>
      </c>
      <c r="C591" s="7" t="s">
        <v>845</v>
      </c>
      <c r="D591" s="7" t="s">
        <v>3612</v>
      </c>
      <c r="E591" s="7" t="s">
        <v>3617</v>
      </c>
      <c r="F591" s="8" t="s">
        <v>3628</v>
      </c>
      <c r="H591" s="16" t="s">
        <v>3619</v>
      </c>
      <c r="I591" s="7" t="s">
        <v>3622</v>
      </c>
      <c r="J591" s="6" t="s">
        <v>3550</v>
      </c>
      <c r="L591" s="7" t="s">
        <v>142</v>
      </c>
      <c r="M591" s="7" t="s">
        <v>94</v>
      </c>
      <c r="N591" s="7" t="s">
        <v>56</v>
      </c>
      <c r="O591" s="7" t="s">
        <v>1740</v>
      </c>
      <c r="P591" s="7" t="s">
        <v>1741</v>
      </c>
      <c r="Q591" s="7" t="s">
        <v>1742</v>
      </c>
      <c r="R591" t="s">
        <v>3632</v>
      </c>
    </row>
    <row r="592" spans="1:20" x14ac:dyDescent="0.3">
      <c r="A592" s="7" t="str">
        <f>HYPERLINK("https://hsdes.intel.com/resource/14013161293","14013161293")</f>
        <v>14013161293</v>
      </c>
      <c r="B592" s="7" t="s">
        <v>1743</v>
      </c>
      <c r="C592" s="7" t="s">
        <v>23</v>
      </c>
      <c r="D592" s="7" t="s">
        <v>3612</v>
      </c>
      <c r="E592" s="7" t="s">
        <v>3617</v>
      </c>
      <c r="F592" s="8" t="s">
        <v>3628</v>
      </c>
      <c r="H592" s="7" t="s">
        <v>3619</v>
      </c>
      <c r="I592" s="7" t="s">
        <v>3624</v>
      </c>
      <c r="L592" s="7" t="s">
        <v>24</v>
      </c>
      <c r="M592" s="7" t="s">
        <v>9</v>
      </c>
      <c r="N592" s="7" t="s">
        <v>25</v>
      </c>
      <c r="O592" s="7" t="s">
        <v>26</v>
      </c>
      <c r="P592" s="7" t="s">
        <v>26</v>
      </c>
      <c r="Q592" s="7" t="s">
        <v>1744</v>
      </c>
      <c r="R592" t="s">
        <v>3632</v>
      </c>
    </row>
    <row r="593" spans="1:20" x14ac:dyDescent="0.3">
      <c r="A593" s="7" t="str">
        <f>HYPERLINK("https://hsdes.intel.com/resource/14013161298","14013161298")</f>
        <v>14013161298</v>
      </c>
      <c r="B593" s="7" t="s">
        <v>1745</v>
      </c>
      <c r="C593" s="7" t="s">
        <v>23</v>
      </c>
      <c r="D593" s="7" t="s">
        <v>3612</v>
      </c>
      <c r="E593" s="7" t="s">
        <v>3617</v>
      </c>
      <c r="F593" s="8" t="s">
        <v>3628</v>
      </c>
      <c r="H593" s="16" t="s">
        <v>3619</v>
      </c>
      <c r="I593" s="7" t="s">
        <v>3624</v>
      </c>
      <c r="L593" s="7" t="s">
        <v>24</v>
      </c>
      <c r="M593" s="7" t="s">
        <v>9</v>
      </c>
      <c r="N593" s="7" t="s">
        <v>25</v>
      </c>
      <c r="O593" s="7" t="s">
        <v>26</v>
      </c>
      <c r="P593" s="7" t="s">
        <v>26</v>
      </c>
      <c r="Q593" s="7" t="s">
        <v>1746</v>
      </c>
      <c r="R593" t="s">
        <v>3632</v>
      </c>
    </row>
    <row r="594" spans="1:20" x14ac:dyDescent="0.3">
      <c r="A594" s="7" t="str">
        <f>HYPERLINK("https://hsdes.intel.com/resource/14013161320","14013161320")</f>
        <v>14013161320</v>
      </c>
      <c r="B594" s="7" t="s">
        <v>1747</v>
      </c>
      <c r="C594" s="7" t="s">
        <v>845</v>
      </c>
      <c r="D594" s="7" t="s">
        <v>3612</v>
      </c>
      <c r="E594" s="7" t="s">
        <v>3617</v>
      </c>
      <c r="F594" s="8" t="s">
        <v>3628</v>
      </c>
      <c r="H594" s="7" t="s">
        <v>3619</v>
      </c>
      <c r="I594" s="7" t="s">
        <v>3622</v>
      </c>
      <c r="L594" s="7" t="s">
        <v>142</v>
      </c>
      <c r="M594" s="7" t="s">
        <v>94</v>
      </c>
      <c r="N594" s="7" t="s">
        <v>56</v>
      </c>
      <c r="O594" s="7" t="s">
        <v>1748</v>
      </c>
      <c r="P594" s="7" t="s">
        <v>709</v>
      </c>
      <c r="Q594" s="7" t="s">
        <v>1749</v>
      </c>
      <c r="R594" t="s">
        <v>3632</v>
      </c>
    </row>
    <row r="595" spans="1:20" x14ac:dyDescent="0.3">
      <c r="A595" s="7" t="str">
        <f>HYPERLINK("https://hsdes.intel.com/resource/14013161363","14013161363")</f>
        <v>14013161363</v>
      </c>
      <c r="B595" s="7" t="s">
        <v>1750</v>
      </c>
      <c r="C595" s="7" t="s">
        <v>845</v>
      </c>
      <c r="D595" s="7" t="s">
        <v>3612</v>
      </c>
      <c r="E595" s="7" t="s">
        <v>3617</v>
      </c>
      <c r="F595" s="8" t="s">
        <v>3628</v>
      </c>
      <c r="H595" s="7" t="s">
        <v>3619</v>
      </c>
      <c r="I595" s="7" t="s">
        <v>3622</v>
      </c>
      <c r="L595" s="7" t="s">
        <v>142</v>
      </c>
      <c r="M595" s="7" t="s">
        <v>9</v>
      </c>
      <c r="N595" s="7" t="s">
        <v>56</v>
      </c>
      <c r="O595" s="7" t="s">
        <v>1751</v>
      </c>
      <c r="P595" s="7" t="s">
        <v>1752</v>
      </c>
      <c r="Q595" s="7" t="s">
        <v>1753</v>
      </c>
      <c r="R595" t="s">
        <v>3631</v>
      </c>
    </row>
    <row r="596" spans="1:20" x14ac:dyDescent="0.3">
      <c r="A596" s="7" t="str">
        <f>HYPERLINK("https://hsdes.intel.com/resource/14013161368","14013161368")</f>
        <v>14013161368</v>
      </c>
      <c r="B596" s="7" t="s">
        <v>1754</v>
      </c>
      <c r="C596" s="7" t="s">
        <v>845</v>
      </c>
      <c r="D596" s="7" t="s">
        <v>3612</v>
      </c>
      <c r="E596" s="7" t="s">
        <v>3617</v>
      </c>
      <c r="F596" s="8" t="s">
        <v>3628</v>
      </c>
      <c r="H596" s="7" t="s">
        <v>3619</v>
      </c>
      <c r="I596" s="7" t="s">
        <v>3622</v>
      </c>
      <c r="L596" s="7" t="s">
        <v>142</v>
      </c>
      <c r="M596" s="7" t="s">
        <v>9</v>
      </c>
      <c r="N596" s="7" t="s">
        <v>56</v>
      </c>
      <c r="O596" s="7" t="s">
        <v>1755</v>
      </c>
      <c r="P596" s="7" t="s">
        <v>1756</v>
      </c>
      <c r="Q596" s="7" t="s">
        <v>1757</v>
      </c>
      <c r="R596" t="s">
        <v>3631</v>
      </c>
    </row>
    <row r="597" spans="1:20" x14ac:dyDescent="0.3">
      <c r="A597" s="7" t="str">
        <f>HYPERLINK("https://hsdes.intel.com/resource/14013161425","14013161425")</f>
        <v>14013161425</v>
      </c>
      <c r="B597" s="7" t="s">
        <v>1758</v>
      </c>
      <c r="C597" s="7" t="s">
        <v>175</v>
      </c>
      <c r="D597" s="7" t="s">
        <v>3612</v>
      </c>
      <c r="E597" s="7" t="s">
        <v>3617</v>
      </c>
      <c r="F597" s="8" t="s">
        <v>3628</v>
      </c>
      <c r="H597" s="7" t="s">
        <v>3618</v>
      </c>
      <c r="J597" s="7" t="s">
        <v>3569</v>
      </c>
      <c r="L597" s="7" t="s">
        <v>38</v>
      </c>
      <c r="M597" s="7" t="s">
        <v>94</v>
      </c>
      <c r="N597" s="7" t="s">
        <v>1557</v>
      </c>
      <c r="O597" s="7" t="s">
        <v>1759</v>
      </c>
      <c r="P597" s="7" t="s">
        <v>1558</v>
      </c>
      <c r="Q597" s="7" t="s">
        <v>1760</v>
      </c>
      <c r="R597" t="s">
        <v>3631</v>
      </c>
    </row>
    <row r="598" spans="1:20" x14ac:dyDescent="0.3">
      <c r="A598" s="7" t="str">
        <f>HYPERLINK("https://hsdes.intel.com/resource/14013161426","14013161426")</f>
        <v>14013161426</v>
      </c>
      <c r="B598" s="7" t="s">
        <v>1761</v>
      </c>
      <c r="C598" s="7" t="s">
        <v>212</v>
      </c>
      <c r="D598" s="7" t="s">
        <v>3613</v>
      </c>
      <c r="E598" s="7" t="s">
        <v>3617</v>
      </c>
      <c r="F598" s="8" t="s">
        <v>3628</v>
      </c>
      <c r="H598" s="7" t="s">
        <v>3619</v>
      </c>
      <c r="I598" s="7" t="s">
        <v>3645</v>
      </c>
      <c r="L598" s="7" t="s">
        <v>24</v>
      </c>
      <c r="M598" s="7" t="s">
        <v>9</v>
      </c>
      <c r="N598" s="7" t="s">
        <v>39</v>
      </c>
      <c r="O598" s="7" t="s">
        <v>712</v>
      </c>
      <c r="P598" s="7" t="s">
        <v>1762</v>
      </c>
      <c r="Q598" s="7" t="s">
        <v>1763</v>
      </c>
      <c r="R598" t="s">
        <v>3633</v>
      </c>
      <c r="T598" s="22">
        <v>44819</v>
      </c>
    </row>
    <row r="599" spans="1:20" x14ac:dyDescent="0.3">
      <c r="A599" s="7" t="str">
        <f>HYPERLINK("https://hsdes.intel.com/resource/14013161430","14013161430")</f>
        <v>14013161430</v>
      </c>
      <c r="B599" s="7" t="s">
        <v>1764</v>
      </c>
      <c r="C599" s="7" t="s">
        <v>7</v>
      </c>
      <c r="D599" s="7" t="s">
        <v>3612</v>
      </c>
      <c r="E599" s="7" t="s">
        <v>3617</v>
      </c>
      <c r="F599" s="8" t="s">
        <v>3628</v>
      </c>
      <c r="H599" s="7" t="s">
        <v>3619</v>
      </c>
      <c r="I599" s="7" t="s">
        <v>3622</v>
      </c>
      <c r="L599" s="7" t="s">
        <v>8</v>
      </c>
      <c r="M599" s="7" t="s">
        <v>94</v>
      </c>
      <c r="N599" s="7" t="s">
        <v>738</v>
      </c>
      <c r="O599" s="7" t="s">
        <v>1765</v>
      </c>
      <c r="P599" s="7" t="s">
        <v>1161</v>
      </c>
      <c r="Q599" s="7" t="s">
        <v>1766</v>
      </c>
      <c r="R599" t="s">
        <v>3631</v>
      </c>
    </row>
    <row r="600" spans="1:20" x14ac:dyDescent="0.3">
      <c r="A600" s="7" t="str">
        <f>HYPERLINK("https://hsdes.intel.com/resource/14013161435","14013161435")</f>
        <v>14013161435</v>
      </c>
      <c r="B600" s="7" t="s">
        <v>1767</v>
      </c>
      <c r="C600" s="7" t="s">
        <v>7</v>
      </c>
      <c r="D600" s="7" t="s">
        <v>3612</v>
      </c>
      <c r="E600" s="7" t="s">
        <v>3617</v>
      </c>
      <c r="F600" s="8" t="s">
        <v>3628</v>
      </c>
      <c r="H600" s="7" t="s">
        <v>3619</v>
      </c>
      <c r="I600" s="7" t="s">
        <v>3622</v>
      </c>
      <c r="L600" s="7" t="s">
        <v>8</v>
      </c>
      <c r="M600" s="7" t="s">
        <v>94</v>
      </c>
      <c r="N600" s="7" t="s">
        <v>738</v>
      </c>
      <c r="O600" s="7" t="s">
        <v>1765</v>
      </c>
      <c r="P600" s="7" t="s">
        <v>1161</v>
      </c>
      <c r="Q600" s="7" t="s">
        <v>1768</v>
      </c>
      <c r="R600" t="s">
        <v>3631</v>
      </c>
    </row>
    <row r="601" spans="1:20" x14ac:dyDescent="0.3">
      <c r="A601" s="7" t="str">
        <f>HYPERLINK("https://hsdes.intel.com/resource/14013161439","14013161439")</f>
        <v>14013161439</v>
      </c>
      <c r="B601" s="7" t="s">
        <v>1769</v>
      </c>
      <c r="C601" s="7" t="s">
        <v>7</v>
      </c>
      <c r="D601" s="7" t="s">
        <v>3612</v>
      </c>
      <c r="E601" s="7" t="s">
        <v>3617</v>
      </c>
      <c r="F601" s="8" t="s">
        <v>3628</v>
      </c>
      <c r="H601" s="7" t="s">
        <v>3619</v>
      </c>
      <c r="I601" s="7" t="s">
        <v>3622</v>
      </c>
      <c r="L601" s="7" t="s">
        <v>8</v>
      </c>
      <c r="M601" s="7" t="s">
        <v>9</v>
      </c>
      <c r="N601" s="7" t="s">
        <v>738</v>
      </c>
      <c r="O601" s="7" t="s">
        <v>1765</v>
      </c>
      <c r="P601" s="7" t="s">
        <v>1161</v>
      </c>
      <c r="Q601" s="7" t="s">
        <v>1770</v>
      </c>
      <c r="R601" t="s">
        <v>3631</v>
      </c>
    </row>
    <row r="602" spans="1:20" x14ac:dyDescent="0.3">
      <c r="A602" s="7" t="str">
        <f>HYPERLINK("https://hsdes.intel.com/resource/14013161442","14013161442")</f>
        <v>14013161442</v>
      </c>
      <c r="B602" s="7" t="s">
        <v>1771</v>
      </c>
      <c r="C602" s="7" t="s">
        <v>212</v>
      </c>
      <c r="D602" s="7" t="s">
        <v>3612</v>
      </c>
      <c r="E602" s="7" t="s">
        <v>3617</v>
      </c>
      <c r="F602" s="8" t="s">
        <v>3628</v>
      </c>
      <c r="H602" s="7" t="s">
        <v>3620</v>
      </c>
      <c r="I602" s="7" t="s">
        <v>3654</v>
      </c>
      <c r="J602" s="7" t="s">
        <v>3526</v>
      </c>
      <c r="L602" s="7" t="s">
        <v>24</v>
      </c>
      <c r="M602" s="7" t="s">
        <v>9</v>
      </c>
      <c r="N602" s="7" t="s">
        <v>39</v>
      </c>
      <c r="O602" s="7" t="s">
        <v>1772</v>
      </c>
      <c r="P602" s="7" t="s">
        <v>1773</v>
      </c>
      <c r="Q602" s="7" t="s">
        <v>1774</v>
      </c>
      <c r="R602" t="s">
        <v>3633</v>
      </c>
    </row>
    <row r="603" spans="1:20" x14ac:dyDescent="0.3">
      <c r="A603" s="7" t="str">
        <f>HYPERLINK("https://hsdes.intel.com/resource/14013161443","14013161443")</f>
        <v>14013161443</v>
      </c>
      <c r="B603" s="7" t="s">
        <v>1775</v>
      </c>
      <c r="C603" s="7" t="s">
        <v>212</v>
      </c>
      <c r="D603" s="7" t="s">
        <v>3612</v>
      </c>
      <c r="E603" s="7" t="s">
        <v>3617</v>
      </c>
      <c r="F603" s="8" t="s">
        <v>3628</v>
      </c>
      <c r="H603" s="7" t="s">
        <v>3620</v>
      </c>
      <c r="I603" s="7" t="s">
        <v>3645</v>
      </c>
      <c r="L603" s="7" t="s">
        <v>24</v>
      </c>
      <c r="M603" s="7" t="s">
        <v>9</v>
      </c>
      <c r="N603" s="7" t="s">
        <v>39</v>
      </c>
      <c r="O603" s="7" t="s">
        <v>1776</v>
      </c>
      <c r="P603" s="7" t="s">
        <v>365</v>
      </c>
      <c r="Q603" s="7" t="s">
        <v>1777</v>
      </c>
      <c r="R603" t="s">
        <v>3633</v>
      </c>
      <c r="T603" s="22">
        <v>44820</v>
      </c>
    </row>
    <row r="604" spans="1:20" x14ac:dyDescent="0.3">
      <c r="A604" s="7" t="str">
        <f>HYPERLINK("https://hsdes.intel.com/resource/14013161444","14013161444")</f>
        <v>14013161444</v>
      </c>
      <c r="B604" s="7" t="s">
        <v>1778</v>
      </c>
      <c r="C604" s="7" t="s">
        <v>212</v>
      </c>
      <c r="D604" s="7" t="s">
        <v>3612</v>
      </c>
      <c r="E604" s="7" t="s">
        <v>3617</v>
      </c>
      <c r="F604" s="8" t="s">
        <v>3628</v>
      </c>
      <c r="H604" s="7" t="s">
        <v>3620</v>
      </c>
      <c r="I604" s="7" t="s">
        <v>3654</v>
      </c>
      <c r="J604" s="7" t="s">
        <v>3526</v>
      </c>
      <c r="L604" s="7" t="s">
        <v>24</v>
      </c>
      <c r="M604" s="7" t="s">
        <v>9</v>
      </c>
      <c r="N604" s="7" t="s">
        <v>39</v>
      </c>
      <c r="O604" s="7" t="s">
        <v>1779</v>
      </c>
      <c r="P604" s="7" t="s">
        <v>1603</v>
      </c>
      <c r="Q604" s="7" t="s">
        <v>1780</v>
      </c>
      <c r="R604" t="s">
        <v>3633</v>
      </c>
    </row>
    <row r="605" spans="1:20" x14ac:dyDescent="0.3">
      <c r="A605" s="7" t="str">
        <f>HYPERLINK("https://hsdes.intel.com/resource/14013161491","14013161491")</f>
        <v>14013161491</v>
      </c>
      <c r="B605" s="7" t="s">
        <v>1781</v>
      </c>
      <c r="C605" s="7" t="s">
        <v>161</v>
      </c>
      <c r="D605" s="7" t="s">
        <v>3612</v>
      </c>
      <c r="E605" s="7" t="s">
        <v>3617</v>
      </c>
      <c r="F605" s="8" t="s">
        <v>3628</v>
      </c>
      <c r="H605" s="7" t="s">
        <v>3618</v>
      </c>
      <c r="J605" s="7" t="s">
        <v>3529</v>
      </c>
      <c r="L605" s="7" t="s">
        <v>38</v>
      </c>
      <c r="M605" s="7" t="s">
        <v>94</v>
      </c>
      <c r="N605" s="7" t="s">
        <v>56</v>
      </c>
      <c r="O605" s="7" t="s">
        <v>1782</v>
      </c>
      <c r="P605" s="7" t="s">
        <v>1046</v>
      </c>
      <c r="Q605" s="7" t="s">
        <v>1783</v>
      </c>
      <c r="R605" t="s">
        <v>3632</v>
      </c>
    </row>
    <row r="606" spans="1:20" x14ac:dyDescent="0.3">
      <c r="A606" s="7" t="str">
        <f>HYPERLINK("https://hsdes.intel.com/resource/14013161527","14013161527")</f>
        <v>14013161527</v>
      </c>
      <c r="B606" s="7" t="s">
        <v>1784</v>
      </c>
      <c r="C606" s="7" t="s">
        <v>1785</v>
      </c>
      <c r="D606" s="7" t="s">
        <v>3612</v>
      </c>
      <c r="E606" s="7" t="s">
        <v>3617</v>
      </c>
      <c r="F606" s="8" t="s">
        <v>3628</v>
      </c>
      <c r="H606" s="7" t="s">
        <v>3618</v>
      </c>
      <c r="J606" s="7" t="s">
        <v>3543</v>
      </c>
      <c r="L606" s="7" t="s">
        <v>8</v>
      </c>
      <c r="M606" s="7" t="s">
        <v>94</v>
      </c>
      <c r="N606" s="7" t="s">
        <v>39</v>
      </c>
      <c r="O606" s="7" t="s">
        <v>1786</v>
      </c>
      <c r="P606" s="7" t="s">
        <v>34</v>
      </c>
      <c r="Q606" s="7" t="s">
        <v>1787</v>
      </c>
      <c r="R606" t="s">
        <v>3633</v>
      </c>
    </row>
    <row r="607" spans="1:20" x14ac:dyDescent="0.3">
      <c r="A607" s="7" t="str">
        <f>HYPERLINK("https://hsdes.intel.com/resource/14013161560","14013161560")</f>
        <v>14013161560</v>
      </c>
      <c r="B607" s="7" t="s">
        <v>1788</v>
      </c>
      <c r="C607" s="7" t="s">
        <v>133</v>
      </c>
      <c r="D607" s="7" t="s">
        <v>3612</v>
      </c>
      <c r="E607" s="7" t="s">
        <v>3617</v>
      </c>
      <c r="F607" s="8" t="s">
        <v>3628</v>
      </c>
      <c r="H607" s="7" t="s">
        <v>3620</v>
      </c>
      <c r="I607" s="7" t="s">
        <v>3640</v>
      </c>
      <c r="L607" s="7" t="s">
        <v>24</v>
      </c>
      <c r="M607" s="7" t="s">
        <v>9</v>
      </c>
      <c r="N607" s="7" t="s">
        <v>39</v>
      </c>
      <c r="O607" s="7" t="s">
        <v>48</v>
      </c>
      <c r="P607" s="7" t="s">
        <v>48</v>
      </c>
      <c r="Q607" s="7" t="s">
        <v>1789</v>
      </c>
      <c r="R607" t="s">
        <v>3632</v>
      </c>
    </row>
    <row r="608" spans="1:20" x14ac:dyDescent="0.3">
      <c r="A608" s="7" t="str">
        <f>HYPERLINK("https://hsdes.intel.com/resource/14013161588","14013161588")</f>
        <v>14013161588</v>
      </c>
      <c r="B608" s="7" t="s">
        <v>1790</v>
      </c>
      <c r="C608" s="7" t="s">
        <v>212</v>
      </c>
      <c r="D608" s="7" t="s">
        <v>3613</v>
      </c>
      <c r="E608" s="7" t="s">
        <v>3617</v>
      </c>
      <c r="F608" s="8" t="s">
        <v>3628</v>
      </c>
      <c r="H608" s="7" t="s">
        <v>3620</v>
      </c>
      <c r="I608" s="7" t="s">
        <v>3654</v>
      </c>
      <c r="J608" s="7" t="s">
        <v>3526</v>
      </c>
      <c r="L608" s="7" t="s">
        <v>24</v>
      </c>
      <c r="M608" s="7" t="s">
        <v>9</v>
      </c>
      <c r="N608" s="7" t="s">
        <v>39</v>
      </c>
      <c r="O608" s="7" t="s">
        <v>1791</v>
      </c>
      <c r="P608" s="7" t="s">
        <v>365</v>
      </c>
      <c r="Q608" s="7" t="s">
        <v>1792</v>
      </c>
      <c r="R608" t="s">
        <v>3633</v>
      </c>
    </row>
    <row r="609" spans="1:20" x14ac:dyDescent="0.3">
      <c r="A609" s="7" t="str">
        <f>HYPERLINK("https://hsdes.intel.com/resource/14013161591","14013161591")</f>
        <v>14013161591</v>
      </c>
      <c r="B609" s="7" t="s">
        <v>1793</v>
      </c>
      <c r="C609" s="7" t="s">
        <v>29</v>
      </c>
      <c r="D609" s="7" t="s">
        <v>3612</v>
      </c>
      <c r="E609" s="7" t="s">
        <v>3617</v>
      </c>
      <c r="F609" s="8" t="s">
        <v>3628</v>
      </c>
      <c r="H609" s="7" t="s">
        <v>3619</v>
      </c>
      <c r="I609" s="7" t="s">
        <v>3641</v>
      </c>
      <c r="L609" s="7" t="s">
        <v>8</v>
      </c>
      <c r="M609" s="7" t="s">
        <v>94</v>
      </c>
      <c r="N609" s="7" t="s">
        <v>25</v>
      </c>
      <c r="O609" s="7" t="s">
        <v>378</v>
      </c>
      <c r="P609" s="7" t="s">
        <v>525</v>
      </c>
      <c r="Q609" s="7" t="s">
        <v>1794</v>
      </c>
      <c r="R609" t="s">
        <v>3632</v>
      </c>
    </row>
    <row r="610" spans="1:20" x14ac:dyDescent="0.3">
      <c r="A610" s="7" t="str">
        <f>HYPERLINK("https://hsdes.intel.com/resource/14013161593","14013161593")</f>
        <v>14013161593</v>
      </c>
      <c r="B610" s="7" t="s">
        <v>1795</v>
      </c>
      <c r="C610" s="7" t="s">
        <v>55</v>
      </c>
      <c r="D610" s="7" t="s">
        <v>3612</v>
      </c>
      <c r="E610" s="7" t="s">
        <v>3617</v>
      </c>
      <c r="F610" s="8" t="s">
        <v>3628</v>
      </c>
      <c r="H610" s="7" t="s">
        <v>3619</v>
      </c>
      <c r="I610" s="7" t="s">
        <v>3622</v>
      </c>
      <c r="L610" s="7" t="s">
        <v>30</v>
      </c>
      <c r="M610" s="7" t="s">
        <v>9</v>
      </c>
      <c r="N610" s="7" t="s">
        <v>25</v>
      </c>
      <c r="O610" s="7" t="s">
        <v>48</v>
      </c>
      <c r="P610" s="7" t="s">
        <v>48</v>
      </c>
      <c r="Q610" s="7" t="s">
        <v>1796</v>
      </c>
      <c r="R610" t="s">
        <v>3632</v>
      </c>
    </row>
    <row r="611" spans="1:20" x14ac:dyDescent="0.3">
      <c r="A611" s="7" t="str">
        <f>HYPERLINK("https://hsdes.intel.com/resource/14013161594","14013161594")</f>
        <v>14013161594</v>
      </c>
      <c r="B611" s="7" t="s">
        <v>1797</v>
      </c>
      <c r="C611" s="7" t="s">
        <v>55</v>
      </c>
      <c r="D611" s="7" t="s">
        <v>3612</v>
      </c>
      <c r="E611" s="7" t="s">
        <v>3617</v>
      </c>
      <c r="F611" s="8" t="s">
        <v>3628</v>
      </c>
      <c r="H611" s="7" t="s">
        <v>3619</v>
      </c>
      <c r="I611" s="7" t="s">
        <v>3622</v>
      </c>
      <c r="L611" s="7" t="s">
        <v>30</v>
      </c>
      <c r="M611" s="7" t="s">
        <v>9</v>
      </c>
      <c r="N611" s="7" t="s">
        <v>25</v>
      </c>
      <c r="O611" s="7" t="s">
        <v>48</v>
      </c>
      <c r="P611" s="7" t="s">
        <v>48</v>
      </c>
      <c r="Q611" s="7" t="s">
        <v>1798</v>
      </c>
      <c r="R611" t="s">
        <v>3632</v>
      </c>
    </row>
    <row r="612" spans="1:20" x14ac:dyDescent="0.3">
      <c r="A612" s="7" t="str">
        <f>HYPERLINK("https://hsdes.intel.com/resource/14013161603","14013161603")</f>
        <v>14013161603</v>
      </c>
      <c r="B612" s="7" t="s">
        <v>1799</v>
      </c>
      <c r="C612" s="7" t="s">
        <v>55</v>
      </c>
      <c r="D612" s="7" t="s">
        <v>3612</v>
      </c>
      <c r="E612" s="7" t="s">
        <v>3617</v>
      </c>
      <c r="F612" s="8" t="s">
        <v>3628</v>
      </c>
      <c r="H612" s="7" t="s">
        <v>3619</v>
      </c>
      <c r="I612" s="7" t="s">
        <v>3622</v>
      </c>
      <c r="L612" s="7" t="s">
        <v>8</v>
      </c>
      <c r="M612" s="7" t="s">
        <v>94</v>
      </c>
      <c r="N612" s="7" t="s">
        <v>25</v>
      </c>
      <c r="O612" s="7" t="s">
        <v>528</v>
      </c>
      <c r="P612" s="7" t="s">
        <v>525</v>
      </c>
      <c r="Q612" s="7" t="s">
        <v>1800</v>
      </c>
      <c r="R612" t="s">
        <v>3631</v>
      </c>
    </row>
    <row r="613" spans="1:20" x14ac:dyDescent="0.3">
      <c r="A613" s="7" t="str">
        <f>HYPERLINK("https://hsdes.intel.com/resource/14013161605","14013161605")</f>
        <v>14013161605</v>
      </c>
      <c r="B613" s="7" t="s">
        <v>1801</v>
      </c>
      <c r="C613" s="7" t="s">
        <v>212</v>
      </c>
      <c r="D613" s="7" t="s">
        <v>3612</v>
      </c>
      <c r="E613" s="7" t="s">
        <v>3617</v>
      </c>
      <c r="F613" s="8" t="s">
        <v>3628</v>
      </c>
      <c r="H613" s="7" t="s">
        <v>3619</v>
      </c>
      <c r="I613" s="7" t="s">
        <v>3645</v>
      </c>
      <c r="L613" s="7" t="s">
        <v>24</v>
      </c>
      <c r="M613" s="7" t="s">
        <v>9</v>
      </c>
      <c r="N613" s="7" t="s">
        <v>39</v>
      </c>
      <c r="O613" s="7" t="s">
        <v>1791</v>
      </c>
      <c r="P613" s="7" t="s">
        <v>365</v>
      </c>
      <c r="Q613" s="7" t="s">
        <v>1802</v>
      </c>
      <c r="R613" t="s">
        <v>3631</v>
      </c>
      <c r="T613" s="22">
        <v>44819</v>
      </c>
    </row>
    <row r="614" spans="1:20" x14ac:dyDescent="0.3">
      <c r="A614" s="7" t="str">
        <f>HYPERLINK("https://hsdes.intel.com/resource/14013161624","14013161624")</f>
        <v>14013161624</v>
      </c>
      <c r="B614" s="7" t="s">
        <v>1803</v>
      </c>
      <c r="C614" s="7" t="s">
        <v>551</v>
      </c>
      <c r="D614" s="7" t="s">
        <v>3612</v>
      </c>
      <c r="E614" s="7" t="s">
        <v>3617</v>
      </c>
      <c r="F614" s="8" t="s">
        <v>3628</v>
      </c>
      <c r="H614" s="7" t="s">
        <v>3619</v>
      </c>
      <c r="I614" s="7" t="s">
        <v>3622</v>
      </c>
      <c r="L614" s="7" t="s">
        <v>142</v>
      </c>
      <c r="M614" s="7" t="s">
        <v>9</v>
      </c>
      <c r="N614" s="7" t="s">
        <v>56</v>
      </c>
      <c r="O614" s="7" t="s">
        <v>1804</v>
      </c>
      <c r="P614" s="7" t="s">
        <v>1362</v>
      </c>
      <c r="Q614" s="7" t="s">
        <v>1805</v>
      </c>
      <c r="R614" t="s">
        <v>3632</v>
      </c>
    </row>
    <row r="615" spans="1:20" x14ac:dyDescent="0.3">
      <c r="A615" s="7" t="str">
        <f>HYPERLINK("https://hsdes.intel.com/resource/14013161628","14013161628")</f>
        <v>14013161628</v>
      </c>
      <c r="B615" s="7" t="s">
        <v>1806</v>
      </c>
      <c r="C615" s="7" t="s">
        <v>845</v>
      </c>
      <c r="D615" s="7" t="s">
        <v>3612</v>
      </c>
      <c r="E615" s="7" t="s">
        <v>3617</v>
      </c>
      <c r="F615" s="8" t="s">
        <v>3628</v>
      </c>
      <c r="H615" s="7" t="s">
        <v>3619</v>
      </c>
      <c r="I615" s="7" t="s">
        <v>3644</v>
      </c>
      <c r="L615" s="7" t="s">
        <v>142</v>
      </c>
      <c r="M615" s="7" t="s">
        <v>9</v>
      </c>
      <c r="N615" s="7" t="s">
        <v>56</v>
      </c>
      <c r="O615" s="7" t="s">
        <v>1804</v>
      </c>
      <c r="P615" s="7" t="s">
        <v>1362</v>
      </c>
      <c r="Q615" s="7" t="s">
        <v>1807</v>
      </c>
      <c r="R615" t="s">
        <v>3632</v>
      </c>
    </row>
    <row r="616" spans="1:20" x14ac:dyDescent="0.3">
      <c r="A616" s="9" t="str">
        <f>HYPERLINK("https://hsdes.intel.com/resource/14013161635","14013161635")</f>
        <v>14013161635</v>
      </c>
      <c r="B616" s="7" t="s">
        <v>1808</v>
      </c>
      <c r="C616" s="7" t="s">
        <v>845</v>
      </c>
      <c r="D616" s="7" t="s">
        <v>3612</v>
      </c>
      <c r="E616" s="7" t="s">
        <v>3617</v>
      </c>
      <c r="F616" s="8" t="s">
        <v>3628</v>
      </c>
      <c r="H616" s="7" t="s">
        <v>3619</v>
      </c>
      <c r="I616" s="7" t="s">
        <v>3622</v>
      </c>
      <c r="J616" s="7" t="s">
        <v>3594</v>
      </c>
      <c r="L616" s="7" t="s">
        <v>142</v>
      </c>
      <c r="M616" s="7" t="s">
        <v>9</v>
      </c>
      <c r="N616" s="7" t="s">
        <v>56</v>
      </c>
      <c r="O616" s="7" t="s">
        <v>1809</v>
      </c>
      <c r="P616" s="7" t="s">
        <v>1348</v>
      </c>
      <c r="Q616" s="7" t="s">
        <v>1810</v>
      </c>
      <c r="R616" t="s">
        <v>3632</v>
      </c>
    </row>
    <row r="617" spans="1:20" x14ac:dyDescent="0.3">
      <c r="A617" s="7" t="str">
        <f>HYPERLINK("https://hsdes.intel.com/resource/14013161649","14013161649")</f>
        <v>14013161649</v>
      </c>
      <c r="B617" s="7" t="s">
        <v>1811</v>
      </c>
      <c r="C617" s="7" t="s">
        <v>845</v>
      </c>
      <c r="D617" s="7" t="s">
        <v>3612</v>
      </c>
      <c r="E617" s="7" t="s">
        <v>3617</v>
      </c>
      <c r="F617" s="8" t="s">
        <v>3628</v>
      </c>
      <c r="H617" s="7" t="s">
        <v>3619</v>
      </c>
      <c r="I617" s="7" t="s">
        <v>3622</v>
      </c>
      <c r="L617" s="7" t="s">
        <v>142</v>
      </c>
      <c r="M617" s="7" t="s">
        <v>94</v>
      </c>
      <c r="N617" s="7" t="s">
        <v>56</v>
      </c>
      <c r="O617" s="7" t="s">
        <v>1748</v>
      </c>
      <c r="P617" s="7" t="s">
        <v>1748</v>
      </c>
      <c r="Q617" s="7" t="s">
        <v>1812</v>
      </c>
      <c r="R617" t="s">
        <v>3633</v>
      </c>
    </row>
    <row r="618" spans="1:20" x14ac:dyDescent="0.3">
      <c r="A618" s="7" t="str">
        <f>HYPERLINK("https://hsdes.intel.com/resource/14013161657","14013161657")</f>
        <v>14013161657</v>
      </c>
      <c r="B618" s="7" t="s">
        <v>1813</v>
      </c>
      <c r="C618" s="7" t="s">
        <v>845</v>
      </c>
      <c r="D618" s="7" t="s">
        <v>3612</v>
      </c>
      <c r="E618" s="7" t="s">
        <v>3617</v>
      </c>
      <c r="F618" s="8" t="s">
        <v>3628</v>
      </c>
      <c r="H618" s="7" t="s">
        <v>3619</v>
      </c>
      <c r="I618" s="7" t="s">
        <v>3622</v>
      </c>
      <c r="L618" s="7" t="s">
        <v>142</v>
      </c>
      <c r="M618" s="7" t="s">
        <v>9</v>
      </c>
      <c r="N618" s="7" t="s">
        <v>56</v>
      </c>
      <c r="O618" s="7" t="s">
        <v>1814</v>
      </c>
      <c r="P618" s="7" t="s">
        <v>1815</v>
      </c>
      <c r="Q618" s="7" t="s">
        <v>1816</v>
      </c>
      <c r="R618" t="s">
        <v>3631</v>
      </c>
    </row>
    <row r="619" spans="1:20" x14ac:dyDescent="0.3">
      <c r="A619" s="7" t="str">
        <f>HYPERLINK("https://hsdes.intel.com/resource/14013161663","14013161663")</f>
        <v>14013161663</v>
      </c>
      <c r="B619" s="7" t="s">
        <v>1817</v>
      </c>
      <c r="C619" s="7" t="s">
        <v>845</v>
      </c>
      <c r="D619" s="7" t="s">
        <v>3612</v>
      </c>
      <c r="E619" s="7" t="s">
        <v>3617</v>
      </c>
      <c r="F619" s="8" t="s">
        <v>3628</v>
      </c>
      <c r="H619" s="7" t="s">
        <v>3619</v>
      </c>
      <c r="I619" s="7" t="s">
        <v>3622</v>
      </c>
      <c r="L619" s="7" t="s">
        <v>142</v>
      </c>
      <c r="M619" s="7" t="s">
        <v>9</v>
      </c>
      <c r="N619" s="7" t="s">
        <v>56</v>
      </c>
      <c r="O619" s="7" t="s">
        <v>1678</v>
      </c>
      <c r="P619" s="7" t="s">
        <v>1679</v>
      </c>
      <c r="Q619" s="7" t="s">
        <v>1818</v>
      </c>
      <c r="R619" t="s">
        <v>3631</v>
      </c>
    </row>
    <row r="620" spans="1:20" x14ac:dyDescent="0.3">
      <c r="A620" s="7" t="str">
        <f>HYPERLINK("https://hsdes.intel.com/resource/14013161698","14013161698")</f>
        <v>14013161698</v>
      </c>
      <c r="B620" s="7" t="s">
        <v>1819</v>
      </c>
      <c r="C620" s="7" t="s">
        <v>212</v>
      </c>
      <c r="D620" s="7" t="s">
        <v>3612</v>
      </c>
      <c r="E620" s="7" t="s">
        <v>3617</v>
      </c>
      <c r="F620" s="8" t="s">
        <v>3628</v>
      </c>
      <c r="H620" s="7" t="s">
        <v>3619</v>
      </c>
      <c r="I620" s="7" t="s">
        <v>3645</v>
      </c>
      <c r="L620" s="7" t="s">
        <v>24</v>
      </c>
      <c r="M620" s="7" t="s">
        <v>9</v>
      </c>
      <c r="N620" s="7" t="s">
        <v>25</v>
      </c>
      <c r="O620" s="7" t="s">
        <v>1791</v>
      </c>
      <c r="P620" s="7" t="s">
        <v>365</v>
      </c>
      <c r="Q620" s="7" t="s">
        <v>1820</v>
      </c>
      <c r="R620" t="s">
        <v>3633</v>
      </c>
      <c r="T620" s="22">
        <v>44819</v>
      </c>
    </row>
    <row r="621" spans="1:20" x14ac:dyDescent="0.3">
      <c r="A621" s="7" t="str">
        <f>HYPERLINK("https://hsdes.intel.com/resource/14013161700","14013161700")</f>
        <v>14013161700</v>
      </c>
      <c r="B621" s="7" t="s">
        <v>1821</v>
      </c>
      <c r="C621" s="7" t="s">
        <v>212</v>
      </c>
      <c r="D621" s="7" t="s">
        <v>3612</v>
      </c>
      <c r="E621" s="7" t="s">
        <v>3617</v>
      </c>
      <c r="F621" s="8" t="s">
        <v>3628</v>
      </c>
      <c r="H621" s="7" t="s">
        <v>3619</v>
      </c>
      <c r="I621" s="7" t="s">
        <v>3645</v>
      </c>
      <c r="L621" s="7" t="s">
        <v>24</v>
      </c>
      <c r="M621" s="7" t="s">
        <v>9</v>
      </c>
      <c r="N621" s="7" t="s">
        <v>25</v>
      </c>
      <c r="O621" s="7" t="s">
        <v>1791</v>
      </c>
      <c r="P621" s="7" t="s">
        <v>365</v>
      </c>
      <c r="Q621" s="7" t="s">
        <v>1822</v>
      </c>
      <c r="R621" t="s">
        <v>3631</v>
      </c>
      <c r="T621" s="22">
        <v>44819</v>
      </c>
    </row>
    <row r="622" spans="1:20" x14ac:dyDescent="0.3">
      <c r="A622" s="7" t="str">
        <f>HYPERLINK("https://hsdes.intel.com/resource/14013161706","14013161706")</f>
        <v>14013161706</v>
      </c>
      <c r="B622" s="7" t="s">
        <v>1823</v>
      </c>
      <c r="C622" s="7" t="s">
        <v>212</v>
      </c>
      <c r="D622" s="7" t="s">
        <v>3612</v>
      </c>
      <c r="E622" s="7" t="s">
        <v>3617</v>
      </c>
      <c r="F622" s="8" t="s">
        <v>3628</v>
      </c>
      <c r="H622" s="7" t="s">
        <v>3619</v>
      </c>
      <c r="I622" s="7" t="s">
        <v>3645</v>
      </c>
      <c r="L622" s="7" t="s">
        <v>24</v>
      </c>
      <c r="M622" s="7" t="s">
        <v>9</v>
      </c>
      <c r="N622" s="7" t="s">
        <v>56</v>
      </c>
      <c r="O622" s="7" t="s">
        <v>1791</v>
      </c>
      <c r="P622" s="7" t="s">
        <v>365</v>
      </c>
      <c r="Q622" s="7" t="s">
        <v>1824</v>
      </c>
      <c r="R622" t="s">
        <v>3631</v>
      </c>
      <c r="T622" s="22">
        <v>44819</v>
      </c>
    </row>
    <row r="623" spans="1:20" x14ac:dyDescent="0.3">
      <c r="A623" s="7" t="str">
        <f>HYPERLINK("https://hsdes.intel.com/resource/14013161721","14013161721")</f>
        <v>14013161721</v>
      </c>
      <c r="B623" s="7" t="s">
        <v>1825</v>
      </c>
      <c r="C623" s="7" t="s">
        <v>55</v>
      </c>
      <c r="D623" s="7" t="s">
        <v>3612</v>
      </c>
      <c r="E623" s="7" t="s">
        <v>3617</v>
      </c>
      <c r="F623" s="8" t="s">
        <v>3628</v>
      </c>
      <c r="H623" s="7" t="s">
        <v>3620</v>
      </c>
      <c r="I623" s="7" t="s">
        <v>3649</v>
      </c>
      <c r="L623" s="7" t="s">
        <v>30</v>
      </c>
      <c r="M623" s="7" t="s">
        <v>9</v>
      </c>
      <c r="N623" s="7" t="s">
        <v>25</v>
      </c>
      <c r="O623" s="7" t="s">
        <v>1826</v>
      </c>
      <c r="P623" s="7" t="s">
        <v>1826</v>
      </c>
      <c r="Q623" s="7" t="s">
        <v>1827</v>
      </c>
      <c r="R623" t="s">
        <v>3632</v>
      </c>
    </row>
    <row r="624" spans="1:20" x14ac:dyDescent="0.3">
      <c r="A624" s="7" t="str">
        <f>HYPERLINK("https://hsdes.intel.com/resource/14013161732","14013161732")</f>
        <v>14013161732</v>
      </c>
      <c r="B624" s="7" t="s">
        <v>1828</v>
      </c>
      <c r="C624" s="7" t="s">
        <v>55</v>
      </c>
      <c r="D624" s="7" t="s">
        <v>3612</v>
      </c>
      <c r="E624" s="7" t="s">
        <v>3617</v>
      </c>
      <c r="F624" s="8" t="s">
        <v>3628</v>
      </c>
      <c r="H624" s="7" t="s">
        <v>3619</v>
      </c>
      <c r="I624" s="7" t="s">
        <v>3622</v>
      </c>
      <c r="L624" s="7" t="s">
        <v>30</v>
      </c>
      <c r="M624" s="7" t="s">
        <v>9</v>
      </c>
      <c r="N624" s="7" t="s">
        <v>25</v>
      </c>
      <c r="O624" s="7" t="s">
        <v>563</v>
      </c>
      <c r="P624" s="7" t="s">
        <v>563</v>
      </c>
      <c r="Q624" s="7" t="s">
        <v>1829</v>
      </c>
      <c r="R624" t="s">
        <v>3632</v>
      </c>
    </row>
    <row r="625" spans="1:18" x14ac:dyDescent="0.3">
      <c r="A625" s="7" t="str">
        <f>HYPERLINK("https://hsdes.intel.com/resource/14013161866","14013161866")</f>
        <v>14013161866</v>
      </c>
      <c r="B625" s="7" t="s">
        <v>1830</v>
      </c>
      <c r="C625" s="7" t="s">
        <v>845</v>
      </c>
      <c r="D625" s="7" t="s">
        <v>3612</v>
      </c>
      <c r="E625" s="7" t="s">
        <v>3617</v>
      </c>
      <c r="F625" s="8" t="s">
        <v>3628</v>
      </c>
      <c r="H625" s="7" t="s">
        <v>3620</v>
      </c>
      <c r="I625" s="7" t="s">
        <v>3644</v>
      </c>
      <c r="L625" s="7" t="s">
        <v>142</v>
      </c>
      <c r="M625" s="7" t="s">
        <v>94</v>
      </c>
      <c r="N625" s="7" t="s">
        <v>56</v>
      </c>
      <c r="O625" s="7" t="s">
        <v>1831</v>
      </c>
      <c r="P625" s="7" t="s">
        <v>1831</v>
      </c>
      <c r="Q625" s="7" t="s">
        <v>1832</v>
      </c>
      <c r="R625" t="s">
        <v>3631</v>
      </c>
    </row>
    <row r="626" spans="1:18" x14ac:dyDescent="0.3">
      <c r="A626" s="7" t="str">
        <f>HYPERLINK("https://hsdes.intel.com/resource/14013161901","14013161901")</f>
        <v>14013161901</v>
      </c>
      <c r="B626" s="7" t="s">
        <v>1833</v>
      </c>
      <c r="C626" s="7" t="s">
        <v>55</v>
      </c>
      <c r="D626" s="7" t="s">
        <v>3612</v>
      </c>
      <c r="E626" s="7" t="s">
        <v>3617</v>
      </c>
      <c r="F626" s="8" t="s">
        <v>3628</v>
      </c>
      <c r="H626" s="7" t="s">
        <v>3619</v>
      </c>
      <c r="I626" s="7" t="s">
        <v>3622</v>
      </c>
      <c r="L626" s="7" t="s">
        <v>30</v>
      </c>
      <c r="M626" s="7" t="s">
        <v>9</v>
      </c>
      <c r="N626" s="7" t="s">
        <v>39</v>
      </c>
      <c r="O626" s="7" t="s">
        <v>1369</v>
      </c>
      <c r="P626" s="7" t="s">
        <v>1370</v>
      </c>
      <c r="Q626" s="7" t="s">
        <v>1834</v>
      </c>
      <c r="R626" t="s">
        <v>3632</v>
      </c>
    </row>
    <row r="627" spans="1:18" x14ac:dyDescent="0.3">
      <c r="A627" s="7" t="str">
        <f>HYPERLINK("https://hsdes.intel.com/resource/14013161905","14013161905")</f>
        <v>14013161905</v>
      </c>
      <c r="B627" s="7" t="s">
        <v>1835</v>
      </c>
      <c r="C627" s="7" t="s">
        <v>55</v>
      </c>
      <c r="D627" s="7" t="s">
        <v>3612</v>
      </c>
      <c r="E627" s="7" t="s">
        <v>3617</v>
      </c>
      <c r="F627" s="8" t="s">
        <v>3628</v>
      </c>
      <c r="H627" s="7" t="s">
        <v>3619</v>
      </c>
      <c r="I627" s="7" t="s">
        <v>3622</v>
      </c>
      <c r="L627" s="7" t="s">
        <v>30</v>
      </c>
      <c r="M627" s="7" t="s">
        <v>9</v>
      </c>
      <c r="N627" s="7" t="s">
        <v>39</v>
      </c>
      <c r="O627" s="7" t="s">
        <v>411</v>
      </c>
      <c r="P627" s="7" t="s">
        <v>682</v>
      </c>
      <c r="Q627" s="7" t="s">
        <v>1836</v>
      </c>
      <c r="R627" t="s">
        <v>3632</v>
      </c>
    </row>
    <row r="628" spans="1:18" x14ac:dyDescent="0.3">
      <c r="A628" s="7" t="str">
        <f>HYPERLINK("https://hsdes.intel.com/resource/14013161928","14013161928")</f>
        <v>14013161928</v>
      </c>
      <c r="B628" s="7" t="s">
        <v>1837</v>
      </c>
      <c r="C628" s="7" t="s">
        <v>99</v>
      </c>
      <c r="D628" s="7" t="s">
        <v>3612</v>
      </c>
      <c r="E628" s="7" t="s">
        <v>3617</v>
      </c>
      <c r="F628" s="8" t="s">
        <v>3628</v>
      </c>
      <c r="H628" s="7" t="s">
        <v>3620</v>
      </c>
      <c r="I628" s="7" t="s">
        <v>3622</v>
      </c>
      <c r="J628" s="7" t="s">
        <v>3591</v>
      </c>
      <c r="L628" s="7" t="s">
        <v>100</v>
      </c>
      <c r="M628" s="7" t="s">
        <v>9</v>
      </c>
      <c r="N628" s="7" t="s">
        <v>39</v>
      </c>
      <c r="O628" s="7" t="s">
        <v>1838</v>
      </c>
      <c r="P628" s="7" t="s">
        <v>1839</v>
      </c>
      <c r="Q628" s="7" t="s">
        <v>1840</v>
      </c>
      <c r="R628" t="s">
        <v>3632</v>
      </c>
    </row>
    <row r="629" spans="1:18" x14ac:dyDescent="0.3">
      <c r="A629" s="7" t="str">
        <f>HYPERLINK("https://hsdes.intel.com/resource/14013161937","14013161937")</f>
        <v>14013161937</v>
      </c>
      <c r="B629" s="7" t="s">
        <v>1841</v>
      </c>
      <c r="C629" s="7" t="s">
        <v>212</v>
      </c>
      <c r="D629" s="7" t="s">
        <v>3612</v>
      </c>
      <c r="E629" s="7" t="s">
        <v>3617</v>
      </c>
      <c r="F629" s="8" t="s">
        <v>3628</v>
      </c>
      <c r="H629" s="7" t="s">
        <v>3620</v>
      </c>
      <c r="I629" s="7" t="s">
        <v>3654</v>
      </c>
      <c r="J629" s="7" t="s">
        <v>3526</v>
      </c>
      <c r="L629" s="7" t="s">
        <v>24</v>
      </c>
      <c r="M629" s="7" t="s">
        <v>9</v>
      </c>
      <c r="N629" s="7" t="s">
        <v>25</v>
      </c>
      <c r="O629" s="7" t="s">
        <v>1772</v>
      </c>
      <c r="P629" s="7" t="s">
        <v>1366</v>
      </c>
      <c r="Q629" s="7" t="s">
        <v>1842</v>
      </c>
      <c r="R629" t="s">
        <v>3633</v>
      </c>
    </row>
    <row r="630" spans="1:18" x14ac:dyDescent="0.3">
      <c r="A630" s="7" t="str">
        <f>HYPERLINK("https://hsdes.intel.com/resource/14013161981","14013161981")</f>
        <v>14013161981</v>
      </c>
      <c r="B630" s="7" t="s">
        <v>1843</v>
      </c>
      <c r="C630" s="7" t="s">
        <v>29</v>
      </c>
      <c r="D630" s="7" t="s">
        <v>3612</v>
      </c>
      <c r="E630" s="7" t="s">
        <v>3617</v>
      </c>
      <c r="F630" s="8" t="s">
        <v>3628</v>
      </c>
      <c r="H630" s="7" t="s">
        <v>3620</v>
      </c>
      <c r="I630" s="7" t="s">
        <v>3641</v>
      </c>
      <c r="L630" s="7" t="s">
        <v>30</v>
      </c>
      <c r="M630" s="7" t="s">
        <v>9</v>
      </c>
      <c r="N630" s="7" t="s">
        <v>25</v>
      </c>
      <c r="O630" s="7" t="s">
        <v>31</v>
      </c>
      <c r="P630" s="7" t="s">
        <v>31</v>
      </c>
      <c r="Q630" s="7" t="s">
        <v>1844</v>
      </c>
      <c r="R630" t="s">
        <v>3631</v>
      </c>
    </row>
    <row r="631" spans="1:18" x14ac:dyDescent="0.3">
      <c r="A631" s="7" t="str">
        <f>HYPERLINK("https://hsdes.intel.com/resource/14013161997","14013161997")</f>
        <v>14013161997</v>
      </c>
      <c r="B631" s="7" t="s">
        <v>1845</v>
      </c>
      <c r="C631" s="7" t="s">
        <v>29</v>
      </c>
      <c r="D631" s="7" t="s">
        <v>3612</v>
      </c>
      <c r="E631" s="7" t="s">
        <v>3617</v>
      </c>
      <c r="F631" s="8" t="s">
        <v>3628</v>
      </c>
      <c r="H631" s="7" t="s">
        <v>3620</v>
      </c>
      <c r="I631" s="7" t="s">
        <v>3641</v>
      </c>
      <c r="L631" s="7" t="s">
        <v>30</v>
      </c>
      <c r="M631" s="7" t="s">
        <v>9</v>
      </c>
      <c r="N631" s="7" t="s">
        <v>25</v>
      </c>
      <c r="O631" s="7" t="s">
        <v>31</v>
      </c>
      <c r="P631" s="7" t="s">
        <v>31</v>
      </c>
      <c r="Q631" s="7" t="s">
        <v>1846</v>
      </c>
      <c r="R631" t="s">
        <v>3632</v>
      </c>
    </row>
    <row r="632" spans="1:18" x14ac:dyDescent="0.3">
      <c r="A632" s="7" t="str">
        <f>HYPERLINK("https://hsdes.intel.com/resource/14013162008","14013162008")</f>
        <v>14013162008</v>
      </c>
      <c r="B632" s="7" t="s">
        <v>1847</v>
      </c>
      <c r="C632" s="7" t="s">
        <v>29</v>
      </c>
      <c r="D632" s="7" t="s">
        <v>3612</v>
      </c>
      <c r="E632" s="7" t="s">
        <v>3617</v>
      </c>
      <c r="F632" s="8" t="s">
        <v>3628</v>
      </c>
      <c r="H632" s="7" t="s">
        <v>3620</v>
      </c>
      <c r="I632" s="7" t="s">
        <v>3641</v>
      </c>
      <c r="L632" s="7" t="s">
        <v>30</v>
      </c>
      <c r="M632" s="7" t="s">
        <v>9</v>
      </c>
      <c r="N632" s="7" t="s">
        <v>25</v>
      </c>
      <c r="O632" s="7" t="s">
        <v>31</v>
      </c>
      <c r="P632" s="7" t="s">
        <v>31</v>
      </c>
      <c r="Q632" s="7" t="s">
        <v>1848</v>
      </c>
      <c r="R632" t="s">
        <v>3632</v>
      </c>
    </row>
    <row r="633" spans="1:18" x14ac:dyDescent="0.3">
      <c r="A633" s="7" t="str">
        <f>HYPERLINK("https://hsdes.intel.com/resource/14013162045","14013162045")</f>
        <v>14013162045</v>
      </c>
      <c r="B633" s="7" t="s">
        <v>1849</v>
      </c>
      <c r="C633" s="7" t="s">
        <v>29</v>
      </c>
      <c r="D633" s="7" t="s">
        <v>3612</v>
      </c>
      <c r="E633" s="7" t="s">
        <v>3617</v>
      </c>
      <c r="F633" s="8" t="s">
        <v>3628</v>
      </c>
      <c r="H633" s="7" t="s">
        <v>3620</v>
      </c>
      <c r="I633" s="7" t="s">
        <v>3641</v>
      </c>
      <c r="L633" s="7" t="s">
        <v>30</v>
      </c>
      <c r="M633" s="7" t="s">
        <v>9</v>
      </c>
      <c r="N633" s="7" t="s">
        <v>25</v>
      </c>
      <c r="O633" s="7" t="s">
        <v>31</v>
      </c>
      <c r="P633" s="7" t="s">
        <v>31</v>
      </c>
      <c r="Q633" s="7" t="s">
        <v>1850</v>
      </c>
      <c r="R633" t="s">
        <v>3633</v>
      </c>
    </row>
    <row r="634" spans="1:18" x14ac:dyDescent="0.3">
      <c r="A634" s="7" t="str">
        <f>HYPERLINK("https://hsdes.intel.com/resource/14013162048","14013162048")</f>
        <v>14013162048</v>
      </c>
      <c r="B634" s="7" t="s">
        <v>1851</v>
      </c>
      <c r="C634" s="7" t="s">
        <v>29</v>
      </c>
      <c r="D634" s="7" t="s">
        <v>3612</v>
      </c>
      <c r="E634" s="7" t="s">
        <v>3617</v>
      </c>
      <c r="F634" s="8" t="s">
        <v>3628</v>
      </c>
      <c r="H634" s="7" t="s">
        <v>3620</v>
      </c>
      <c r="I634" s="7" t="s">
        <v>3641</v>
      </c>
      <c r="L634" s="7" t="s">
        <v>30</v>
      </c>
      <c r="M634" s="7" t="s">
        <v>9</v>
      </c>
      <c r="N634" s="7" t="s">
        <v>25</v>
      </c>
      <c r="O634" s="7" t="s">
        <v>31</v>
      </c>
      <c r="P634" s="7" t="s">
        <v>34</v>
      </c>
      <c r="Q634" s="7" t="s">
        <v>1852</v>
      </c>
      <c r="R634" t="s">
        <v>3633</v>
      </c>
    </row>
    <row r="635" spans="1:18" x14ac:dyDescent="0.3">
      <c r="A635" s="7" t="str">
        <f>HYPERLINK("https://hsdes.intel.com/resource/14013162068","14013162068")</f>
        <v>14013162068</v>
      </c>
      <c r="B635" s="7" t="s">
        <v>1853</v>
      </c>
      <c r="C635" s="7" t="s">
        <v>121</v>
      </c>
      <c r="D635" s="7" t="s">
        <v>3612</v>
      </c>
      <c r="E635" s="7" t="s">
        <v>3617</v>
      </c>
      <c r="F635" s="8" t="s">
        <v>3628</v>
      </c>
      <c r="H635" s="16" t="s">
        <v>3619</v>
      </c>
      <c r="I635" s="7" t="s">
        <v>3622</v>
      </c>
      <c r="L635" s="7" t="s">
        <v>142</v>
      </c>
      <c r="M635" s="7" t="s">
        <v>9</v>
      </c>
      <c r="N635" s="7" t="s">
        <v>483</v>
      </c>
      <c r="O635" s="7" t="s">
        <v>143</v>
      </c>
      <c r="P635" s="7" t="s">
        <v>1542</v>
      </c>
      <c r="Q635" s="7" t="s">
        <v>1854</v>
      </c>
      <c r="R635" t="s">
        <v>3632</v>
      </c>
    </row>
    <row r="636" spans="1:18" s="7" customFormat="1" x14ac:dyDescent="0.3">
      <c r="A636" s="7" t="str">
        <f>HYPERLINK("https://hsdes.intel.com/resource/14013162071","14013162071")</f>
        <v>14013162071</v>
      </c>
      <c r="B636" s="7" t="s">
        <v>1855</v>
      </c>
      <c r="C636" s="7" t="s">
        <v>55</v>
      </c>
      <c r="D636" s="7" t="s">
        <v>3612</v>
      </c>
      <c r="E636" s="7" t="s">
        <v>3617</v>
      </c>
      <c r="F636" s="8" t="s">
        <v>3628</v>
      </c>
      <c r="H636" s="7" t="s">
        <v>3619</v>
      </c>
      <c r="I636" s="7" t="s">
        <v>3622</v>
      </c>
      <c r="J636" s="7" t="s">
        <v>3583</v>
      </c>
      <c r="K636" s="12" t="s">
        <v>3584</v>
      </c>
      <c r="L636" s="7" t="s">
        <v>30</v>
      </c>
      <c r="M636" s="7" t="s">
        <v>9</v>
      </c>
      <c r="N636" s="7" t="s">
        <v>25</v>
      </c>
      <c r="O636" s="7" t="s">
        <v>45</v>
      </c>
      <c r="P636" s="7" t="s">
        <v>45</v>
      </c>
      <c r="Q636" s="7" t="s">
        <v>1856</v>
      </c>
      <c r="R636" t="s">
        <v>3632</v>
      </c>
    </row>
    <row r="637" spans="1:18" x14ac:dyDescent="0.3">
      <c r="A637" s="7" t="str">
        <f>HYPERLINK("https://hsdes.intel.com/resource/14013162075","14013162075")</f>
        <v>14013162075</v>
      </c>
      <c r="B637" s="7" t="s">
        <v>1857</v>
      </c>
      <c r="C637" s="7" t="s">
        <v>55</v>
      </c>
      <c r="D637" s="7" t="s">
        <v>3612</v>
      </c>
      <c r="E637" s="7" t="s">
        <v>3617</v>
      </c>
      <c r="F637" s="8" t="s">
        <v>3628</v>
      </c>
      <c r="H637" s="7" t="s">
        <v>3619</v>
      </c>
      <c r="I637" s="7" t="s">
        <v>3649</v>
      </c>
      <c r="L637" s="7" t="s">
        <v>30</v>
      </c>
      <c r="M637" s="7" t="s">
        <v>9</v>
      </c>
      <c r="N637" s="7" t="s">
        <v>25</v>
      </c>
      <c r="O637" s="7" t="s">
        <v>45</v>
      </c>
      <c r="P637" s="7" t="s">
        <v>45</v>
      </c>
      <c r="Q637" s="7" t="s">
        <v>1858</v>
      </c>
      <c r="R637" t="s">
        <v>3632</v>
      </c>
    </row>
    <row r="638" spans="1:18" x14ac:dyDescent="0.3">
      <c r="A638" s="7" t="str">
        <f>HYPERLINK("https://hsdes.intel.com/resource/14013162078","14013162078")</f>
        <v>14013162078</v>
      </c>
      <c r="B638" s="7" t="s">
        <v>1859</v>
      </c>
      <c r="C638" s="7" t="s">
        <v>845</v>
      </c>
      <c r="D638" s="7" t="s">
        <v>3612</v>
      </c>
      <c r="E638" s="7" t="s">
        <v>3617</v>
      </c>
      <c r="F638" s="8" t="s">
        <v>3628</v>
      </c>
      <c r="H638" s="7" t="s">
        <v>3619</v>
      </c>
      <c r="I638" s="7" t="s">
        <v>3622</v>
      </c>
      <c r="L638" s="7" t="s">
        <v>142</v>
      </c>
      <c r="M638" s="7" t="s">
        <v>9</v>
      </c>
      <c r="N638" s="7" t="s">
        <v>56</v>
      </c>
      <c r="O638" s="7" t="s">
        <v>1579</v>
      </c>
      <c r="P638" s="7" t="s">
        <v>709</v>
      </c>
      <c r="Q638" s="7" t="s">
        <v>1860</v>
      </c>
      <c r="R638" t="s">
        <v>3632</v>
      </c>
    </row>
    <row r="639" spans="1:18" x14ac:dyDescent="0.3">
      <c r="A639" s="7" t="str">
        <f>HYPERLINK("https://hsdes.intel.com/resource/14013162084","14013162084")</f>
        <v>14013162084</v>
      </c>
      <c r="B639" s="7" t="s">
        <v>1861</v>
      </c>
      <c r="C639" s="7" t="s">
        <v>55</v>
      </c>
      <c r="D639" s="7" t="s">
        <v>3612</v>
      </c>
      <c r="E639" s="7" t="s">
        <v>3617</v>
      </c>
      <c r="F639" s="8" t="s">
        <v>3628</v>
      </c>
      <c r="H639" s="7" t="s">
        <v>3620</v>
      </c>
      <c r="I639" s="7" t="s">
        <v>3649</v>
      </c>
      <c r="L639" s="7" t="s">
        <v>30</v>
      </c>
      <c r="M639" s="7" t="s">
        <v>9</v>
      </c>
      <c r="N639" s="7" t="s">
        <v>25</v>
      </c>
      <c r="O639" s="7" t="s">
        <v>45</v>
      </c>
      <c r="P639" s="7" t="s">
        <v>45</v>
      </c>
      <c r="Q639" s="7" t="s">
        <v>1862</v>
      </c>
      <c r="R639" t="s">
        <v>3632</v>
      </c>
    </row>
    <row r="640" spans="1:18" x14ac:dyDescent="0.3">
      <c r="A640" s="7" t="str">
        <f>HYPERLINK("https://hsdes.intel.com/resource/14013162087","14013162087")</f>
        <v>14013162087</v>
      </c>
      <c r="B640" s="7" t="s">
        <v>1863</v>
      </c>
      <c r="C640" s="7" t="s">
        <v>55</v>
      </c>
      <c r="D640" s="7" t="s">
        <v>3612</v>
      </c>
      <c r="E640" s="7" t="s">
        <v>3617</v>
      </c>
      <c r="F640" s="8" t="s">
        <v>3628</v>
      </c>
      <c r="H640" s="7" t="s">
        <v>3619</v>
      </c>
      <c r="I640" s="7" t="s">
        <v>3649</v>
      </c>
      <c r="L640" s="7" t="s">
        <v>30</v>
      </c>
      <c r="M640" s="7" t="s">
        <v>9</v>
      </c>
      <c r="N640" s="7" t="s">
        <v>25</v>
      </c>
      <c r="O640" s="7" t="s">
        <v>45</v>
      </c>
      <c r="P640" s="7" t="s">
        <v>45</v>
      </c>
      <c r="Q640" s="7" t="s">
        <v>1864</v>
      </c>
      <c r="R640" t="s">
        <v>3632</v>
      </c>
    </row>
    <row r="641" spans="1:18" x14ac:dyDescent="0.3">
      <c r="A641" s="7" t="str">
        <f>HYPERLINK("https://hsdes.intel.com/resource/14013162369","14013162369")</f>
        <v>14013162369</v>
      </c>
      <c r="B641" s="7" t="s">
        <v>1865</v>
      </c>
      <c r="C641" s="7" t="s">
        <v>121</v>
      </c>
      <c r="D641" s="7" t="s">
        <v>3612</v>
      </c>
      <c r="E641" s="7" t="s">
        <v>3617</v>
      </c>
      <c r="F641" s="8" t="s">
        <v>3628</v>
      </c>
      <c r="H641" s="16" t="s">
        <v>3619</v>
      </c>
      <c r="I641" s="7" t="s">
        <v>3622</v>
      </c>
      <c r="L641" s="7" t="s">
        <v>142</v>
      </c>
      <c r="M641" s="7" t="s">
        <v>9</v>
      </c>
      <c r="N641" s="7" t="s">
        <v>56</v>
      </c>
      <c r="O641" s="7" t="s">
        <v>1542</v>
      </c>
      <c r="P641" s="7" t="s">
        <v>1542</v>
      </c>
      <c r="Q641" s="7" t="s">
        <v>1866</v>
      </c>
      <c r="R641" t="s">
        <v>3632</v>
      </c>
    </row>
    <row r="642" spans="1:18" x14ac:dyDescent="0.3">
      <c r="A642" s="7" t="str">
        <f>HYPERLINK("https://hsdes.intel.com/resource/14013162374","14013162374")</f>
        <v>14013162374</v>
      </c>
      <c r="B642" s="7" t="s">
        <v>1867</v>
      </c>
      <c r="C642" s="7" t="s">
        <v>845</v>
      </c>
      <c r="D642" s="7" t="s">
        <v>3612</v>
      </c>
      <c r="E642" s="7" t="s">
        <v>3617</v>
      </c>
      <c r="F642" s="8" t="s">
        <v>3628</v>
      </c>
      <c r="H642" s="7" t="s">
        <v>3619</v>
      </c>
      <c r="I642" s="7" t="s">
        <v>3622</v>
      </c>
      <c r="L642" s="7" t="s">
        <v>142</v>
      </c>
      <c r="M642" s="7" t="s">
        <v>9</v>
      </c>
      <c r="N642" s="7" t="s">
        <v>1063</v>
      </c>
      <c r="O642" s="7" t="s">
        <v>1868</v>
      </c>
      <c r="P642" s="7" t="s">
        <v>1869</v>
      </c>
      <c r="Q642" s="7" t="s">
        <v>1870</v>
      </c>
      <c r="R642" t="s">
        <v>3632</v>
      </c>
    </row>
    <row r="643" spans="1:18" x14ac:dyDescent="0.3">
      <c r="A643" s="7" t="str">
        <f>HYPERLINK("https://hsdes.intel.com/resource/14013162379","14013162379")</f>
        <v>14013162379</v>
      </c>
      <c r="B643" s="7" t="s">
        <v>1871</v>
      </c>
      <c r="C643" s="7" t="s">
        <v>845</v>
      </c>
      <c r="D643" s="7" t="s">
        <v>3612</v>
      </c>
      <c r="E643" s="7" t="s">
        <v>3617</v>
      </c>
      <c r="F643" s="8" t="s">
        <v>3628</v>
      </c>
      <c r="H643" s="7" t="s">
        <v>3619</v>
      </c>
      <c r="I643" s="7" t="s">
        <v>3622</v>
      </c>
      <c r="L643" s="7" t="s">
        <v>142</v>
      </c>
      <c r="M643" s="7" t="s">
        <v>9</v>
      </c>
      <c r="N643" s="7" t="s">
        <v>1063</v>
      </c>
      <c r="O643" s="7" t="s">
        <v>1872</v>
      </c>
      <c r="P643" s="7" t="s">
        <v>1873</v>
      </c>
      <c r="Q643" s="7" t="s">
        <v>1874</v>
      </c>
      <c r="R643" t="s">
        <v>3632</v>
      </c>
    </row>
    <row r="644" spans="1:18" x14ac:dyDescent="0.3">
      <c r="A644" s="7" t="str">
        <f>HYPERLINK("https://hsdes.intel.com/resource/14013162425","14013162425")</f>
        <v>14013162425</v>
      </c>
      <c r="B644" s="7" t="s">
        <v>1875</v>
      </c>
      <c r="C644" s="7" t="s">
        <v>845</v>
      </c>
      <c r="D644" s="7" t="s">
        <v>3612</v>
      </c>
      <c r="E644" s="7" t="s">
        <v>3617</v>
      </c>
      <c r="F644" s="8" t="s">
        <v>3628</v>
      </c>
      <c r="H644" s="7" t="s">
        <v>3619</v>
      </c>
      <c r="I644" s="7" t="s">
        <v>3622</v>
      </c>
      <c r="L644" s="7" t="s">
        <v>142</v>
      </c>
      <c r="M644" s="7" t="s">
        <v>94</v>
      </c>
      <c r="N644" s="7" t="s">
        <v>39</v>
      </c>
      <c r="O644" s="7" t="s">
        <v>709</v>
      </c>
      <c r="P644" s="7" t="s">
        <v>709</v>
      </c>
      <c r="Q644" s="7" t="s">
        <v>1876</v>
      </c>
      <c r="R644" t="s">
        <v>3633</v>
      </c>
    </row>
    <row r="645" spans="1:18" x14ac:dyDescent="0.3">
      <c r="A645" s="7" t="str">
        <f>HYPERLINK("https://hsdes.intel.com/resource/14013162427","14013162427")</f>
        <v>14013162427</v>
      </c>
      <c r="B645" s="7" t="s">
        <v>1877</v>
      </c>
      <c r="C645" s="7" t="s">
        <v>845</v>
      </c>
      <c r="D645" s="7" t="s">
        <v>3612</v>
      </c>
      <c r="E645" s="7" t="s">
        <v>3617</v>
      </c>
      <c r="F645" s="8" t="s">
        <v>3628</v>
      </c>
      <c r="H645" s="7" t="s">
        <v>3619</v>
      </c>
      <c r="I645" s="7" t="s">
        <v>3644</v>
      </c>
      <c r="L645" s="7" t="s">
        <v>142</v>
      </c>
      <c r="M645" s="7" t="s">
        <v>94</v>
      </c>
      <c r="N645" s="7" t="s">
        <v>39</v>
      </c>
      <c r="O645" s="7" t="s">
        <v>709</v>
      </c>
      <c r="P645" s="7" t="s">
        <v>709</v>
      </c>
      <c r="Q645" s="7" t="s">
        <v>1878</v>
      </c>
      <c r="R645" t="s">
        <v>3631</v>
      </c>
    </row>
    <row r="646" spans="1:18" x14ac:dyDescent="0.3">
      <c r="A646" s="7" t="str">
        <f>HYPERLINK("https://hsdes.intel.com/resource/14013162436","14013162436")</f>
        <v>14013162436</v>
      </c>
      <c r="B646" s="7" t="s">
        <v>1879</v>
      </c>
      <c r="C646" s="7" t="s">
        <v>845</v>
      </c>
      <c r="D646" s="7" t="s">
        <v>3612</v>
      </c>
      <c r="E646" s="7" t="s">
        <v>3617</v>
      </c>
      <c r="F646" s="8" t="s">
        <v>3628</v>
      </c>
      <c r="H646" s="7" t="s">
        <v>3619</v>
      </c>
      <c r="I646" s="7" t="s">
        <v>3622</v>
      </c>
      <c r="L646" s="7" t="s">
        <v>142</v>
      </c>
      <c r="M646" s="7" t="s">
        <v>94</v>
      </c>
      <c r="N646" s="7" t="s">
        <v>39</v>
      </c>
      <c r="O646" s="7" t="s">
        <v>709</v>
      </c>
      <c r="P646" s="7" t="s">
        <v>709</v>
      </c>
      <c r="Q646" s="7" t="s">
        <v>1880</v>
      </c>
      <c r="R646" t="s">
        <v>3633</v>
      </c>
    </row>
    <row r="647" spans="1:18" x14ac:dyDescent="0.3">
      <c r="A647" s="7" t="str">
        <f>HYPERLINK("https://hsdes.intel.com/resource/14013162443","14013162443")</f>
        <v>14013162443</v>
      </c>
      <c r="B647" s="7" t="s">
        <v>1881</v>
      </c>
      <c r="C647" s="7" t="s">
        <v>845</v>
      </c>
      <c r="D647" s="7" t="s">
        <v>3612</v>
      </c>
      <c r="E647" s="7" t="s">
        <v>3617</v>
      </c>
      <c r="F647" s="8" t="s">
        <v>3628</v>
      </c>
      <c r="H647" s="7" t="s">
        <v>3619</v>
      </c>
      <c r="I647" s="7" t="s">
        <v>3622</v>
      </c>
      <c r="L647" s="7" t="s">
        <v>142</v>
      </c>
      <c r="M647" s="7" t="s">
        <v>94</v>
      </c>
      <c r="N647" s="7" t="s">
        <v>39</v>
      </c>
      <c r="O647" s="7" t="s">
        <v>709</v>
      </c>
      <c r="P647" s="7" t="s">
        <v>709</v>
      </c>
      <c r="Q647" s="7" t="s">
        <v>1882</v>
      </c>
      <c r="R647" t="s">
        <v>3631</v>
      </c>
    </row>
    <row r="648" spans="1:18" x14ac:dyDescent="0.3">
      <c r="A648" s="7" t="str">
        <f>HYPERLINK("https://hsdes.intel.com/resource/14013162522","14013162522")</f>
        <v>14013162522</v>
      </c>
      <c r="B648" s="7" t="s">
        <v>1883</v>
      </c>
      <c r="C648" s="7" t="s">
        <v>55</v>
      </c>
      <c r="D648" s="7" t="s">
        <v>3612</v>
      </c>
      <c r="E648" s="7" t="s">
        <v>3617</v>
      </c>
      <c r="F648" s="8" t="s">
        <v>3628</v>
      </c>
      <c r="H648" s="7" t="s">
        <v>3619</v>
      </c>
      <c r="I648" s="7" t="s">
        <v>3622</v>
      </c>
      <c r="L648" s="7" t="s">
        <v>30</v>
      </c>
      <c r="M648" s="7" t="s">
        <v>9</v>
      </c>
      <c r="N648" s="7" t="s">
        <v>39</v>
      </c>
      <c r="O648" s="7" t="s">
        <v>715</v>
      </c>
      <c r="P648" s="7" t="s">
        <v>715</v>
      </c>
      <c r="Q648" s="7" t="s">
        <v>1884</v>
      </c>
      <c r="R648" t="s">
        <v>3632</v>
      </c>
    </row>
    <row r="649" spans="1:18" x14ac:dyDescent="0.3">
      <c r="A649" s="7" t="str">
        <f>HYPERLINK("https://hsdes.intel.com/resource/14013162568","14013162568")</f>
        <v>14013162568</v>
      </c>
      <c r="B649" s="7" t="s">
        <v>1885</v>
      </c>
      <c r="C649" s="7" t="s">
        <v>29</v>
      </c>
      <c r="D649" s="7" t="s">
        <v>3612</v>
      </c>
      <c r="E649" s="7" t="s">
        <v>3617</v>
      </c>
      <c r="F649" s="8" t="s">
        <v>3628</v>
      </c>
      <c r="H649" s="7" t="s">
        <v>3620</v>
      </c>
      <c r="I649" s="7" t="s">
        <v>3641</v>
      </c>
      <c r="L649" s="7" t="s">
        <v>8</v>
      </c>
      <c r="M649" s="7" t="s">
        <v>94</v>
      </c>
      <c r="N649" s="7" t="s">
        <v>39</v>
      </c>
      <c r="O649" s="7" t="s">
        <v>378</v>
      </c>
      <c r="P649" s="7" t="s">
        <v>394</v>
      </c>
      <c r="Q649" s="7" t="s">
        <v>1886</v>
      </c>
      <c r="R649" t="s">
        <v>3632</v>
      </c>
    </row>
    <row r="650" spans="1:18" x14ac:dyDescent="0.3">
      <c r="A650" s="7" t="str">
        <f>HYPERLINK("https://hsdes.intel.com/resource/14013162580","14013162580")</f>
        <v>14013162580</v>
      </c>
      <c r="B650" s="7" t="s">
        <v>1887</v>
      </c>
      <c r="C650" s="7" t="s">
        <v>55</v>
      </c>
      <c r="D650" s="7" t="s">
        <v>3612</v>
      </c>
      <c r="E650" s="7" t="s">
        <v>3617</v>
      </c>
      <c r="F650" s="8" t="s">
        <v>3628</v>
      </c>
      <c r="H650" s="7" t="s">
        <v>3620</v>
      </c>
      <c r="I650" s="7" t="s">
        <v>3622</v>
      </c>
      <c r="L650" s="7" t="s">
        <v>30</v>
      </c>
      <c r="M650" s="7" t="s">
        <v>9</v>
      </c>
      <c r="N650" s="7" t="s">
        <v>25</v>
      </c>
      <c r="O650" s="7" t="s">
        <v>48</v>
      </c>
      <c r="P650" s="7" t="s">
        <v>48</v>
      </c>
      <c r="Q650" s="7" t="s">
        <v>1888</v>
      </c>
      <c r="R650" t="s">
        <v>3632</v>
      </c>
    </row>
    <row r="651" spans="1:18" x14ac:dyDescent="0.3">
      <c r="A651" s="7" t="str">
        <f>HYPERLINK("https://hsdes.intel.com/resource/14013162583","14013162583")</f>
        <v>14013162583</v>
      </c>
      <c r="B651" s="7" t="s">
        <v>1889</v>
      </c>
      <c r="C651" s="7" t="s">
        <v>133</v>
      </c>
      <c r="D651" s="7" t="s">
        <v>3612</v>
      </c>
      <c r="E651" s="7" t="s">
        <v>3617</v>
      </c>
      <c r="F651" s="8" t="s">
        <v>3628</v>
      </c>
      <c r="H651" s="7" t="s">
        <v>3620</v>
      </c>
      <c r="I651" s="7" t="s">
        <v>3640</v>
      </c>
      <c r="L651" s="7" t="s">
        <v>24</v>
      </c>
      <c r="M651" s="7" t="s">
        <v>9</v>
      </c>
      <c r="N651" s="7" t="s">
        <v>39</v>
      </c>
      <c r="O651" s="7" t="s">
        <v>1890</v>
      </c>
      <c r="P651" s="7" t="s">
        <v>1890</v>
      </c>
      <c r="Q651" s="7" t="s">
        <v>1891</v>
      </c>
      <c r="R651" t="s">
        <v>3631</v>
      </c>
    </row>
    <row r="652" spans="1:18" x14ac:dyDescent="0.3">
      <c r="A652" s="7" t="str">
        <f>HYPERLINK("https://hsdes.intel.com/resource/14013162766","14013162766")</f>
        <v>14013162766</v>
      </c>
      <c r="B652" s="7" t="s">
        <v>1892</v>
      </c>
      <c r="C652" s="7" t="s">
        <v>55</v>
      </c>
      <c r="D652" s="7" t="s">
        <v>3612</v>
      </c>
      <c r="E652" s="7" t="s">
        <v>3617</v>
      </c>
      <c r="F652" s="8" t="s">
        <v>3628</v>
      </c>
      <c r="H652" s="7" t="s">
        <v>3620</v>
      </c>
      <c r="I652" s="7" t="s">
        <v>3643</v>
      </c>
      <c r="L652" s="7" t="s">
        <v>30</v>
      </c>
      <c r="M652" s="7" t="s">
        <v>9</v>
      </c>
      <c r="N652" s="7" t="s">
        <v>39</v>
      </c>
      <c r="O652" s="7" t="s">
        <v>1893</v>
      </c>
      <c r="P652" s="7" t="s">
        <v>1893</v>
      </c>
      <c r="Q652" s="7" t="s">
        <v>1894</v>
      </c>
      <c r="R652" t="s">
        <v>3632</v>
      </c>
    </row>
    <row r="653" spans="1:18" x14ac:dyDescent="0.3">
      <c r="A653" s="7" t="str">
        <f>HYPERLINK("https://hsdes.intel.com/resource/14013162768","14013162768")</f>
        <v>14013162768</v>
      </c>
      <c r="B653" s="7" t="s">
        <v>1895</v>
      </c>
      <c r="C653" s="7" t="s">
        <v>55</v>
      </c>
      <c r="D653" s="7" t="s">
        <v>3612</v>
      </c>
      <c r="E653" s="7" t="s">
        <v>3617</v>
      </c>
      <c r="F653" s="8" t="s">
        <v>3628</v>
      </c>
      <c r="H653" s="7" t="s">
        <v>3620</v>
      </c>
      <c r="I653" s="7" t="s">
        <v>3643</v>
      </c>
      <c r="L653" s="7" t="s">
        <v>30</v>
      </c>
      <c r="M653" s="7" t="s">
        <v>9</v>
      </c>
      <c r="N653" s="7" t="s">
        <v>39</v>
      </c>
      <c r="O653" s="7" t="s">
        <v>1893</v>
      </c>
      <c r="P653" s="7" t="s">
        <v>1893</v>
      </c>
      <c r="Q653" s="7" t="s">
        <v>1896</v>
      </c>
      <c r="R653" t="s">
        <v>3632</v>
      </c>
    </row>
    <row r="654" spans="1:18" x14ac:dyDescent="0.3">
      <c r="A654" s="7" t="str">
        <f>HYPERLINK("https://hsdes.intel.com/resource/14013162773","14013162773")</f>
        <v>14013162773</v>
      </c>
      <c r="B654" s="7" t="s">
        <v>1897</v>
      </c>
      <c r="C654" s="7" t="s">
        <v>55</v>
      </c>
      <c r="D654" s="7" t="s">
        <v>3612</v>
      </c>
      <c r="E654" s="7" t="s">
        <v>3617</v>
      </c>
      <c r="F654" s="8" t="s">
        <v>3628</v>
      </c>
      <c r="H654" s="7" t="s">
        <v>3620</v>
      </c>
      <c r="I654" s="7" t="s">
        <v>3643</v>
      </c>
      <c r="L654" s="7" t="s">
        <v>30</v>
      </c>
      <c r="M654" s="7" t="s">
        <v>9</v>
      </c>
      <c r="N654" s="7" t="s">
        <v>39</v>
      </c>
      <c r="O654" s="7" t="s">
        <v>1893</v>
      </c>
      <c r="P654" s="7" t="s">
        <v>1893</v>
      </c>
      <c r="Q654" s="7" t="s">
        <v>1898</v>
      </c>
      <c r="R654" t="s">
        <v>3632</v>
      </c>
    </row>
    <row r="655" spans="1:18" x14ac:dyDescent="0.3">
      <c r="A655" s="7" t="str">
        <f>HYPERLINK("https://hsdes.intel.com/resource/14013162777","14013162777")</f>
        <v>14013162777</v>
      </c>
      <c r="B655" s="7" t="s">
        <v>1899</v>
      </c>
      <c r="C655" s="7" t="s">
        <v>55</v>
      </c>
      <c r="D655" s="7" t="s">
        <v>3612</v>
      </c>
      <c r="E655" s="7" t="s">
        <v>3617</v>
      </c>
      <c r="F655" s="8" t="s">
        <v>3628</v>
      </c>
      <c r="H655" s="7" t="s">
        <v>3620</v>
      </c>
      <c r="I655" s="7" t="s">
        <v>3643</v>
      </c>
      <c r="L655" s="7" t="s">
        <v>30</v>
      </c>
      <c r="M655" s="7" t="s">
        <v>9</v>
      </c>
      <c r="N655" s="7" t="s">
        <v>39</v>
      </c>
      <c r="O655" s="7" t="s">
        <v>1900</v>
      </c>
      <c r="P655" s="7" t="s">
        <v>1901</v>
      </c>
      <c r="Q655" s="7" t="s">
        <v>1902</v>
      </c>
      <c r="R655" t="s">
        <v>3632</v>
      </c>
    </row>
    <row r="656" spans="1:18" x14ac:dyDescent="0.3">
      <c r="A656" s="7" t="str">
        <f>HYPERLINK("https://hsdes.intel.com/resource/14013162780","14013162780")</f>
        <v>14013162780</v>
      </c>
      <c r="B656" s="7" t="s">
        <v>1903</v>
      </c>
      <c r="C656" s="7" t="s">
        <v>55</v>
      </c>
      <c r="D656" s="7" t="s">
        <v>3612</v>
      </c>
      <c r="E656" s="7" t="s">
        <v>3617</v>
      </c>
      <c r="F656" s="8" t="s">
        <v>3628</v>
      </c>
      <c r="H656" s="7" t="s">
        <v>3620</v>
      </c>
      <c r="I656" s="7" t="s">
        <v>3643</v>
      </c>
      <c r="L656" s="7" t="s">
        <v>30</v>
      </c>
      <c r="M656" s="7" t="s">
        <v>9</v>
      </c>
      <c r="N656" s="7" t="s">
        <v>39</v>
      </c>
      <c r="O656" s="7" t="s">
        <v>1893</v>
      </c>
      <c r="P656" s="7" t="s">
        <v>1893</v>
      </c>
      <c r="Q656" s="7" t="s">
        <v>1904</v>
      </c>
      <c r="R656" t="s">
        <v>3632</v>
      </c>
    </row>
    <row r="657" spans="1:18" x14ac:dyDescent="0.3">
      <c r="A657" s="7" t="str">
        <f>HYPERLINK("https://hsdes.intel.com/resource/14013162786","14013162786")</f>
        <v>14013162786</v>
      </c>
      <c r="B657" s="7" t="s">
        <v>1905</v>
      </c>
      <c r="C657" s="7" t="s">
        <v>55</v>
      </c>
      <c r="D657" s="7" t="s">
        <v>3612</v>
      </c>
      <c r="E657" s="7" t="s">
        <v>3617</v>
      </c>
      <c r="F657" s="8" t="s">
        <v>3628</v>
      </c>
      <c r="H657" s="7" t="s">
        <v>3620</v>
      </c>
      <c r="I657" s="7" t="s">
        <v>3643</v>
      </c>
      <c r="L657" s="7" t="s">
        <v>30</v>
      </c>
      <c r="M657" s="7" t="s">
        <v>9</v>
      </c>
      <c r="N657" s="7" t="s">
        <v>39</v>
      </c>
      <c r="O657" s="7" t="s">
        <v>1893</v>
      </c>
      <c r="P657" s="7" t="s">
        <v>1893</v>
      </c>
      <c r="Q657" s="7" t="s">
        <v>1906</v>
      </c>
      <c r="R657" t="s">
        <v>3632</v>
      </c>
    </row>
    <row r="658" spans="1:18" x14ac:dyDescent="0.3">
      <c r="A658" s="7" t="str">
        <f>HYPERLINK("https://hsdes.intel.com/resource/14013162791","14013162791")</f>
        <v>14013162791</v>
      </c>
      <c r="B658" s="7" t="s">
        <v>1907</v>
      </c>
      <c r="C658" s="7" t="s">
        <v>55</v>
      </c>
      <c r="D658" s="7" t="s">
        <v>3612</v>
      </c>
      <c r="E658" s="7" t="s">
        <v>3617</v>
      </c>
      <c r="F658" s="8" t="s">
        <v>3628</v>
      </c>
      <c r="H658" s="7" t="s">
        <v>3620</v>
      </c>
      <c r="I658" s="7" t="s">
        <v>3643</v>
      </c>
      <c r="L658" s="7" t="s">
        <v>30</v>
      </c>
      <c r="M658" s="7" t="s">
        <v>9</v>
      </c>
      <c r="N658" s="7" t="s">
        <v>39</v>
      </c>
      <c r="O658" s="7" t="s">
        <v>1893</v>
      </c>
      <c r="P658" s="7" t="s">
        <v>1893</v>
      </c>
      <c r="Q658" s="7" t="s">
        <v>1908</v>
      </c>
      <c r="R658" t="s">
        <v>3632</v>
      </c>
    </row>
    <row r="659" spans="1:18" x14ac:dyDescent="0.3">
      <c r="A659" s="7" t="str">
        <f>HYPERLINK("https://hsdes.intel.com/resource/14013162806","14013162806")</f>
        <v>14013162806</v>
      </c>
      <c r="B659" s="7" t="s">
        <v>1909</v>
      </c>
      <c r="C659" s="7" t="s">
        <v>55</v>
      </c>
      <c r="D659" s="7" t="s">
        <v>3612</v>
      </c>
      <c r="E659" s="7" t="s">
        <v>3617</v>
      </c>
      <c r="F659" s="8" t="s">
        <v>3628</v>
      </c>
      <c r="H659" s="7" t="s">
        <v>3620</v>
      </c>
      <c r="I659" s="7" t="s">
        <v>3643</v>
      </c>
      <c r="L659" s="7" t="s">
        <v>30</v>
      </c>
      <c r="M659" s="7" t="s">
        <v>9</v>
      </c>
      <c r="N659" s="7" t="s">
        <v>39</v>
      </c>
      <c r="O659" s="7" t="s">
        <v>1900</v>
      </c>
      <c r="P659" s="7" t="s">
        <v>1901</v>
      </c>
      <c r="Q659" s="7" t="s">
        <v>1910</v>
      </c>
      <c r="R659" t="s">
        <v>3632</v>
      </c>
    </row>
    <row r="660" spans="1:18" x14ac:dyDescent="0.3">
      <c r="A660" s="7" t="str">
        <f>HYPERLINK("https://hsdes.intel.com/resource/14013162831","14013162831")</f>
        <v>14013162831</v>
      </c>
      <c r="B660" s="7" t="s">
        <v>1911</v>
      </c>
      <c r="C660" s="7" t="s">
        <v>7</v>
      </c>
      <c r="D660" s="7" t="s">
        <v>3613</v>
      </c>
      <c r="E660" s="7" t="s">
        <v>3617</v>
      </c>
      <c r="F660" s="8" t="s">
        <v>3628</v>
      </c>
      <c r="H660" s="7" t="s">
        <v>3619</v>
      </c>
      <c r="I660" s="7" t="s">
        <v>3622</v>
      </c>
      <c r="J660" s="7" t="s">
        <v>3648</v>
      </c>
      <c r="L660" s="7" t="s">
        <v>8</v>
      </c>
      <c r="M660" s="7" t="s">
        <v>9</v>
      </c>
      <c r="N660" s="7" t="s">
        <v>10</v>
      </c>
      <c r="O660" s="7" t="s">
        <v>1912</v>
      </c>
      <c r="P660" s="7" t="s">
        <v>1913</v>
      </c>
      <c r="Q660" s="7" t="s">
        <v>1914</v>
      </c>
      <c r="R660" t="s">
        <v>3633</v>
      </c>
    </row>
    <row r="661" spans="1:18" x14ac:dyDescent="0.3">
      <c r="A661" s="7" t="str">
        <f>HYPERLINK("https://hsdes.intel.com/resource/14013162835","14013162835")</f>
        <v>14013162835</v>
      </c>
      <c r="B661" s="7" t="s">
        <v>1915</v>
      </c>
      <c r="C661" s="7" t="s">
        <v>7</v>
      </c>
      <c r="D661" s="7" t="s">
        <v>3613</v>
      </c>
      <c r="E661" s="7" t="s">
        <v>3617</v>
      </c>
      <c r="F661" s="8" t="s">
        <v>3628</v>
      </c>
      <c r="H661" s="7" t="s">
        <v>3619</v>
      </c>
      <c r="I661" s="7" t="s">
        <v>3622</v>
      </c>
      <c r="J661" s="7" t="s">
        <v>3648</v>
      </c>
      <c r="L661" s="7" t="s">
        <v>8</v>
      </c>
      <c r="M661" s="7" t="s">
        <v>9</v>
      </c>
      <c r="N661" s="7" t="s">
        <v>1916</v>
      </c>
      <c r="O661" s="7" t="s">
        <v>1912</v>
      </c>
      <c r="P661" s="7" t="s">
        <v>1913</v>
      </c>
      <c r="Q661" s="7" t="s">
        <v>1917</v>
      </c>
      <c r="R661" t="s">
        <v>3631</v>
      </c>
    </row>
    <row r="662" spans="1:18" x14ac:dyDescent="0.3">
      <c r="A662" s="7" t="str">
        <f>HYPERLINK("https://hsdes.intel.com/resource/14013162840","14013162840")</f>
        <v>14013162840</v>
      </c>
      <c r="B662" s="7" t="s">
        <v>1918</v>
      </c>
      <c r="C662" s="7" t="s">
        <v>7</v>
      </c>
      <c r="D662" s="7" t="s">
        <v>3613</v>
      </c>
      <c r="E662" s="7" t="s">
        <v>3617</v>
      </c>
      <c r="F662" s="8" t="s">
        <v>3628</v>
      </c>
      <c r="H662" s="16" t="s">
        <v>3619</v>
      </c>
      <c r="I662" s="7" t="s">
        <v>3622</v>
      </c>
      <c r="J662" s="7" t="s">
        <v>3648</v>
      </c>
      <c r="L662" s="7" t="s">
        <v>8</v>
      </c>
      <c r="M662" s="7" t="s">
        <v>9</v>
      </c>
      <c r="N662" s="7" t="s">
        <v>10</v>
      </c>
      <c r="O662" s="7" t="s">
        <v>1912</v>
      </c>
      <c r="P662" s="7" t="s">
        <v>1913</v>
      </c>
      <c r="Q662" s="7" t="s">
        <v>1919</v>
      </c>
      <c r="R662" t="s">
        <v>3631</v>
      </c>
    </row>
    <row r="663" spans="1:18" x14ac:dyDescent="0.3">
      <c r="A663" s="7" t="str">
        <f>HYPERLINK("https://hsdes.intel.com/resource/14013162849","14013162849")</f>
        <v>14013162849</v>
      </c>
      <c r="B663" s="7" t="s">
        <v>1920</v>
      </c>
      <c r="C663" s="7" t="s">
        <v>7</v>
      </c>
      <c r="D663" s="7" t="s">
        <v>3613</v>
      </c>
      <c r="E663" s="7" t="s">
        <v>3617</v>
      </c>
      <c r="F663" s="8" t="s">
        <v>3628</v>
      </c>
      <c r="H663" s="7" t="s">
        <v>3619</v>
      </c>
      <c r="I663" s="7" t="s">
        <v>3622</v>
      </c>
      <c r="L663" s="7" t="s">
        <v>8</v>
      </c>
      <c r="M663" s="7" t="s">
        <v>94</v>
      </c>
      <c r="N663" s="7" t="s">
        <v>1921</v>
      </c>
      <c r="O663" s="7" t="s">
        <v>1922</v>
      </c>
      <c r="P663" s="7" t="s">
        <v>1923</v>
      </c>
      <c r="Q663" s="7" t="s">
        <v>1924</v>
      </c>
      <c r="R663" t="s">
        <v>3633</v>
      </c>
    </row>
    <row r="664" spans="1:18" x14ac:dyDescent="0.3">
      <c r="A664" s="7" t="str">
        <f>HYPERLINK("https://hsdes.intel.com/resource/14013162864","14013162864")</f>
        <v>14013162864</v>
      </c>
      <c r="B664" s="7" t="s">
        <v>1925</v>
      </c>
      <c r="C664" s="7" t="s">
        <v>133</v>
      </c>
      <c r="D664" s="7" t="s">
        <v>3612</v>
      </c>
      <c r="E664" s="7" t="s">
        <v>3617</v>
      </c>
      <c r="F664" s="8" t="s">
        <v>3628</v>
      </c>
      <c r="H664" s="7" t="s">
        <v>3619</v>
      </c>
      <c r="I664" s="7" t="s">
        <v>3641</v>
      </c>
      <c r="J664" s="7" t="s">
        <v>3626</v>
      </c>
      <c r="L664" s="7" t="s">
        <v>24</v>
      </c>
      <c r="M664" s="7" t="s">
        <v>9</v>
      </c>
      <c r="N664" s="7" t="s">
        <v>1088</v>
      </c>
      <c r="O664" s="7" t="s">
        <v>1926</v>
      </c>
      <c r="P664" s="7" t="s">
        <v>1926</v>
      </c>
      <c r="Q664" s="7" t="s">
        <v>1927</v>
      </c>
      <c r="R664" t="s">
        <v>3632</v>
      </c>
    </row>
    <row r="665" spans="1:18" x14ac:dyDescent="0.3">
      <c r="A665" s="7" t="str">
        <f>HYPERLINK("https://hsdes.intel.com/resource/14013162897","14013162897")</f>
        <v>14013162897</v>
      </c>
      <c r="B665" s="7" t="s">
        <v>1928</v>
      </c>
      <c r="C665" s="7" t="s">
        <v>845</v>
      </c>
      <c r="D665" s="7" t="s">
        <v>3612</v>
      </c>
      <c r="E665" s="7" t="s">
        <v>3617</v>
      </c>
      <c r="F665" s="8" t="s">
        <v>3628</v>
      </c>
      <c r="H665" s="7" t="s">
        <v>3619</v>
      </c>
      <c r="I665" s="7" t="s">
        <v>3622</v>
      </c>
      <c r="L665" s="7" t="s">
        <v>142</v>
      </c>
      <c r="M665" s="7" t="s">
        <v>9</v>
      </c>
      <c r="N665" s="7" t="s">
        <v>56</v>
      </c>
      <c r="O665" s="7" t="s">
        <v>1929</v>
      </c>
      <c r="P665" s="7" t="s">
        <v>1929</v>
      </c>
      <c r="Q665" s="7" t="s">
        <v>1930</v>
      </c>
      <c r="R665" t="s">
        <v>3631</v>
      </c>
    </row>
    <row r="666" spans="1:18" x14ac:dyDescent="0.3">
      <c r="A666" s="7" t="str">
        <f>HYPERLINK("https://hsdes.intel.com/resource/14013162900","14013162900")</f>
        <v>14013162900</v>
      </c>
      <c r="B666" s="7" t="s">
        <v>1931</v>
      </c>
      <c r="C666" s="7" t="s">
        <v>7</v>
      </c>
      <c r="D666" s="7" t="s">
        <v>3612</v>
      </c>
      <c r="E666" s="7" t="s">
        <v>3617</v>
      </c>
      <c r="F666" s="8" t="s">
        <v>3628</v>
      </c>
      <c r="H666" s="7" t="s">
        <v>3619</v>
      </c>
      <c r="I666" s="7" t="s">
        <v>3622</v>
      </c>
      <c r="L666" s="7" t="s">
        <v>8</v>
      </c>
      <c r="M666" s="7" t="s">
        <v>94</v>
      </c>
      <c r="N666" s="7" t="s">
        <v>10</v>
      </c>
      <c r="O666" s="7" t="s">
        <v>1932</v>
      </c>
      <c r="P666" s="7" t="s">
        <v>1933</v>
      </c>
      <c r="Q666" s="7" t="s">
        <v>1934</v>
      </c>
      <c r="R666" t="s">
        <v>3633</v>
      </c>
    </row>
    <row r="667" spans="1:18" x14ac:dyDescent="0.3">
      <c r="A667" s="7" t="str">
        <f>HYPERLINK("https://hsdes.intel.com/resource/14013162903","14013162903")</f>
        <v>14013162903</v>
      </c>
      <c r="B667" s="7" t="s">
        <v>1935</v>
      </c>
      <c r="C667" s="7" t="s">
        <v>7</v>
      </c>
      <c r="D667" s="7" t="s">
        <v>3612</v>
      </c>
      <c r="E667" s="7" t="s">
        <v>3617</v>
      </c>
      <c r="F667" s="8" t="s">
        <v>3628</v>
      </c>
      <c r="H667" s="7" t="s">
        <v>3619</v>
      </c>
      <c r="I667" s="7" t="s">
        <v>3622</v>
      </c>
      <c r="L667" s="7" t="s">
        <v>8</v>
      </c>
      <c r="M667" s="7" t="s">
        <v>94</v>
      </c>
      <c r="N667" s="7" t="s">
        <v>10</v>
      </c>
      <c r="O667" s="7" t="s">
        <v>327</v>
      </c>
      <c r="P667" s="7" t="s">
        <v>1297</v>
      </c>
      <c r="Q667" s="7" t="s">
        <v>1936</v>
      </c>
      <c r="R667" t="s">
        <v>3633</v>
      </c>
    </row>
    <row r="668" spans="1:18" x14ac:dyDescent="0.3">
      <c r="A668" s="7" t="str">
        <f>HYPERLINK("https://hsdes.intel.com/resource/14013162907","14013162907")</f>
        <v>14013162907</v>
      </c>
      <c r="B668" s="7" t="s">
        <v>1937</v>
      </c>
      <c r="C668" s="7" t="s">
        <v>7</v>
      </c>
      <c r="D668" s="7" t="s">
        <v>3612</v>
      </c>
      <c r="E668" s="7" t="s">
        <v>3617</v>
      </c>
      <c r="F668" s="8" t="s">
        <v>3628</v>
      </c>
      <c r="H668" s="7" t="s">
        <v>3619</v>
      </c>
      <c r="I668" s="7" t="s">
        <v>3622</v>
      </c>
      <c r="L668" s="7" t="s">
        <v>8</v>
      </c>
      <c r="M668" s="7" t="s">
        <v>94</v>
      </c>
      <c r="N668" s="7" t="s">
        <v>10</v>
      </c>
      <c r="O668" s="7" t="s">
        <v>327</v>
      </c>
      <c r="P668" s="7" t="s">
        <v>1938</v>
      </c>
      <c r="Q668" s="7" t="s">
        <v>1939</v>
      </c>
      <c r="R668" t="s">
        <v>3633</v>
      </c>
    </row>
    <row r="669" spans="1:18" x14ac:dyDescent="0.3">
      <c r="A669" s="7" t="str">
        <f>HYPERLINK("https://hsdes.intel.com/resource/14013162911","14013162911")</f>
        <v>14013162911</v>
      </c>
      <c r="B669" s="7" t="s">
        <v>1940</v>
      </c>
      <c r="C669" s="7" t="s">
        <v>7</v>
      </c>
      <c r="D669" s="7" t="s">
        <v>3612</v>
      </c>
      <c r="E669" s="7" t="s">
        <v>3617</v>
      </c>
      <c r="F669" s="8" t="s">
        <v>3628</v>
      </c>
      <c r="H669" s="7" t="s">
        <v>3619</v>
      </c>
      <c r="I669" s="7" t="s">
        <v>3622</v>
      </c>
      <c r="L669" s="7" t="s">
        <v>8</v>
      </c>
      <c r="M669" s="7" t="s">
        <v>94</v>
      </c>
      <c r="N669" s="7" t="s">
        <v>10</v>
      </c>
      <c r="O669" s="7" t="s">
        <v>1941</v>
      </c>
      <c r="P669" s="7" t="s">
        <v>1942</v>
      </c>
      <c r="Q669" s="7" t="s">
        <v>1943</v>
      </c>
      <c r="R669" t="s">
        <v>3633</v>
      </c>
    </row>
    <row r="670" spans="1:18" x14ac:dyDescent="0.3">
      <c r="A670" s="7" t="str">
        <f>HYPERLINK("https://hsdes.intel.com/resource/14013162916","14013162916")</f>
        <v>14013162916</v>
      </c>
      <c r="B670" s="7" t="s">
        <v>1944</v>
      </c>
      <c r="C670" s="7" t="s">
        <v>7</v>
      </c>
      <c r="D670" s="7" t="s">
        <v>3612</v>
      </c>
      <c r="E670" s="7" t="s">
        <v>3617</v>
      </c>
      <c r="F670" s="8" t="s">
        <v>3628</v>
      </c>
      <c r="H670" s="7" t="s">
        <v>3619</v>
      </c>
      <c r="I670" s="7" t="s">
        <v>3622</v>
      </c>
      <c r="L670" s="7" t="s">
        <v>8</v>
      </c>
      <c r="M670" s="7" t="s">
        <v>94</v>
      </c>
      <c r="N670" s="7" t="s">
        <v>10</v>
      </c>
      <c r="O670" s="7" t="s">
        <v>326</v>
      </c>
      <c r="P670" s="7" t="s">
        <v>1342</v>
      </c>
      <c r="Q670" s="7" t="s">
        <v>1945</v>
      </c>
      <c r="R670" t="s">
        <v>3633</v>
      </c>
    </row>
    <row r="671" spans="1:18" x14ac:dyDescent="0.3">
      <c r="A671" s="7" t="str">
        <f>HYPERLINK("https://hsdes.intel.com/resource/14013162920","14013162920")</f>
        <v>14013162920</v>
      </c>
      <c r="B671" s="7" t="s">
        <v>1946</v>
      </c>
      <c r="C671" s="7" t="s">
        <v>7</v>
      </c>
      <c r="D671" s="7" t="s">
        <v>3612</v>
      </c>
      <c r="E671" s="7" t="s">
        <v>3617</v>
      </c>
      <c r="F671" s="8" t="s">
        <v>3628</v>
      </c>
      <c r="H671" s="7" t="s">
        <v>3619</v>
      </c>
      <c r="I671" s="7" t="s">
        <v>3622</v>
      </c>
      <c r="L671" s="7" t="s">
        <v>8</v>
      </c>
      <c r="M671" s="7" t="s">
        <v>94</v>
      </c>
      <c r="N671" s="7" t="s">
        <v>10</v>
      </c>
      <c r="O671" s="7" t="s">
        <v>326</v>
      </c>
      <c r="P671" s="7" t="s">
        <v>1947</v>
      </c>
      <c r="Q671" s="7" t="s">
        <v>1948</v>
      </c>
      <c r="R671" t="s">
        <v>3633</v>
      </c>
    </row>
    <row r="672" spans="1:18" x14ac:dyDescent="0.3">
      <c r="A672" s="7" t="str">
        <f>HYPERLINK("https://hsdes.intel.com/resource/14013162925","14013162925")</f>
        <v>14013162925</v>
      </c>
      <c r="B672" s="7" t="s">
        <v>1949</v>
      </c>
      <c r="C672" s="7" t="s">
        <v>7</v>
      </c>
      <c r="D672" s="7" t="s">
        <v>3612</v>
      </c>
      <c r="E672" s="7" t="s">
        <v>3617</v>
      </c>
      <c r="F672" s="8" t="s">
        <v>3628</v>
      </c>
      <c r="H672" s="7" t="s">
        <v>3619</v>
      </c>
      <c r="I672" s="7" t="s">
        <v>3622</v>
      </c>
      <c r="L672" s="7" t="s">
        <v>8</v>
      </c>
      <c r="M672" s="7" t="s">
        <v>94</v>
      </c>
      <c r="N672" s="7" t="s">
        <v>10</v>
      </c>
      <c r="O672" s="7" t="s">
        <v>1932</v>
      </c>
      <c r="P672" s="7" t="s">
        <v>1933</v>
      </c>
      <c r="Q672" s="7" t="s">
        <v>1950</v>
      </c>
      <c r="R672" t="s">
        <v>3633</v>
      </c>
    </row>
    <row r="673" spans="1:20" x14ac:dyDescent="0.3">
      <c r="A673" s="7" t="str">
        <f>HYPERLINK("https://hsdes.intel.com/resource/14013162937","14013162937")</f>
        <v>14013162937</v>
      </c>
      <c r="B673" s="7" t="s">
        <v>1951</v>
      </c>
      <c r="C673" s="7" t="s">
        <v>7</v>
      </c>
      <c r="D673" s="7" t="s">
        <v>3612</v>
      </c>
      <c r="E673" s="7" t="s">
        <v>3617</v>
      </c>
      <c r="F673" s="8" t="s">
        <v>3628</v>
      </c>
      <c r="H673" s="7" t="s">
        <v>3619</v>
      </c>
      <c r="I673" s="7" t="s">
        <v>3622</v>
      </c>
      <c r="L673" s="7" t="s">
        <v>8</v>
      </c>
      <c r="M673" s="7" t="s">
        <v>94</v>
      </c>
      <c r="N673" s="7" t="s">
        <v>10</v>
      </c>
      <c r="O673" s="7" t="s">
        <v>327</v>
      </c>
      <c r="P673" s="7" t="s">
        <v>1297</v>
      </c>
      <c r="Q673" s="7" t="s">
        <v>1952</v>
      </c>
      <c r="R673" t="s">
        <v>3633</v>
      </c>
    </row>
    <row r="674" spans="1:20" x14ac:dyDescent="0.3">
      <c r="A674" s="7" t="str">
        <f>HYPERLINK("https://hsdes.intel.com/resource/14013162948","14013162948")</f>
        <v>14013162948</v>
      </c>
      <c r="B674" s="7" t="s">
        <v>1953</v>
      </c>
      <c r="C674" s="7" t="s">
        <v>7</v>
      </c>
      <c r="D674" s="7" t="s">
        <v>3612</v>
      </c>
      <c r="E674" s="7" t="s">
        <v>3617</v>
      </c>
      <c r="F674" s="8" t="s">
        <v>3628</v>
      </c>
      <c r="H674" s="7" t="s">
        <v>3619</v>
      </c>
      <c r="I674" s="7" t="s">
        <v>3622</v>
      </c>
      <c r="L674" s="7" t="s">
        <v>8</v>
      </c>
      <c r="M674" s="7" t="s">
        <v>94</v>
      </c>
      <c r="N674" s="7" t="s">
        <v>10</v>
      </c>
      <c r="O674" s="7" t="s">
        <v>327</v>
      </c>
      <c r="P674" s="7" t="s">
        <v>1954</v>
      </c>
      <c r="Q674" s="7" t="s">
        <v>1955</v>
      </c>
      <c r="R674" t="s">
        <v>3633</v>
      </c>
    </row>
    <row r="675" spans="1:20" x14ac:dyDescent="0.3">
      <c r="A675" s="7" t="str">
        <f>HYPERLINK("https://hsdes.intel.com/resource/14013162960","14013162960")</f>
        <v>14013162960</v>
      </c>
      <c r="B675" s="7" t="s">
        <v>1956</v>
      </c>
      <c r="C675" s="7" t="s">
        <v>7</v>
      </c>
      <c r="D675" s="7" t="s">
        <v>3612</v>
      </c>
      <c r="E675" s="7" t="s">
        <v>3617</v>
      </c>
      <c r="F675" s="8" t="s">
        <v>3628</v>
      </c>
      <c r="H675" s="7" t="s">
        <v>3619</v>
      </c>
      <c r="I675" s="7" t="s">
        <v>3622</v>
      </c>
      <c r="L675" s="7" t="s">
        <v>8</v>
      </c>
      <c r="M675" s="7" t="s">
        <v>94</v>
      </c>
      <c r="N675" s="7" t="s">
        <v>10</v>
      </c>
      <c r="O675" s="7" t="s">
        <v>1941</v>
      </c>
      <c r="P675" s="7" t="s">
        <v>1957</v>
      </c>
      <c r="Q675" s="7" t="s">
        <v>1958</v>
      </c>
      <c r="R675" t="s">
        <v>3633</v>
      </c>
    </row>
    <row r="676" spans="1:20" x14ac:dyDescent="0.3">
      <c r="A676" s="7" t="str">
        <f>HYPERLINK("https://hsdes.intel.com/resource/14013162967","14013162967")</f>
        <v>14013162967</v>
      </c>
      <c r="B676" s="7" t="s">
        <v>1959</v>
      </c>
      <c r="C676" s="7" t="s">
        <v>7</v>
      </c>
      <c r="D676" s="7" t="s">
        <v>3612</v>
      </c>
      <c r="E676" s="7" t="s">
        <v>3617</v>
      </c>
      <c r="F676" s="8" t="s">
        <v>3628</v>
      </c>
      <c r="H676" s="7" t="s">
        <v>3619</v>
      </c>
      <c r="I676" s="7" t="s">
        <v>3622</v>
      </c>
      <c r="L676" s="7" t="s">
        <v>8</v>
      </c>
      <c r="M676" s="7" t="s">
        <v>94</v>
      </c>
      <c r="N676" s="7" t="s">
        <v>10</v>
      </c>
      <c r="O676" s="7" t="s">
        <v>326</v>
      </c>
      <c r="P676" s="7" t="s">
        <v>1960</v>
      </c>
      <c r="Q676" s="7" t="s">
        <v>1961</v>
      </c>
      <c r="R676" t="s">
        <v>3633</v>
      </c>
    </row>
    <row r="677" spans="1:20" x14ac:dyDescent="0.3">
      <c r="A677" s="7" t="str">
        <f>HYPERLINK("https://hsdes.intel.com/resource/14013162974","14013162974")</f>
        <v>14013162974</v>
      </c>
      <c r="B677" s="7" t="s">
        <v>1962</v>
      </c>
      <c r="C677" s="7" t="s">
        <v>7</v>
      </c>
      <c r="D677" s="7" t="s">
        <v>3612</v>
      </c>
      <c r="E677" s="7" t="s">
        <v>3617</v>
      </c>
      <c r="F677" s="8" t="s">
        <v>3628</v>
      </c>
      <c r="H677" s="7" t="s">
        <v>3619</v>
      </c>
      <c r="I677" s="7" t="s">
        <v>3622</v>
      </c>
      <c r="L677" s="7" t="s">
        <v>8</v>
      </c>
      <c r="M677" s="7" t="s">
        <v>94</v>
      </c>
      <c r="N677" s="7" t="s">
        <v>10</v>
      </c>
      <c r="O677" s="7" t="s">
        <v>326</v>
      </c>
      <c r="P677" s="7" t="s">
        <v>1947</v>
      </c>
      <c r="Q677" s="7" t="s">
        <v>1963</v>
      </c>
      <c r="R677" t="s">
        <v>3633</v>
      </c>
    </row>
    <row r="678" spans="1:20" x14ac:dyDescent="0.3">
      <c r="A678" s="7" t="str">
        <f>HYPERLINK("https://hsdes.intel.com/resource/14013162987","14013162987")</f>
        <v>14013162987</v>
      </c>
      <c r="B678" s="7" t="s">
        <v>1964</v>
      </c>
      <c r="C678" s="7" t="s">
        <v>63</v>
      </c>
      <c r="D678" s="7" t="s">
        <v>3612</v>
      </c>
      <c r="E678" s="7" t="s">
        <v>3617</v>
      </c>
      <c r="F678" s="8" t="s">
        <v>3628</v>
      </c>
      <c r="H678" s="7" t="s">
        <v>3619</v>
      </c>
      <c r="I678" s="7" t="s">
        <v>3622</v>
      </c>
      <c r="L678" s="7" t="s">
        <v>64</v>
      </c>
      <c r="M678" s="7" t="s">
        <v>9</v>
      </c>
      <c r="N678" s="7" t="s">
        <v>56</v>
      </c>
      <c r="O678" s="7" t="s">
        <v>65</v>
      </c>
      <c r="P678" s="7" t="s">
        <v>66</v>
      </c>
      <c r="Q678" s="7" t="s">
        <v>1965</v>
      </c>
      <c r="R678" t="s">
        <v>3632</v>
      </c>
    </row>
    <row r="679" spans="1:20" x14ac:dyDescent="0.3">
      <c r="A679" s="7" t="str">
        <f>HYPERLINK("https://hsdes.intel.com/resource/14013163001","14013163001")</f>
        <v>14013163001</v>
      </c>
      <c r="B679" s="7" t="s">
        <v>1966</v>
      </c>
      <c r="C679" s="7" t="s">
        <v>1967</v>
      </c>
      <c r="D679" s="7" t="s">
        <v>3612</v>
      </c>
      <c r="E679" s="7" t="s">
        <v>3617</v>
      </c>
      <c r="F679" s="8" t="s">
        <v>3628</v>
      </c>
      <c r="H679" s="7" t="s">
        <v>3619</v>
      </c>
      <c r="I679" s="7" t="s">
        <v>3622</v>
      </c>
      <c r="L679" s="7" t="s">
        <v>100</v>
      </c>
      <c r="M679" s="7" t="s">
        <v>94</v>
      </c>
      <c r="N679" s="7" t="s">
        <v>39</v>
      </c>
      <c r="O679" s="7" t="s">
        <v>1968</v>
      </c>
      <c r="P679" s="7" t="s">
        <v>1969</v>
      </c>
      <c r="Q679" s="7" t="s">
        <v>1970</v>
      </c>
      <c r="R679" t="s">
        <v>3632</v>
      </c>
    </row>
    <row r="680" spans="1:20" x14ac:dyDescent="0.3">
      <c r="A680" s="7" t="str">
        <f>HYPERLINK("https://hsdes.intel.com/resource/14013163003","14013163003")</f>
        <v>14013163003</v>
      </c>
      <c r="B680" s="7" t="s">
        <v>1971</v>
      </c>
      <c r="C680" s="7" t="s">
        <v>212</v>
      </c>
      <c r="D680" s="7" t="s">
        <v>3612</v>
      </c>
      <c r="E680" s="7" t="s">
        <v>3617</v>
      </c>
      <c r="F680" s="8" t="s">
        <v>3628</v>
      </c>
      <c r="H680" s="7" t="s">
        <v>3619</v>
      </c>
      <c r="I680" s="7" t="s">
        <v>3645</v>
      </c>
      <c r="L680" s="7" t="s">
        <v>24</v>
      </c>
      <c r="M680" s="7" t="s">
        <v>9</v>
      </c>
      <c r="N680" s="7" t="s">
        <v>39</v>
      </c>
      <c r="O680" s="7" t="s">
        <v>1772</v>
      </c>
      <c r="P680" s="7" t="s">
        <v>1366</v>
      </c>
      <c r="Q680" s="7" t="s">
        <v>1972</v>
      </c>
      <c r="R680" t="s">
        <v>3631</v>
      </c>
      <c r="T680" s="22">
        <v>44819</v>
      </c>
    </row>
    <row r="681" spans="1:20" x14ac:dyDescent="0.3">
      <c r="A681" s="7" t="str">
        <f>HYPERLINK("https://hsdes.intel.com/resource/14013163089","14013163089")</f>
        <v>14013163089</v>
      </c>
      <c r="B681" s="7" t="s">
        <v>1973</v>
      </c>
      <c r="C681" s="7" t="s">
        <v>23</v>
      </c>
      <c r="D681" s="7" t="s">
        <v>3612</v>
      </c>
      <c r="E681" s="7" t="s">
        <v>3617</v>
      </c>
      <c r="F681" s="8" t="s">
        <v>3628</v>
      </c>
      <c r="H681" s="7" t="s">
        <v>3620</v>
      </c>
      <c r="I681" s="7" t="s">
        <v>3624</v>
      </c>
      <c r="L681" s="7" t="s">
        <v>24</v>
      </c>
      <c r="M681" s="7" t="s">
        <v>9</v>
      </c>
      <c r="N681" s="7" t="s">
        <v>39</v>
      </c>
      <c r="O681" s="7" t="s">
        <v>1974</v>
      </c>
      <c r="P681" s="7" t="s">
        <v>1731</v>
      </c>
      <c r="Q681" s="7" t="s">
        <v>1975</v>
      </c>
      <c r="R681" t="s">
        <v>3632</v>
      </c>
    </row>
    <row r="682" spans="1:20" x14ac:dyDescent="0.3">
      <c r="A682" s="7" t="str">
        <f>HYPERLINK("https://hsdes.intel.com/resource/14013163114","14013163114")</f>
        <v>14013163114</v>
      </c>
      <c r="B682" s="7" t="s">
        <v>1976</v>
      </c>
      <c r="C682" s="7" t="s">
        <v>7</v>
      </c>
      <c r="D682" s="7" t="s">
        <v>3612</v>
      </c>
      <c r="E682" s="7" t="s">
        <v>3617</v>
      </c>
      <c r="F682" s="8" t="s">
        <v>3628</v>
      </c>
      <c r="H682" s="7" t="s">
        <v>3619</v>
      </c>
      <c r="I682" s="7" t="s">
        <v>3622</v>
      </c>
      <c r="L682" s="7" t="s">
        <v>8</v>
      </c>
      <c r="M682" s="7" t="s">
        <v>9</v>
      </c>
      <c r="N682" s="7" t="s">
        <v>1977</v>
      </c>
      <c r="O682" s="7" t="s">
        <v>1978</v>
      </c>
      <c r="P682" s="7" t="s">
        <v>1979</v>
      </c>
      <c r="Q682" s="7" t="s">
        <v>1980</v>
      </c>
      <c r="R682" t="s">
        <v>3633</v>
      </c>
    </row>
    <row r="683" spans="1:20" x14ac:dyDescent="0.3">
      <c r="A683" s="7" t="str">
        <f>HYPERLINK("https://hsdes.intel.com/resource/14013163118","14013163118")</f>
        <v>14013163118</v>
      </c>
      <c r="B683" s="7" t="s">
        <v>1981</v>
      </c>
      <c r="C683" s="7" t="s">
        <v>7</v>
      </c>
      <c r="D683" s="7" t="s">
        <v>3612</v>
      </c>
      <c r="E683" s="7" t="s">
        <v>3617</v>
      </c>
      <c r="F683" s="8" t="s">
        <v>3628</v>
      </c>
      <c r="H683" s="7" t="s">
        <v>3619</v>
      </c>
      <c r="I683" s="7" t="s">
        <v>3622</v>
      </c>
      <c r="J683" s="7" t="s">
        <v>3592</v>
      </c>
      <c r="L683" s="7" t="s">
        <v>8</v>
      </c>
      <c r="M683" s="7" t="s">
        <v>9</v>
      </c>
      <c r="N683" s="7" t="s">
        <v>10</v>
      </c>
      <c r="O683" s="7" t="s">
        <v>693</v>
      </c>
      <c r="P683" s="7" t="s">
        <v>899</v>
      </c>
      <c r="Q683" s="7" t="s">
        <v>1982</v>
      </c>
      <c r="R683" t="s">
        <v>3631</v>
      </c>
    </row>
    <row r="684" spans="1:20" x14ac:dyDescent="0.3">
      <c r="A684" s="7" t="str">
        <f>HYPERLINK("https://hsdes.intel.com/resource/14013163171","14013163171")</f>
        <v>14013163171</v>
      </c>
      <c r="B684" s="7" t="s">
        <v>1983</v>
      </c>
      <c r="C684" s="7" t="s">
        <v>212</v>
      </c>
      <c r="D684" s="7" t="s">
        <v>3612</v>
      </c>
      <c r="E684" s="7" t="s">
        <v>3617</v>
      </c>
      <c r="F684" s="8" t="s">
        <v>3628</v>
      </c>
      <c r="H684" s="7" t="s">
        <v>3620</v>
      </c>
      <c r="I684" s="7" t="s">
        <v>3654</v>
      </c>
      <c r="J684" s="7" t="s">
        <v>3526</v>
      </c>
      <c r="L684" s="7" t="s">
        <v>24</v>
      </c>
      <c r="M684" s="7" t="s">
        <v>9</v>
      </c>
      <c r="N684" s="7" t="s">
        <v>1984</v>
      </c>
      <c r="O684" s="7" t="s">
        <v>1365</v>
      </c>
      <c r="P684" s="7" t="s">
        <v>319</v>
      </c>
      <c r="Q684" s="7" t="s">
        <v>1985</v>
      </c>
      <c r="R684" t="s">
        <v>3633</v>
      </c>
    </row>
    <row r="685" spans="1:20" x14ac:dyDescent="0.3">
      <c r="A685" s="7" t="str">
        <f>HYPERLINK("https://hsdes.intel.com/resource/14013163195","14013163195")</f>
        <v>14013163195</v>
      </c>
      <c r="B685" s="7" t="s">
        <v>1986</v>
      </c>
      <c r="C685" s="7" t="s">
        <v>7</v>
      </c>
      <c r="D685" s="7" t="s">
        <v>3612</v>
      </c>
      <c r="E685" s="7" t="s">
        <v>3617</v>
      </c>
      <c r="F685" s="8" t="s">
        <v>3628</v>
      </c>
      <c r="H685" s="7" t="s">
        <v>3619</v>
      </c>
      <c r="I685" s="7" t="s">
        <v>3622</v>
      </c>
      <c r="L685" s="7" t="s">
        <v>8</v>
      </c>
      <c r="M685" s="7" t="s">
        <v>9</v>
      </c>
      <c r="N685" s="7" t="s">
        <v>1987</v>
      </c>
      <c r="O685" s="7" t="s">
        <v>1988</v>
      </c>
      <c r="P685" s="7" t="s">
        <v>1989</v>
      </c>
      <c r="Q685" s="7" t="s">
        <v>1990</v>
      </c>
      <c r="R685" t="s">
        <v>3633</v>
      </c>
    </row>
    <row r="686" spans="1:20" x14ac:dyDescent="0.3">
      <c r="A686" s="7" t="str">
        <f>HYPERLINK("https://hsdes.intel.com/resource/14013163205","14013163205")</f>
        <v>14013163205</v>
      </c>
      <c r="B686" s="7" t="s">
        <v>1991</v>
      </c>
      <c r="C686" s="7" t="s">
        <v>212</v>
      </c>
      <c r="D686" s="7" t="s">
        <v>3612</v>
      </c>
      <c r="E686" s="7" t="s">
        <v>3617</v>
      </c>
      <c r="F686" s="8" t="s">
        <v>3628</v>
      </c>
      <c r="H686" s="7" t="s">
        <v>3620</v>
      </c>
      <c r="I686" s="7" t="s">
        <v>3654</v>
      </c>
      <c r="J686" s="7" t="s">
        <v>3526</v>
      </c>
      <c r="L686" s="7" t="s">
        <v>24</v>
      </c>
      <c r="M686" s="7" t="s">
        <v>9</v>
      </c>
      <c r="N686" s="7" t="s">
        <v>1992</v>
      </c>
      <c r="O686" s="7" t="s">
        <v>1070</v>
      </c>
      <c r="P686" s="7" t="s">
        <v>365</v>
      </c>
      <c r="Q686" s="7" t="s">
        <v>1993</v>
      </c>
      <c r="R686" t="s">
        <v>3633</v>
      </c>
    </row>
    <row r="687" spans="1:20" x14ac:dyDescent="0.3">
      <c r="A687" s="7" t="str">
        <f>HYPERLINK("https://hsdes.intel.com/resource/14013163208","14013163208")</f>
        <v>14013163208</v>
      </c>
      <c r="B687" s="7" t="s">
        <v>1994</v>
      </c>
      <c r="C687" s="7" t="s">
        <v>212</v>
      </c>
      <c r="D687" s="7" t="s">
        <v>3612</v>
      </c>
      <c r="E687" s="7" t="s">
        <v>3617</v>
      </c>
      <c r="F687" s="8" t="s">
        <v>3628</v>
      </c>
      <c r="H687" s="7" t="s">
        <v>3620</v>
      </c>
      <c r="I687" s="7" t="s">
        <v>3654</v>
      </c>
      <c r="J687" s="7" t="s">
        <v>3526</v>
      </c>
      <c r="L687" s="7" t="s">
        <v>24</v>
      </c>
      <c r="M687" s="7" t="s">
        <v>9</v>
      </c>
      <c r="N687" s="7" t="s">
        <v>39</v>
      </c>
      <c r="O687" s="7" t="s">
        <v>1606</v>
      </c>
      <c r="P687" s="7" t="s">
        <v>1995</v>
      </c>
      <c r="Q687" s="7" t="s">
        <v>1996</v>
      </c>
      <c r="R687" t="s">
        <v>3633</v>
      </c>
    </row>
    <row r="688" spans="1:20" x14ac:dyDescent="0.3">
      <c r="A688" s="7" t="str">
        <f>HYPERLINK("https://hsdes.intel.com/resource/14013163220","14013163220")</f>
        <v>14013163220</v>
      </c>
      <c r="B688" s="7" t="s">
        <v>1997</v>
      </c>
      <c r="C688" s="7" t="s">
        <v>121</v>
      </c>
      <c r="D688" s="7" t="s">
        <v>3612</v>
      </c>
      <c r="E688" s="7" t="s">
        <v>3617</v>
      </c>
      <c r="F688" s="8" t="s">
        <v>3628</v>
      </c>
      <c r="H688" s="7" t="s">
        <v>3619</v>
      </c>
      <c r="I688" s="7" t="s">
        <v>3622</v>
      </c>
      <c r="L688" s="7" t="s">
        <v>142</v>
      </c>
      <c r="M688" s="7" t="s">
        <v>9</v>
      </c>
      <c r="N688" s="7" t="s">
        <v>39</v>
      </c>
      <c r="O688" s="7" t="s">
        <v>217</v>
      </c>
      <c r="P688" s="7" t="s">
        <v>217</v>
      </c>
      <c r="Q688" s="7" t="s">
        <v>1998</v>
      </c>
      <c r="R688" t="s">
        <v>3632</v>
      </c>
    </row>
    <row r="689" spans="1:18" x14ac:dyDescent="0.3">
      <c r="A689" s="7" t="str">
        <f>HYPERLINK("https://hsdes.intel.com/resource/14013163239","14013163239")</f>
        <v>14013163239</v>
      </c>
      <c r="B689" s="7" t="s">
        <v>1999</v>
      </c>
      <c r="C689" s="7" t="s">
        <v>7</v>
      </c>
      <c r="D689" s="7" t="s">
        <v>3612</v>
      </c>
      <c r="E689" s="7" t="s">
        <v>3617</v>
      </c>
      <c r="F689" s="8" t="s">
        <v>3628</v>
      </c>
      <c r="H689" s="7" t="s">
        <v>3619</v>
      </c>
      <c r="I689" s="7" t="s">
        <v>3640</v>
      </c>
      <c r="L689" s="7" t="s">
        <v>8</v>
      </c>
      <c r="M689" s="7" t="s">
        <v>94</v>
      </c>
      <c r="N689" s="7" t="s">
        <v>10</v>
      </c>
      <c r="O689" s="7" t="s">
        <v>2000</v>
      </c>
      <c r="P689" s="7" t="s">
        <v>1133</v>
      </c>
      <c r="Q689" s="7" t="s">
        <v>2001</v>
      </c>
      <c r="R689" t="s">
        <v>3632</v>
      </c>
    </row>
    <row r="690" spans="1:18" x14ac:dyDescent="0.3">
      <c r="A690" s="7" t="str">
        <f>HYPERLINK("https://hsdes.intel.com/resource/14013163245","14013163245")</f>
        <v>14013163245</v>
      </c>
      <c r="B690" s="7" t="s">
        <v>2002</v>
      </c>
      <c r="C690" s="7" t="s">
        <v>7</v>
      </c>
      <c r="D690" s="7" t="s">
        <v>3612</v>
      </c>
      <c r="E690" s="7" t="s">
        <v>3617</v>
      </c>
      <c r="F690" s="8" t="s">
        <v>3628</v>
      </c>
      <c r="H690" s="7" t="s">
        <v>3619</v>
      </c>
      <c r="I690" s="7" t="s">
        <v>3640</v>
      </c>
      <c r="L690" s="7" t="s">
        <v>8</v>
      </c>
      <c r="M690" s="7" t="s">
        <v>94</v>
      </c>
      <c r="N690" s="7" t="s">
        <v>10</v>
      </c>
      <c r="O690" s="7" t="s">
        <v>2003</v>
      </c>
      <c r="P690" s="7" t="s">
        <v>1923</v>
      </c>
      <c r="Q690" s="7" t="s">
        <v>2004</v>
      </c>
      <c r="R690" t="s">
        <v>3633</v>
      </c>
    </row>
    <row r="691" spans="1:18" x14ac:dyDescent="0.3">
      <c r="A691" s="7" t="str">
        <f>HYPERLINK("https://hsdes.intel.com/resource/14013163258","14013163258")</f>
        <v>14013163258</v>
      </c>
      <c r="B691" s="7" t="s">
        <v>2005</v>
      </c>
      <c r="C691" s="7" t="s">
        <v>7</v>
      </c>
      <c r="D691" s="7" t="s">
        <v>3612</v>
      </c>
      <c r="E691" s="7" t="s">
        <v>3617</v>
      </c>
      <c r="F691" s="8" t="s">
        <v>3628</v>
      </c>
      <c r="H691" s="7" t="s">
        <v>3619</v>
      </c>
      <c r="I691" s="7" t="s">
        <v>3640</v>
      </c>
      <c r="L691" s="7" t="s">
        <v>8</v>
      </c>
      <c r="M691" s="7" t="s">
        <v>94</v>
      </c>
      <c r="N691" s="7" t="s">
        <v>10</v>
      </c>
      <c r="O691" s="7" t="s">
        <v>2003</v>
      </c>
      <c r="P691" s="7" t="s">
        <v>1923</v>
      </c>
      <c r="Q691" s="7" t="s">
        <v>2006</v>
      </c>
      <c r="R691" t="s">
        <v>3631</v>
      </c>
    </row>
    <row r="692" spans="1:18" x14ac:dyDescent="0.3">
      <c r="A692" s="7" t="str">
        <f>HYPERLINK("https://hsdes.intel.com/resource/14013163267","14013163267")</f>
        <v>14013163267</v>
      </c>
      <c r="B692" s="7" t="s">
        <v>2007</v>
      </c>
      <c r="C692" s="7" t="s">
        <v>7</v>
      </c>
      <c r="D692" s="7" t="s">
        <v>3612</v>
      </c>
      <c r="E692" s="7" t="s">
        <v>3617</v>
      </c>
      <c r="F692" s="8" t="s">
        <v>3628</v>
      </c>
      <c r="H692" s="7" t="s">
        <v>3619</v>
      </c>
      <c r="I692" s="7" t="s">
        <v>3640</v>
      </c>
      <c r="L692" s="7" t="s">
        <v>8</v>
      </c>
      <c r="M692" s="7" t="s">
        <v>94</v>
      </c>
      <c r="N692" s="7" t="s">
        <v>10</v>
      </c>
      <c r="O692" s="7" t="s">
        <v>2008</v>
      </c>
      <c r="P692" s="7" t="s">
        <v>1133</v>
      </c>
      <c r="Q692" s="7" t="s">
        <v>2009</v>
      </c>
      <c r="R692" t="s">
        <v>3633</v>
      </c>
    </row>
    <row r="693" spans="1:18" x14ac:dyDescent="0.3">
      <c r="A693" s="7" t="str">
        <f>HYPERLINK("https://hsdes.intel.com/resource/14013163275","14013163275")</f>
        <v>14013163275</v>
      </c>
      <c r="B693" s="7" t="s">
        <v>2010</v>
      </c>
      <c r="C693" s="7" t="s">
        <v>7</v>
      </c>
      <c r="D693" s="7" t="s">
        <v>3613</v>
      </c>
      <c r="E693" s="7" t="s">
        <v>3617</v>
      </c>
      <c r="F693" s="8" t="s">
        <v>3628</v>
      </c>
      <c r="H693" s="7" t="s">
        <v>3619</v>
      </c>
      <c r="I693" s="7" t="s">
        <v>3622</v>
      </c>
      <c r="L693" s="7" t="s">
        <v>8</v>
      </c>
      <c r="M693" s="7" t="s">
        <v>94</v>
      </c>
      <c r="N693" s="7" t="s">
        <v>10</v>
      </c>
      <c r="O693" s="7" t="s">
        <v>2011</v>
      </c>
      <c r="P693" s="7" t="s">
        <v>2012</v>
      </c>
      <c r="Q693" s="7" t="s">
        <v>2013</v>
      </c>
      <c r="R693" t="s">
        <v>3632</v>
      </c>
    </row>
    <row r="694" spans="1:18" x14ac:dyDescent="0.3">
      <c r="A694" s="7" t="str">
        <f>HYPERLINK("https://hsdes.intel.com/resource/14013163296","14013163296")</f>
        <v>14013163296</v>
      </c>
      <c r="B694" s="7" t="s">
        <v>2014</v>
      </c>
      <c r="C694" s="7" t="s">
        <v>7</v>
      </c>
      <c r="D694" s="7" t="s">
        <v>3612</v>
      </c>
      <c r="E694" s="7" t="s">
        <v>3617</v>
      </c>
      <c r="F694" s="8" t="s">
        <v>3628</v>
      </c>
      <c r="H694" s="7" t="s">
        <v>3619</v>
      </c>
      <c r="I694" s="7" t="s">
        <v>3622</v>
      </c>
      <c r="L694" s="7" t="s">
        <v>8</v>
      </c>
      <c r="M694" s="7" t="s">
        <v>94</v>
      </c>
      <c r="N694" s="7" t="s">
        <v>2015</v>
      </c>
      <c r="O694" s="7" t="s">
        <v>2016</v>
      </c>
      <c r="P694" s="7" t="s">
        <v>2017</v>
      </c>
      <c r="Q694" s="7" t="s">
        <v>2018</v>
      </c>
      <c r="R694" t="s">
        <v>3631</v>
      </c>
    </row>
    <row r="695" spans="1:18" x14ac:dyDescent="0.3">
      <c r="A695" s="7" t="str">
        <f>HYPERLINK("https://hsdes.intel.com/resource/14013163306","14013163306")</f>
        <v>14013163306</v>
      </c>
      <c r="B695" s="7" t="s">
        <v>2019</v>
      </c>
      <c r="C695" s="7" t="s">
        <v>7</v>
      </c>
      <c r="D695" s="7" t="s">
        <v>3612</v>
      </c>
      <c r="E695" s="7" t="s">
        <v>3617</v>
      </c>
      <c r="F695" s="8" t="s">
        <v>3628</v>
      </c>
      <c r="H695" s="7" t="s">
        <v>3619</v>
      </c>
      <c r="I695" s="7" t="s">
        <v>3622</v>
      </c>
      <c r="L695" s="7" t="s">
        <v>8</v>
      </c>
      <c r="M695" s="7" t="s">
        <v>94</v>
      </c>
      <c r="N695" s="7" t="s">
        <v>1921</v>
      </c>
      <c r="O695" s="7" t="s">
        <v>2020</v>
      </c>
      <c r="P695" s="7" t="s">
        <v>2021</v>
      </c>
      <c r="Q695" s="7" t="s">
        <v>2022</v>
      </c>
      <c r="R695" t="s">
        <v>3633</v>
      </c>
    </row>
    <row r="696" spans="1:18" x14ac:dyDescent="0.3">
      <c r="A696" s="7" t="str">
        <f>HYPERLINK("https://hsdes.intel.com/resource/14013163319","14013163319")</f>
        <v>14013163319</v>
      </c>
      <c r="B696" s="7" t="s">
        <v>2023</v>
      </c>
      <c r="C696" s="7" t="s">
        <v>7</v>
      </c>
      <c r="D696" s="7" t="s">
        <v>3612</v>
      </c>
      <c r="E696" s="7" t="s">
        <v>3617</v>
      </c>
      <c r="F696" s="8" t="s">
        <v>3628</v>
      </c>
      <c r="H696" s="7" t="s">
        <v>3619</v>
      </c>
      <c r="I696" s="7" t="s">
        <v>3622</v>
      </c>
      <c r="L696" s="7" t="s">
        <v>8</v>
      </c>
      <c r="M696" s="7" t="s">
        <v>9</v>
      </c>
      <c r="N696" s="7" t="s">
        <v>2015</v>
      </c>
      <c r="O696" s="7" t="s">
        <v>2024</v>
      </c>
      <c r="P696" s="7" t="s">
        <v>2025</v>
      </c>
      <c r="Q696" s="7" t="s">
        <v>2026</v>
      </c>
      <c r="R696" t="s">
        <v>3633</v>
      </c>
    </row>
    <row r="697" spans="1:18" x14ac:dyDescent="0.3">
      <c r="A697" s="7" t="str">
        <f>HYPERLINK("https://hsdes.intel.com/resource/14013163363","14013163363")</f>
        <v>14013163363</v>
      </c>
      <c r="B697" s="7" t="s">
        <v>2027</v>
      </c>
      <c r="C697" s="7" t="s">
        <v>7</v>
      </c>
      <c r="D697" s="7" t="s">
        <v>3612</v>
      </c>
      <c r="E697" s="7" t="s">
        <v>3617</v>
      </c>
      <c r="F697" s="8" t="s">
        <v>3628</v>
      </c>
      <c r="H697" s="7" t="s">
        <v>3619</v>
      </c>
      <c r="I697" s="7" t="s">
        <v>3622</v>
      </c>
      <c r="L697" s="7" t="s">
        <v>8</v>
      </c>
      <c r="M697" s="7" t="s">
        <v>9</v>
      </c>
      <c r="N697" s="7" t="s">
        <v>10</v>
      </c>
      <c r="O697" s="7" t="s">
        <v>2024</v>
      </c>
      <c r="P697" s="7" t="s">
        <v>2025</v>
      </c>
      <c r="Q697" s="7" t="s">
        <v>2028</v>
      </c>
      <c r="R697" t="s">
        <v>3633</v>
      </c>
    </row>
    <row r="698" spans="1:18" x14ac:dyDescent="0.3">
      <c r="A698" s="7" t="str">
        <f>HYPERLINK("https://hsdes.intel.com/resource/14013163375","14013163375")</f>
        <v>14013163375</v>
      </c>
      <c r="B698" s="7" t="s">
        <v>2029</v>
      </c>
      <c r="C698" s="7" t="s">
        <v>7</v>
      </c>
      <c r="D698" s="7" t="s">
        <v>3612</v>
      </c>
      <c r="E698" s="7" t="s">
        <v>3617</v>
      </c>
      <c r="F698" s="8" t="s">
        <v>3628</v>
      </c>
      <c r="H698" s="7" t="s">
        <v>3619</v>
      </c>
      <c r="I698" s="7" t="s">
        <v>3622</v>
      </c>
      <c r="L698" s="7" t="s">
        <v>8</v>
      </c>
      <c r="M698" s="7" t="s">
        <v>9</v>
      </c>
      <c r="N698" s="7" t="s">
        <v>10</v>
      </c>
      <c r="O698" s="7" t="s">
        <v>2024</v>
      </c>
      <c r="P698" s="7" t="s">
        <v>2030</v>
      </c>
      <c r="Q698" s="7" t="s">
        <v>2031</v>
      </c>
      <c r="R698" t="s">
        <v>3633</v>
      </c>
    </row>
    <row r="699" spans="1:18" x14ac:dyDescent="0.3">
      <c r="A699" s="7" t="str">
        <f>HYPERLINK("https://hsdes.intel.com/resource/14013163408","14013163408")</f>
        <v>14013163408</v>
      </c>
      <c r="B699" s="7" t="s">
        <v>2032</v>
      </c>
      <c r="C699" s="7" t="s">
        <v>7</v>
      </c>
      <c r="D699" s="7" t="s">
        <v>3612</v>
      </c>
      <c r="E699" s="7" t="s">
        <v>3617</v>
      </c>
      <c r="F699" s="8" t="s">
        <v>3628</v>
      </c>
      <c r="H699" s="16" t="s">
        <v>3620</v>
      </c>
      <c r="I699" s="7" t="s">
        <v>3622</v>
      </c>
      <c r="L699" s="7" t="s">
        <v>8</v>
      </c>
      <c r="M699" s="7" t="s">
        <v>9</v>
      </c>
      <c r="N699" s="7" t="s">
        <v>10</v>
      </c>
      <c r="O699" s="7" t="s">
        <v>2024</v>
      </c>
      <c r="P699" s="7" t="s">
        <v>2033</v>
      </c>
      <c r="Q699" s="7" t="s">
        <v>2034</v>
      </c>
      <c r="R699" t="s">
        <v>3633</v>
      </c>
    </row>
    <row r="700" spans="1:18" x14ac:dyDescent="0.3">
      <c r="A700" s="9" t="str">
        <f>HYPERLINK("https://hsdes.intel.com/resource/14013163421","14013163421")</f>
        <v>14013163421</v>
      </c>
      <c r="B700" s="7" t="s">
        <v>2035</v>
      </c>
      <c r="C700" s="7" t="s">
        <v>7</v>
      </c>
      <c r="D700" s="7" t="s">
        <v>3612</v>
      </c>
      <c r="E700" s="7" t="s">
        <v>3617</v>
      </c>
      <c r="F700" s="8" t="s">
        <v>3628</v>
      </c>
      <c r="H700" s="7" t="s">
        <v>3620</v>
      </c>
      <c r="I700" s="7" t="s">
        <v>3622</v>
      </c>
      <c r="L700" s="7" t="s">
        <v>8</v>
      </c>
      <c r="M700" s="7" t="s">
        <v>9</v>
      </c>
      <c r="N700" s="7" t="s">
        <v>10</v>
      </c>
      <c r="O700" s="7" t="s">
        <v>2024</v>
      </c>
      <c r="P700" s="7" t="s">
        <v>2033</v>
      </c>
      <c r="Q700" s="7" t="s">
        <v>2036</v>
      </c>
      <c r="R700" t="s">
        <v>3633</v>
      </c>
    </row>
    <row r="701" spans="1:18" x14ac:dyDescent="0.3">
      <c r="A701" s="7" t="str">
        <f>HYPERLINK("https://hsdes.intel.com/resource/14013163456","14013163456")</f>
        <v>14013163456</v>
      </c>
      <c r="B701" s="7" t="s">
        <v>2037</v>
      </c>
      <c r="C701" s="7" t="s">
        <v>7</v>
      </c>
      <c r="D701" s="7" t="s">
        <v>3612</v>
      </c>
      <c r="E701" s="7" t="s">
        <v>3617</v>
      </c>
      <c r="F701" s="8" t="s">
        <v>3628</v>
      </c>
      <c r="H701" s="7" t="s">
        <v>3620</v>
      </c>
      <c r="I701" s="7" t="s">
        <v>3622</v>
      </c>
      <c r="L701" s="7" t="s">
        <v>8</v>
      </c>
      <c r="M701" s="7" t="s">
        <v>9</v>
      </c>
      <c r="N701" s="7" t="s">
        <v>10</v>
      </c>
      <c r="O701" s="7" t="s">
        <v>2024</v>
      </c>
      <c r="P701" s="7" t="s">
        <v>2038</v>
      </c>
      <c r="Q701" s="7" t="s">
        <v>2039</v>
      </c>
      <c r="R701" t="s">
        <v>3631</v>
      </c>
    </row>
    <row r="702" spans="1:18" x14ac:dyDescent="0.3">
      <c r="A702" s="7" t="str">
        <f>HYPERLINK("https://hsdes.intel.com/resource/14013163459","14013163459")</f>
        <v>14013163459</v>
      </c>
      <c r="B702" s="7" t="s">
        <v>2040</v>
      </c>
      <c r="C702" s="7" t="s">
        <v>7</v>
      </c>
      <c r="D702" s="7" t="s">
        <v>3612</v>
      </c>
      <c r="E702" s="7" t="s">
        <v>3617</v>
      </c>
      <c r="F702" s="8" t="s">
        <v>3628</v>
      </c>
      <c r="H702" s="16" t="s">
        <v>3620</v>
      </c>
      <c r="I702" s="7" t="s">
        <v>3622</v>
      </c>
      <c r="L702" s="7" t="s">
        <v>8</v>
      </c>
      <c r="M702" s="7" t="s">
        <v>94</v>
      </c>
      <c r="N702" s="7" t="s">
        <v>10</v>
      </c>
      <c r="O702" s="7" t="s">
        <v>2020</v>
      </c>
      <c r="P702" s="7" t="s">
        <v>2041</v>
      </c>
      <c r="Q702" s="7" t="s">
        <v>2042</v>
      </c>
      <c r="R702" t="s">
        <v>3632</v>
      </c>
    </row>
    <row r="703" spans="1:18" x14ac:dyDescent="0.3">
      <c r="A703" s="7" t="str">
        <f>HYPERLINK("https://hsdes.intel.com/resource/14013163478","14013163478")</f>
        <v>14013163478</v>
      </c>
      <c r="B703" s="7" t="s">
        <v>2043</v>
      </c>
      <c r="C703" s="7" t="s">
        <v>212</v>
      </c>
      <c r="D703" s="7" t="s">
        <v>3613</v>
      </c>
      <c r="E703" s="7" t="s">
        <v>3617</v>
      </c>
      <c r="F703" s="8" t="s">
        <v>3628</v>
      </c>
      <c r="H703" s="7" t="s">
        <v>3620</v>
      </c>
      <c r="I703" s="7" t="s">
        <v>3654</v>
      </c>
      <c r="J703" s="7" t="s">
        <v>3526</v>
      </c>
      <c r="L703" s="7" t="s">
        <v>24</v>
      </c>
      <c r="M703" s="7" t="s">
        <v>9</v>
      </c>
      <c r="N703" s="7" t="s">
        <v>39</v>
      </c>
      <c r="O703" s="7" t="s">
        <v>1772</v>
      </c>
      <c r="P703" s="7" t="s">
        <v>1366</v>
      </c>
      <c r="Q703" s="7" t="s">
        <v>2044</v>
      </c>
      <c r="R703" t="s">
        <v>3633</v>
      </c>
    </row>
    <row r="704" spans="1:18" x14ac:dyDescent="0.3">
      <c r="A704" s="7" t="str">
        <f>HYPERLINK("https://hsdes.intel.com/resource/14013163540","14013163540")</f>
        <v>14013163540</v>
      </c>
      <c r="B704" s="7" t="s">
        <v>2045</v>
      </c>
      <c r="C704" s="7" t="s">
        <v>55</v>
      </c>
      <c r="D704" s="7" t="s">
        <v>3612</v>
      </c>
      <c r="E704" s="7" t="s">
        <v>3617</v>
      </c>
      <c r="F704" s="8" t="s">
        <v>3628</v>
      </c>
      <c r="H704" s="7" t="s">
        <v>3618</v>
      </c>
      <c r="J704" s="7" t="s">
        <v>3559</v>
      </c>
      <c r="L704" s="7" t="s">
        <v>30</v>
      </c>
      <c r="M704" s="7" t="s">
        <v>94</v>
      </c>
      <c r="N704" s="7" t="s">
        <v>25</v>
      </c>
      <c r="O704" s="7" t="s">
        <v>659</v>
      </c>
      <c r="P704" s="7" t="s">
        <v>2046</v>
      </c>
      <c r="Q704" s="7" t="s">
        <v>2047</v>
      </c>
      <c r="R704" t="s">
        <v>3631</v>
      </c>
    </row>
    <row r="705" spans="1:20" x14ac:dyDescent="0.3">
      <c r="A705" s="7" t="str">
        <f>HYPERLINK("https://hsdes.intel.com/resource/14013163653","14013163653")</f>
        <v>14013163653</v>
      </c>
      <c r="B705" s="7" t="s">
        <v>2048</v>
      </c>
      <c r="C705" s="7" t="s">
        <v>7</v>
      </c>
      <c r="D705" s="7" t="s">
        <v>3612</v>
      </c>
      <c r="E705" s="7" t="s">
        <v>3617</v>
      </c>
      <c r="F705" s="8" t="s">
        <v>3628</v>
      </c>
      <c r="H705" s="7" t="s">
        <v>3619</v>
      </c>
      <c r="I705" s="7" t="s">
        <v>3640</v>
      </c>
      <c r="L705" s="7" t="s">
        <v>8</v>
      </c>
      <c r="M705" s="7" t="s">
        <v>94</v>
      </c>
      <c r="N705" s="7" t="s">
        <v>10</v>
      </c>
      <c r="O705" s="7" t="s">
        <v>2049</v>
      </c>
      <c r="P705" s="7" t="s">
        <v>1133</v>
      </c>
      <c r="Q705" s="7" t="s">
        <v>2050</v>
      </c>
      <c r="R705" t="s">
        <v>3631</v>
      </c>
    </row>
    <row r="706" spans="1:20" x14ac:dyDescent="0.3">
      <c r="A706" s="7" t="str">
        <f>HYPERLINK("https://hsdes.intel.com/resource/14013163665","14013163665")</f>
        <v>14013163665</v>
      </c>
      <c r="B706" s="7" t="s">
        <v>2051</v>
      </c>
      <c r="C706" s="7" t="s">
        <v>7</v>
      </c>
      <c r="D706" s="7" t="s">
        <v>3612</v>
      </c>
      <c r="E706" s="7" t="s">
        <v>3617</v>
      </c>
      <c r="F706" s="8" t="s">
        <v>3628</v>
      </c>
      <c r="H706" s="7" t="s">
        <v>3619</v>
      </c>
      <c r="I706" s="7" t="s">
        <v>3640</v>
      </c>
      <c r="L706" s="7" t="s">
        <v>8</v>
      </c>
      <c r="M706" s="7" t="s">
        <v>94</v>
      </c>
      <c r="N706" s="7" t="s">
        <v>10</v>
      </c>
      <c r="O706" s="7" t="s">
        <v>2000</v>
      </c>
      <c r="P706" s="7" t="s">
        <v>2052</v>
      </c>
      <c r="Q706" s="7" t="s">
        <v>2053</v>
      </c>
      <c r="R706" t="s">
        <v>3631</v>
      </c>
    </row>
    <row r="707" spans="1:20" x14ac:dyDescent="0.3">
      <c r="A707" s="7" t="str">
        <f>HYPERLINK("https://hsdes.intel.com/resource/14013163784","14013163784")</f>
        <v>14013163784</v>
      </c>
      <c r="B707" s="7" t="s">
        <v>2054</v>
      </c>
      <c r="C707" s="7" t="s">
        <v>55</v>
      </c>
      <c r="D707" s="7" t="s">
        <v>3612</v>
      </c>
      <c r="E707" s="7" t="s">
        <v>3617</v>
      </c>
      <c r="F707" s="8" t="s">
        <v>3628</v>
      </c>
      <c r="H707" s="7" t="s">
        <v>3620</v>
      </c>
      <c r="I707" s="7" t="s">
        <v>3643</v>
      </c>
      <c r="L707" s="7" t="s">
        <v>30</v>
      </c>
      <c r="M707" s="7" t="s">
        <v>9</v>
      </c>
      <c r="N707" s="7" t="s">
        <v>39</v>
      </c>
      <c r="O707" s="7" t="s">
        <v>682</v>
      </c>
      <c r="P707" s="7" t="s">
        <v>682</v>
      </c>
      <c r="Q707" s="7" t="s">
        <v>2055</v>
      </c>
      <c r="R707" t="s">
        <v>3631</v>
      </c>
    </row>
    <row r="708" spans="1:20" x14ac:dyDescent="0.3">
      <c r="A708" s="7" t="str">
        <f>HYPERLINK("https://hsdes.intel.com/resource/14013163811","14013163811")</f>
        <v>14013163811</v>
      </c>
      <c r="B708" s="7" t="s">
        <v>2056</v>
      </c>
      <c r="C708" s="7" t="s">
        <v>845</v>
      </c>
      <c r="D708" s="7" t="s">
        <v>3612</v>
      </c>
      <c r="E708" s="7" t="s">
        <v>3617</v>
      </c>
      <c r="F708" s="8" t="s">
        <v>3628</v>
      </c>
      <c r="H708" s="7" t="s">
        <v>3619</v>
      </c>
      <c r="I708" s="7" t="s">
        <v>3644</v>
      </c>
      <c r="L708" s="7" t="s">
        <v>142</v>
      </c>
      <c r="M708" s="7" t="s">
        <v>9</v>
      </c>
      <c r="N708" s="7" t="s">
        <v>56</v>
      </c>
      <c r="O708" s="7" t="s">
        <v>1678</v>
      </c>
      <c r="P708" s="7" t="s">
        <v>1679</v>
      </c>
      <c r="Q708" s="7" t="s">
        <v>2057</v>
      </c>
      <c r="R708" t="s">
        <v>3632</v>
      </c>
    </row>
    <row r="709" spans="1:20" x14ac:dyDescent="0.3">
      <c r="A709" s="7" t="str">
        <f>HYPERLINK("https://hsdes.intel.com/resource/14013163914","14013163914")</f>
        <v>14013163914</v>
      </c>
      <c r="B709" s="7" t="s">
        <v>2058</v>
      </c>
      <c r="C709" s="7" t="s">
        <v>55</v>
      </c>
      <c r="D709" s="7" t="s">
        <v>3612</v>
      </c>
      <c r="E709" s="7" t="s">
        <v>3617</v>
      </c>
      <c r="F709" s="8" t="s">
        <v>3628</v>
      </c>
      <c r="H709" s="7" t="s">
        <v>3618</v>
      </c>
      <c r="J709" s="7" t="s">
        <v>3529</v>
      </c>
      <c r="L709" s="7" t="s">
        <v>38</v>
      </c>
      <c r="M709" s="7" t="s">
        <v>94</v>
      </c>
      <c r="N709" s="7" t="s">
        <v>39</v>
      </c>
      <c r="O709" s="7" t="s">
        <v>2059</v>
      </c>
      <c r="P709" s="7" t="s">
        <v>2060</v>
      </c>
      <c r="Q709" s="7" t="s">
        <v>2061</v>
      </c>
      <c r="R709" t="s">
        <v>3632</v>
      </c>
    </row>
    <row r="710" spans="1:20" x14ac:dyDescent="0.3">
      <c r="A710" s="7" t="str">
        <f>HYPERLINK("https://hsdes.intel.com/resource/14013163924","14013163924")</f>
        <v>14013163924</v>
      </c>
      <c r="B710" s="7" t="s">
        <v>2062</v>
      </c>
      <c r="C710" s="7" t="s">
        <v>7</v>
      </c>
      <c r="D710" s="7" t="s">
        <v>3612</v>
      </c>
      <c r="E710" s="7" t="s">
        <v>3617</v>
      </c>
      <c r="F710" s="8" t="s">
        <v>3628</v>
      </c>
      <c r="H710" s="7" t="s">
        <v>3619</v>
      </c>
      <c r="I710" s="7" t="s">
        <v>3622</v>
      </c>
      <c r="L710" s="7" t="s">
        <v>8</v>
      </c>
      <c r="M710" s="7" t="s">
        <v>94</v>
      </c>
      <c r="N710" s="7" t="s">
        <v>10</v>
      </c>
      <c r="O710" s="7" t="s">
        <v>2063</v>
      </c>
      <c r="P710" s="7" t="s">
        <v>1100</v>
      </c>
      <c r="Q710" s="7" t="s">
        <v>2064</v>
      </c>
      <c r="R710" t="s">
        <v>3632</v>
      </c>
    </row>
    <row r="711" spans="1:20" x14ac:dyDescent="0.3">
      <c r="A711" s="7" t="str">
        <f>HYPERLINK("https://hsdes.intel.com/resource/14013163939","14013163939")</f>
        <v>14013163939</v>
      </c>
      <c r="B711" s="7" t="s">
        <v>2065</v>
      </c>
      <c r="C711" s="7" t="s">
        <v>161</v>
      </c>
      <c r="D711" s="7" t="s">
        <v>3612</v>
      </c>
      <c r="E711" s="7" t="s">
        <v>3617</v>
      </c>
      <c r="F711" s="8" t="s">
        <v>3628</v>
      </c>
      <c r="H711" s="7" t="s">
        <v>3618</v>
      </c>
      <c r="J711" s="7" t="s">
        <v>3529</v>
      </c>
      <c r="L711" s="7" t="s">
        <v>38</v>
      </c>
      <c r="M711" s="7" t="s">
        <v>94</v>
      </c>
      <c r="N711" s="7" t="s">
        <v>56</v>
      </c>
      <c r="O711" s="7" t="s">
        <v>795</v>
      </c>
      <c r="P711" s="7" t="s">
        <v>796</v>
      </c>
      <c r="Q711" s="7" t="s">
        <v>2066</v>
      </c>
      <c r="R711" t="s">
        <v>3632</v>
      </c>
    </row>
    <row r="712" spans="1:20" x14ac:dyDescent="0.3">
      <c r="A712" s="7" t="str">
        <f>HYPERLINK("https://hsdes.intel.com/resource/14013163952","14013163952")</f>
        <v>14013163952</v>
      </c>
      <c r="B712" s="7" t="s">
        <v>2067</v>
      </c>
      <c r="C712" s="7" t="s">
        <v>161</v>
      </c>
      <c r="D712" s="7" t="s">
        <v>3612</v>
      </c>
      <c r="E712" s="7" t="s">
        <v>3617</v>
      </c>
      <c r="F712" s="8" t="s">
        <v>3628</v>
      </c>
      <c r="H712" s="7" t="s">
        <v>3618</v>
      </c>
      <c r="J712" s="7" t="s">
        <v>3529</v>
      </c>
      <c r="L712" s="7" t="s">
        <v>38</v>
      </c>
      <c r="M712" s="7" t="s">
        <v>94</v>
      </c>
      <c r="N712" s="7" t="s">
        <v>39</v>
      </c>
      <c r="O712" s="7" t="s">
        <v>2068</v>
      </c>
      <c r="P712" s="7" t="s">
        <v>2069</v>
      </c>
      <c r="Q712" s="7" t="s">
        <v>2070</v>
      </c>
      <c r="R712" t="s">
        <v>3632</v>
      </c>
    </row>
    <row r="713" spans="1:20" x14ac:dyDescent="0.3">
      <c r="A713" s="7" t="str">
        <f>HYPERLINK("https://hsdes.intel.com/resource/14013163970","14013163970")</f>
        <v>14013163970</v>
      </c>
      <c r="B713" s="7" t="s">
        <v>2071</v>
      </c>
      <c r="C713" s="7" t="s">
        <v>23</v>
      </c>
      <c r="D713" s="7" t="s">
        <v>3612</v>
      </c>
      <c r="E713" s="7" t="s">
        <v>3617</v>
      </c>
      <c r="F713" s="8" t="s">
        <v>3628</v>
      </c>
      <c r="H713" s="7" t="s">
        <v>3619</v>
      </c>
      <c r="I713" s="7" t="s">
        <v>3624</v>
      </c>
      <c r="L713" s="7" t="s">
        <v>8</v>
      </c>
      <c r="M713" s="7" t="s">
        <v>9</v>
      </c>
      <c r="N713" s="7" t="s">
        <v>39</v>
      </c>
      <c r="O713" s="7" t="s">
        <v>639</v>
      </c>
      <c r="P713" s="7" t="s">
        <v>639</v>
      </c>
      <c r="Q713" s="7" t="s">
        <v>2072</v>
      </c>
      <c r="R713" t="s">
        <v>3631</v>
      </c>
    </row>
    <row r="714" spans="1:20" x14ac:dyDescent="0.3">
      <c r="A714" s="7" t="str">
        <f>HYPERLINK("https://hsdes.intel.com/resource/14013164076","14013164076")</f>
        <v>14013164076</v>
      </c>
      <c r="B714" s="7" t="s">
        <v>2073</v>
      </c>
      <c r="C714" s="7" t="s">
        <v>845</v>
      </c>
      <c r="D714" s="7" t="s">
        <v>3612</v>
      </c>
      <c r="E714" s="7" t="s">
        <v>3617</v>
      </c>
      <c r="F714" s="8" t="s">
        <v>3628</v>
      </c>
      <c r="H714" s="7" t="s">
        <v>3619</v>
      </c>
      <c r="I714" s="7" t="s">
        <v>3622</v>
      </c>
      <c r="L714" s="7" t="s">
        <v>142</v>
      </c>
      <c r="M714" s="7" t="s">
        <v>9</v>
      </c>
      <c r="N714" s="7" t="s">
        <v>56</v>
      </c>
      <c r="O714" s="7" t="s">
        <v>1362</v>
      </c>
      <c r="P714" s="7" t="s">
        <v>1362</v>
      </c>
      <c r="Q714" s="7" t="s">
        <v>2074</v>
      </c>
      <c r="R714" t="s">
        <v>3632</v>
      </c>
    </row>
    <row r="715" spans="1:20" x14ac:dyDescent="0.3">
      <c r="A715" s="7" t="str">
        <f>HYPERLINK("https://hsdes.intel.com/resource/14013164099","14013164099")</f>
        <v>14013164099</v>
      </c>
      <c r="B715" s="7" t="s">
        <v>2075</v>
      </c>
      <c r="C715" s="7" t="s">
        <v>23</v>
      </c>
      <c r="D715" s="7" t="s">
        <v>3612</v>
      </c>
      <c r="E715" s="7" t="s">
        <v>3617</v>
      </c>
      <c r="F715" s="8" t="s">
        <v>3628</v>
      </c>
      <c r="H715" s="7" t="s">
        <v>3619</v>
      </c>
      <c r="I715" s="7" t="s">
        <v>3624</v>
      </c>
      <c r="L715" s="7" t="s">
        <v>24</v>
      </c>
      <c r="M715" s="7" t="s">
        <v>94</v>
      </c>
      <c r="N715" s="7" t="s">
        <v>25</v>
      </c>
      <c r="O715" s="7" t="s">
        <v>2076</v>
      </c>
      <c r="P715" s="7" t="s">
        <v>2076</v>
      </c>
      <c r="Q715" s="7" t="s">
        <v>2077</v>
      </c>
      <c r="R715" t="s">
        <v>3633</v>
      </c>
    </row>
    <row r="716" spans="1:20" x14ac:dyDescent="0.3">
      <c r="A716" s="7" t="str">
        <f>HYPERLINK("https://hsdes.intel.com/resource/14013164150","14013164150")</f>
        <v>14013164150</v>
      </c>
      <c r="B716" s="7" t="s">
        <v>2078</v>
      </c>
      <c r="C716" s="7" t="s">
        <v>212</v>
      </c>
      <c r="D716" s="7" t="s">
        <v>3612</v>
      </c>
      <c r="E716" s="7" t="s">
        <v>3617</v>
      </c>
      <c r="F716" s="8" t="s">
        <v>3628</v>
      </c>
      <c r="H716" s="7" t="s">
        <v>3618</v>
      </c>
      <c r="L716" s="7" t="s">
        <v>24</v>
      </c>
      <c r="M716" s="7" t="s">
        <v>9</v>
      </c>
      <c r="N716" s="7" t="s">
        <v>39</v>
      </c>
      <c r="O716" s="7" t="s">
        <v>2079</v>
      </c>
      <c r="P716" s="7" t="s">
        <v>2080</v>
      </c>
      <c r="Q716" s="7" t="s">
        <v>2081</v>
      </c>
      <c r="R716" t="s">
        <v>3633</v>
      </c>
    </row>
    <row r="717" spans="1:20" x14ac:dyDescent="0.3">
      <c r="A717" s="7" t="str">
        <f>HYPERLINK("https://hsdes.intel.com/resource/14013164188","14013164188")</f>
        <v>14013164188</v>
      </c>
      <c r="B717" s="7" t="s">
        <v>2082</v>
      </c>
      <c r="C717" s="7" t="s">
        <v>580</v>
      </c>
      <c r="D717" s="7" t="s">
        <v>3612</v>
      </c>
      <c r="E717" s="7" t="s">
        <v>3617</v>
      </c>
      <c r="F717" s="8" t="s">
        <v>3628</v>
      </c>
      <c r="H717" s="7" t="s">
        <v>3619</v>
      </c>
      <c r="I717" s="7" t="s">
        <v>3644</v>
      </c>
      <c r="L717" s="7" t="s">
        <v>8</v>
      </c>
      <c r="M717" s="7" t="s">
        <v>9</v>
      </c>
      <c r="N717" s="7" t="s">
        <v>39</v>
      </c>
      <c r="O717" s="7" t="s">
        <v>639</v>
      </c>
      <c r="P717" s="7" t="s">
        <v>639</v>
      </c>
      <c r="Q717" s="7" t="s">
        <v>2083</v>
      </c>
      <c r="R717" t="s">
        <v>3632</v>
      </c>
    </row>
    <row r="718" spans="1:20" x14ac:dyDescent="0.3">
      <c r="A718" s="7" t="str">
        <f>HYPERLINK("https://hsdes.intel.com/resource/14013164275","14013164275")</f>
        <v>14013164275</v>
      </c>
      <c r="B718" s="7" t="s">
        <v>2084</v>
      </c>
      <c r="C718" s="7" t="s">
        <v>845</v>
      </c>
      <c r="D718" s="7" t="s">
        <v>3612</v>
      </c>
      <c r="E718" s="7" t="s">
        <v>3617</v>
      </c>
      <c r="F718" s="8" t="s">
        <v>3628</v>
      </c>
      <c r="H718" s="7" t="s">
        <v>3619</v>
      </c>
      <c r="I718" s="7" t="s">
        <v>3622</v>
      </c>
      <c r="L718" s="7" t="s">
        <v>142</v>
      </c>
      <c r="M718" s="7" t="s">
        <v>9</v>
      </c>
      <c r="N718" s="7" t="s">
        <v>56</v>
      </c>
      <c r="O718" s="7" t="s">
        <v>2085</v>
      </c>
      <c r="P718" s="7" t="s">
        <v>776</v>
      </c>
      <c r="Q718" s="7" t="s">
        <v>2086</v>
      </c>
      <c r="R718" t="s">
        <v>3632</v>
      </c>
    </row>
    <row r="719" spans="1:20" x14ac:dyDescent="0.3">
      <c r="A719" s="7" t="str">
        <f>HYPERLINK("https://hsdes.intel.com/resource/14013164390","14013164390")</f>
        <v>14013164390</v>
      </c>
      <c r="B719" s="7" t="s">
        <v>2087</v>
      </c>
      <c r="C719" s="7" t="s">
        <v>845</v>
      </c>
      <c r="D719" s="7" t="s">
        <v>3612</v>
      </c>
      <c r="E719" s="7" t="s">
        <v>3617</v>
      </c>
      <c r="F719" s="8" t="s">
        <v>3628</v>
      </c>
      <c r="H719" s="7" t="s">
        <v>3619</v>
      </c>
      <c r="I719" s="7" t="s">
        <v>3622</v>
      </c>
      <c r="L719" s="7" t="s">
        <v>142</v>
      </c>
      <c r="M719" s="7" t="s">
        <v>9</v>
      </c>
      <c r="N719" s="7" t="s">
        <v>56</v>
      </c>
      <c r="O719" s="7" t="s">
        <v>1929</v>
      </c>
      <c r="P719" s="7" t="s">
        <v>2088</v>
      </c>
      <c r="Q719" s="7" t="s">
        <v>2089</v>
      </c>
      <c r="R719" t="s">
        <v>3631</v>
      </c>
    </row>
    <row r="720" spans="1:20" x14ac:dyDescent="0.3">
      <c r="A720" s="7" t="str">
        <f>HYPERLINK("https://hsdes.intel.com/resource/14013164736","14013164736")</f>
        <v>14013164736</v>
      </c>
      <c r="B720" s="7" t="s">
        <v>2090</v>
      </c>
      <c r="C720" s="7" t="s">
        <v>212</v>
      </c>
      <c r="D720" s="7" t="s">
        <v>3612</v>
      </c>
      <c r="E720" s="7" t="s">
        <v>3617</v>
      </c>
      <c r="F720" s="8" t="s">
        <v>3628</v>
      </c>
      <c r="H720" s="7" t="s">
        <v>3619</v>
      </c>
      <c r="I720" s="7" t="s">
        <v>3645</v>
      </c>
      <c r="L720" s="7" t="s">
        <v>24</v>
      </c>
      <c r="M720" s="7" t="s">
        <v>9</v>
      </c>
      <c r="N720" s="7" t="s">
        <v>39</v>
      </c>
      <c r="O720" s="7" t="s">
        <v>2091</v>
      </c>
      <c r="P720" s="7" t="s">
        <v>365</v>
      </c>
      <c r="Q720" s="7" t="s">
        <v>2092</v>
      </c>
      <c r="R720" t="s">
        <v>3632</v>
      </c>
      <c r="T720" s="22">
        <v>44819</v>
      </c>
    </row>
    <row r="721" spans="1:20" x14ac:dyDescent="0.3">
      <c r="A721" s="7" t="str">
        <f>HYPERLINK("https://hsdes.intel.com/resource/14013165066","14013165066")</f>
        <v>14013165066</v>
      </c>
      <c r="B721" s="7" t="s">
        <v>2093</v>
      </c>
      <c r="C721" s="7" t="s">
        <v>845</v>
      </c>
      <c r="D721" s="7" t="s">
        <v>3612</v>
      </c>
      <c r="E721" s="7" t="s">
        <v>3617</v>
      </c>
      <c r="F721" s="8" t="s">
        <v>3628</v>
      </c>
      <c r="H721" s="7" t="s">
        <v>3619</v>
      </c>
      <c r="I721" s="7" t="s">
        <v>3622</v>
      </c>
      <c r="L721" s="7" t="s">
        <v>142</v>
      </c>
      <c r="M721" s="7" t="s">
        <v>94</v>
      </c>
      <c r="N721" s="7" t="s">
        <v>56</v>
      </c>
      <c r="O721" s="7" t="s">
        <v>2094</v>
      </c>
      <c r="P721" s="7" t="s">
        <v>709</v>
      </c>
      <c r="Q721" s="7" t="s">
        <v>2095</v>
      </c>
      <c r="R721" t="s">
        <v>3632</v>
      </c>
    </row>
    <row r="722" spans="1:20" x14ac:dyDescent="0.3">
      <c r="A722" s="7" t="str">
        <f>HYPERLINK("https://hsdes.intel.com/resource/14013165131","14013165131")</f>
        <v>14013165131</v>
      </c>
      <c r="B722" s="7" t="s">
        <v>2096</v>
      </c>
      <c r="C722" s="7" t="s">
        <v>7</v>
      </c>
      <c r="D722" s="7" t="s">
        <v>3612</v>
      </c>
      <c r="E722" s="7" t="s">
        <v>3617</v>
      </c>
      <c r="F722" s="8" t="s">
        <v>3628</v>
      </c>
      <c r="H722" s="16" t="s">
        <v>3619</v>
      </c>
      <c r="I722" s="7" t="s">
        <v>3622</v>
      </c>
      <c r="L722" s="7" t="s">
        <v>8</v>
      </c>
      <c r="M722" s="7" t="s">
        <v>9</v>
      </c>
      <c r="N722" s="7" t="s">
        <v>2097</v>
      </c>
      <c r="O722" s="7" t="s">
        <v>2098</v>
      </c>
      <c r="P722" s="7" t="s">
        <v>1923</v>
      </c>
      <c r="Q722" s="7" t="s">
        <v>2099</v>
      </c>
      <c r="R722" t="s">
        <v>3632</v>
      </c>
    </row>
    <row r="723" spans="1:20" x14ac:dyDescent="0.3">
      <c r="A723" s="7" t="str">
        <f>HYPERLINK("https://hsdes.intel.com/resource/14013165152","14013165152")</f>
        <v>14013165152</v>
      </c>
      <c r="B723" s="7" t="s">
        <v>2100</v>
      </c>
      <c r="C723" s="7" t="s">
        <v>7</v>
      </c>
      <c r="D723" s="7" t="s">
        <v>3612</v>
      </c>
      <c r="E723" s="7" t="s">
        <v>3617</v>
      </c>
      <c r="F723" s="8" t="s">
        <v>3628</v>
      </c>
      <c r="H723" s="16" t="s">
        <v>3619</v>
      </c>
      <c r="I723" s="7" t="s">
        <v>3622</v>
      </c>
      <c r="L723" s="7" t="s">
        <v>8</v>
      </c>
      <c r="M723" s="7" t="s">
        <v>9</v>
      </c>
      <c r="N723" s="7" t="s">
        <v>10</v>
      </c>
      <c r="O723" s="7" t="s">
        <v>693</v>
      </c>
      <c r="P723" s="7" t="s">
        <v>2101</v>
      </c>
      <c r="Q723" s="7" t="s">
        <v>2102</v>
      </c>
      <c r="R723" t="s">
        <v>3633</v>
      </c>
    </row>
    <row r="724" spans="1:20" x14ac:dyDescent="0.3">
      <c r="A724" s="7" t="str">
        <f>HYPERLINK("https://hsdes.intel.com/resource/14013165178","14013165178")</f>
        <v>14013165178</v>
      </c>
      <c r="B724" s="7" t="s">
        <v>2103</v>
      </c>
      <c r="C724" s="7" t="s">
        <v>7</v>
      </c>
      <c r="D724" s="7" t="s">
        <v>3612</v>
      </c>
      <c r="E724" s="7" t="s">
        <v>3617</v>
      </c>
      <c r="F724" s="8" t="s">
        <v>3628</v>
      </c>
      <c r="H724" s="7" t="s">
        <v>3619</v>
      </c>
      <c r="I724" s="7" t="s">
        <v>3640</v>
      </c>
      <c r="L724" s="7" t="s">
        <v>8</v>
      </c>
      <c r="M724" s="7" t="s">
        <v>9</v>
      </c>
      <c r="N724" s="7" t="s">
        <v>10</v>
      </c>
      <c r="O724" s="7" t="s">
        <v>2104</v>
      </c>
      <c r="P724" s="7" t="s">
        <v>1224</v>
      </c>
      <c r="Q724" s="7" t="s">
        <v>2105</v>
      </c>
      <c r="R724" t="s">
        <v>3633</v>
      </c>
    </row>
    <row r="725" spans="1:20" x14ac:dyDescent="0.3">
      <c r="A725" s="7" t="str">
        <f>HYPERLINK("https://hsdes.intel.com/resource/14013165184","14013165184")</f>
        <v>14013165184</v>
      </c>
      <c r="B725" s="7" t="s">
        <v>2106</v>
      </c>
      <c r="C725" s="7" t="s">
        <v>7</v>
      </c>
      <c r="D725" s="7" t="s">
        <v>3613</v>
      </c>
      <c r="E725" s="7" t="s">
        <v>3617</v>
      </c>
      <c r="F725" s="8" t="s">
        <v>3628</v>
      </c>
      <c r="H725" s="7" t="s">
        <v>3619</v>
      </c>
      <c r="I725" s="7" t="s">
        <v>3640</v>
      </c>
      <c r="L725" s="7" t="s">
        <v>8</v>
      </c>
      <c r="M725" s="7" t="s">
        <v>9</v>
      </c>
      <c r="N725" s="7" t="s">
        <v>10</v>
      </c>
      <c r="O725" s="7" t="s">
        <v>2107</v>
      </c>
      <c r="P725" s="7" t="s">
        <v>1224</v>
      </c>
      <c r="Q725" s="7" t="s">
        <v>2108</v>
      </c>
      <c r="R725" t="s">
        <v>3633</v>
      </c>
    </row>
    <row r="726" spans="1:20" x14ac:dyDescent="0.3">
      <c r="A726" s="7" t="str">
        <f>HYPERLINK("https://hsdes.intel.com/resource/14013165195","14013165195")</f>
        <v>14013165195</v>
      </c>
      <c r="B726" s="7" t="s">
        <v>2109</v>
      </c>
      <c r="C726" s="7" t="s">
        <v>133</v>
      </c>
      <c r="D726" s="7" t="s">
        <v>3612</v>
      </c>
      <c r="E726" s="7" t="s">
        <v>3617</v>
      </c>
      <c r="F726" s="8" t="s">
        <v>3628</v>
      </c>
      <c r="H726" s="7" t="s">
        <v>3619</v>
      </c>
      <c r="I726" s="7" t="s">
        <v>3649</v>
      </c>
      <c r="L726" s="7" t="s">
        <v>24</v>
      </c>
      <c r="M726" s="7" t="s">
        <v>94</v>
      </c>
      <c r="N726" s="7" t="s">
        <v>39</v>
      </c>
      <c r="O726" s="7" t="s">
        <v>2110</v>
      </c>
      <c r="P726" s="7" t="s">
        <v>2110</v>
      </c>
      <c r="Q726" s="7" t="s">
        <v>2111</v>
      </c>
      <c r="R726" t="s">
        <v>3632</v>
      </c>
    </row>
    <row r="727" spans="1:20" x14ac:dyDescent="0.3">
      <c r="A727" s="9" t="str">
        <f>HYPERLINK("https://hsdes.intel.com/resource/14013165215","14013165215")</f>
        <v>14013165215</v>
      </c>
      <c r="B727" s="7" t="s">
        <v>2112</v>
      </c>
      <c r="C727" s="7" t="s">
        <v>7</v>
      </c>
      <c r="D727" s="7" t="s">
        <v>3612</v>
      </c>
      <c r="E727" s="7" t="s">
        <v>3617</v>
      </c>
      <c r="F727" s="8" t="s">
        <v>3628</v>
      </c>
      <c r="H727" s="7" t="s">
        <v>3620</v>
      </c>
      <c r="I727" s="7" t="s">
        <v>3647</v>
      </c>
      <c r="L727" s="7" t="s">
        <v>8</v>
      </c>
      <c r="M727" s="7" t="s">
        <v>9</v>
      </c>
      <c r="N727" s="7" t="s">
        <v>10</v>
      </c>
      <c r="O727" s="7" t="s">
        <v>2113</v>
      </c>
      <c r="P727" s="7" t="s">
        <v>1293</v>
      </c>
      <c r="Q727" s="7" t="s">
        <v>2114</v>
      </c>
      <c r="R727" t="s">
        <v>3633</v>
      </c>
      <c r="T727" s="22">
        <v>44823</v>
      </c>
    </row>
    <row r="728" spans="1:20" x14ac:dyDescent="0.3">
      <c r="A728" s="7" t="str">
        <f>HYPERLINK("https://hsdes.intel.com/resource/14013165220","14013165220")</f>
        <v>14013165220</v>
      </c>
      <c r="B728" s="7" t="s">
        <v>2115</v>
      </c>
      <c r="C728" s="7" t="s">
        <v>7</v>
      </c>
      <c r="D728" s="7" t="s">
        <v>3613</v>
      </c>
      <c r="E728" s="7" t="s">
        <v>3617</v>
      </c>
      <c r="F728" s="8" t="s">
        <v>3628</v>
      </c>
      <c r="H728" s="7" t="s">
        <v>3620</v>
      </c>
      <c r="I728" s="7" t="s">
        <v>3647</v>
      </c>
      <c r="L728" s="7" t="s">
        <v>8</v>
      </c>
      <c r="M728" s="7" t="s">
        <v>9</v>
      </c>
      <c r="N728" s="7" t="s">
        <v>10</v>
      </c>
      <c r="O728" s="7" t="s">
        <v>2107</v>
      </c>
      <c r="P728" s="7" t="s">
        <v>1293</v>
      </c>
      <c r="Q728" s="7" t="s">
        <v>2116</v>
      </c>
      <c r="R728" t="s">
        <v>3633</v>
      </c>
      <c r="T728" s="22">
        <v>44823</v>
      </c>
    </row>
    <row r="729" spans="1:20" x14ac:dyDescent="0.3">
      <c r="A729" s="7" t="str">
        <f>HYPERLINK("https://hsdes.intel.com/resource/14013165230","14013165230")</f>
        <v>14013165230</v>
      </c>
      <c r="B729" s="7" t="s">
        <v>2117</v>
      </c>
      <c r="C729" s="7" t="s">
        <v>7</v>
      </c>
      <c r="D729" s="7" t="s">
        <v>3612</v>
      </c>
      <c r="E729" s="7" t="s">
        <v>3617</v>
      </c>
      <c r="F729" s="8" t="s">
        <v>3628</v>
      </c>
      <c r="H729" s="7" t="s">
        <v>3620</v>
      </c>
      <c r="I729" s="7" t="s">
        <v>3647</v>
      </c>
      <c r="L729" s="7" t="s">
        <v>8</v>
      </c>
      <c r="M729" s="7" t="s">
        <v>9</v>
      </c>
      <c r="N729" s="7" t="s">
        <v>10</v>
      </c>
      <c r="O729" s="7" t="s">
        <v>2118</v>
      </c>
      <c r="P729" s="7" t="s">
        <v>2119</v>
      </c>
      <c r="Q729" s="7" t="s">
        <v>2120</v>
      </c>
      <c r="R729" t="s">
        <v>3633</v>
      </c>
      <c r="T729" s="22">
        <v>44823</v>
      </c>
    </row>
    <row r="730" spans="1:20" x14ac:dyDescent="0.3">
      <c r="A730" s="7" t="str">
        <f>HYPERLINK("https://hsdes.intel.com/resource/14013165239","14013165239")</f>
        <v>14013165239</v>
      </c>
      <c r="B730" s="7" t="s">
        <v>2121</v>
      </c>
      <c r="C730" s="7" t="s">
        <v>7</v>
      </c>
      <c r="D730" s="7" t="s">
        <v>3613</v>
      </c>
      <c r="E730" s="7" t="s">
        <v>3617</v>
      </c>
      <c r="F730" s="8" t="s">
        <v>3628</v>
      </c>
      <c r="H730" s="7" t="s">
        <v>3620</v>
      </c>
      <c r="I730" s="7" t="s">
        <v>3647</v>
      </c>
      <c r="L730" s="7" t="s">
        <v>8</v>
      </c>
      <c r="M730" s="7" t="s">
        <v>9</v>
      </c>
      <c r="N730" s="7" t="s">
        <v>10</v>
      </c>
      <c r="O730" s="7" t="s">
        <v>2107</v>
      </c>
      <c r="P730" s="7" t="s">
        <v>2119</v>
      </c>
      <c r="Q730" s="7" t="s">
        <v>2122</v>
      </c>
      <c r="R730" t="s">
        <v>3633</v>
      </c>
      <c r="T730" s="22">
        <v>44823</v>
      </c>
    </row>
    <row r="731" spans="1:20" x14ac:dyDescent="0.3">
      <c r="A731" s="7" t="str">
        <f>HYPERLINK("https://hsdes.intel.com/resource/14013165248","14013165248")</f>
        <v>14013165248</v>
      </c>
      <c r="B731" s="7" t="s">
        <v>2123</v>
      </c>
      <c r="C731" s="7" t="s">
        <v>7</v>
      </c>
      <c r="D731" s="7" t="s">
        <v>3612</v>
      </c>
      <c r="E731" s="7" t="s">
        <v>3617</v>
      </c>
      <c r="F731" s="8" t="s">
        <v>3628</v>
      </c>
      <c r="H731" s="7" t="s">
        <v>3620</v>
      </c>
      <c r="I731" s="7" t="s">
        <v>3647</v>
      </c>
      <c r="L731" s="7" t="s">
        <v>8</v>
      </c>
      <c r="M731" s="7" t="s">
        <v>9</v>
      </c>
      <c r="N731" s="7" t="s">
        <v>10</v>
      </c>
      <c r="O731" s="7" t="s">
        <v>2113</v>
      </c>
      <c r="P731" s="7" t="s">
        <v>2124</v>
      </c>
      <c r="Q731" s="7" t="s">
        <v>2125</v>
      </c>
      <c r="R731" t="s">
        <v>3633</v>
      </c>
      <c r="T731" s="22">
        <v>44823</v>
      </c>
    </row>
    <row r="732" spans="1:20" x14ac:dyDescent="0.3">
      <c r="A732" s="7" t="str">
        <f>HYPERLINK("https://hsdes.intel.com/resource/14013165251","14013165251")</f>
        <v>14013165251</v>
      </c>
      <c r="B732" s="7" t="s">
        <v>2126</v>
      </c>
      <c r="C732" s="7" t="s">
        <v>7</v>
      </c>
      <c r="D732" s="7" t="s">
        <v>3613</v>
      </c>
      <c r="E732" s="7" t="s">
        <v>3617</v>
      </c>
      <c r="F732" s="8" t="s">
        <v>3628</v>
      </c>
      <c r="H732" s="7" t="s">
        <v>3620</v>
      </c>
      <c r="I732" s="7" t="s">
        <v>3647</v>
      </c>
      <c r="L732" s="7" t="s">
        <v>8</v>
      </c>
      <c r="M732" s="7" t="s">
        <v>9</v>
      </c>
      <c r="N732" s="7" t="s">
        <v>10</v>
      </c>
      <c r="O732" s="7" t="s">
        <v>2107</v>
      </c>
      <c r="P732" s="7" t="s">
        <v>2124</v>
      </c>
      <c r="Q732" s="7" t="s">
        <v>2127</v>
      </c>
      <c r="R732" t="s">
        <v>3633</v>
      </c>
      <c r="T732" s="22">
        <v>44823</v>
      </c>
    </row>
    <row r="733" spans="1:20" x14ac:dyDescent="0.3">
      <c r="A733" s="7" t="str">
        <f>HYPERLINK("https://hsdes.intel.com/resource/14013165266","14013165266")</f>
        <v>14013165266</v>
      </c>
      <c r="B733" s="7" t="s">
        <v>2128</v>
      </c>
      <c r="C733" s="7" t="s">
        <v>7</v>
      </c>
      <c r="D733" s="7" t="s">
        <v>3612</v>
      </c>
      <c r="E733" s="7" t="s">
        <v>3617</v>
      </c>
      <c r="F733" s="8" t="s">
        <v>3628</v>
      </c>
      <c r="H733" s="7" t="s">
        <v>3620</v>
      </c>
      <c r="I733" s="7" t="s">
        <v>3647</v>
      </c>
      <c r="L733" s="7" t="s">
        <v>8</v>
      </c>
      <c r="M733" s="7" t="s">
        <v>9</v>
      </c>
      <c r="N733" s="7" t="s">
        <v>10</v>
      </c>
      <c r="O733" s="7" t="s">
        <v>2104</v>
      </c>
      <c r="P733" s="7" t="s">
        <v>2129</v>
      </c>
      <c r="Q733" s="7" t="s">
        <v>2130</v>
      </c>
      <c r="R733" t="s">
        <v>3633</v>
      </c>
      <c r="T733" s="22">
        <v>44823</v>
      </c>
    </row>
    <row r="734" spans="1:20" x14ac:dyDescent="0.3">
      <c r="A734" s="7" t="str">
        <f>HYPERLINK("https://hsdes.intel.com/resource/14013165268","14013165268")</f>
        <v>14013165268</v>
      </c>
      <c r="B734" s="7" t="s">
        <v>2131</v>
      </c>
      <c r="C734" s="7" t="s">
        <v>7</v>
      </c>
      <c r="D734" s="7" t="s">
        <v>3613</v>
      </c>
      <c r="E734" s="7" t="s">
        <v>3617</v>
      </c>
      <c r="F734" s="8" t="s">
        <v>3628</v>
      </c>
      <c r="H734" s="7" t="s">
        <v>3620</v>
      </c>
      <c r="I734" s="7" t="s">
        <v>3647</v>
      </c>
      <c r="L734" s="7" t="s">
        <v>8</v>
      </c>
      <c r="M734" s="7" t="s">
        <v>9</v>
      </c>
      <c r="N734" s="7" t="s">
        <v>10</v>
      </c>
      <c r="O734" s="7" t="s">
        <v>2107</v>
      </c>
      <c r="P734" s="7" t="s">
        <v>2129</v>
      </c>
      <c r="Q734" s="7" t="s">
        <v>2132</v>
      </c>
      <c r="R734" t="s">
        <v>3633</v>
      </c>
      <c r="T734" s="22">
        <v>44823</v>
      </c>
    </row>
    <row r="735" spans="1:20" x14ac:dyDescent="0.3">
      <c r="A735" s="7" t="str">
        <f>HYPERLINK("https://hsdes.intel.com/resource/14013165277","14013165277")</f>
        <v>14013165277</v>
      </c>
      <c r="B735" s="7" t="s">
        <v>2133</v>
      </c>
      <c r="C735" s="7" t="s">
        <v>7</v>
      </c>
      <c r="D735" s="7" t="s">
        <v>3612</v>
      </c>
      <c r="E735" s="7" t="s">
        <v>3617</v>
      </c>
      <c r="F735" s="8" t="s">
        <v>3628</v>
      </c>
      <c r="H735" s="7" t="s">
        <v>3620</v>
      </c>
      <c r="I735" s="7" t="s">
        <v>3647</v>
      </c>
      <c r="L735" s="7" t="s">
        <v>8</v>
      </c>
      <c r="M735" s="7" t="s">
        <v>9</v>
      </c>
      <c r="N735" s="7" t="s">
        <v>10</v>
      </c>
      <c r="O735" s="7" t="s">
        <v>2134</v>
      </c>
      <c r="P735" s="7" t="s">
        <v>2135</v>
      </c>
      <c r="Q735" s="7" t="s">
        <v>2136</v>
      </c>
      <c r="R735" t="s">
        <v>3633</v>
      </c>
      <c r="T735" s="22">
        <v>44823</v>
      </c>
    </row>
    <row r="736" spans="1:20" x14ac:dyDescent="0.3">
      <c r="A736" s="7" t="str">
        <f>HYPERLINK("https://hsdes.intel.com/resource/14013165279","14013165279")</f>
        <v>14013165279</v>
      </c>
      <c r="B736" s="7" t="s">
        <v>2137</v>
      </c>
      <c r="C736" s="7" t="s">
        <v>7</v>
      </c>
      <c r="D736" s="7" t="s">
        <v>3613</v>
      </c>
      <c r="E736" s="7" t="s">
        <v>3617</v>
      </c>
      <c r="F736" s="8" t="s">
        <v>3628</v>
      </c>
      <c r="H736" s="7" t="s">
        <v>3620</v>
      </c>
      <c r="I736" s="7" t="s">
        <v>3647</v>
      </c>
      <c r="L736" s="7" t="s">
        <v>8</v>
      </c>
      <c r="M736" s="7" t="s">
        <v>9</v>
      </c>
      <c r="N736" s="7" t="s">
        <v>10</v>
      </c>
      <c r="O736" s="7" t="s">
        <v>2107</v>
      </c>
      <c r="P736" s="7" t="s">
        <v>2135</v>
      </c>
      <c r="Q736" s="7" t="s">
        <v>2138</v>
      </c>
      <c r="R736" t="s">
        <v>3633</v>
      </c>
      <c r="T736" s="22">
        <v>44823</v>
      </c>
    </row>
    <row r="737" spans="1:20" x14ac:dyDescent="0.3">
      <c r="A737" s="7" t="str">
        <f>HYPERLINK("https://hsdes.intel.com/resource/14013165283","14013165283")</f>
        <v>14013165283</v>
      </c>
      <c r="B737" s="7" t="s">
        <v>2139</v>
      </c>
      <c r="C737" s="7" t="s">
        <v>7</v>
      </c>
      <c r="D737" s="7" t="s">
        <v>3612</v>
      </c>
      <c r="E737" s="7" t="s">
        <v>3617</v>
      </c>
      <c r="F737" s="8" t="s">
        <v>3628</v>
      </c>
      <c r="H737" s="7" t="s">
        <v>3620</v>
      </c>
      <c r="I737" s="7" t="s">
        <v>3647</v>
      </c>
      <c r="L737" s="7" t="s">
        <v>8</v>
      </c>
      <c r="M737" s="7" t="s">
        <v>9</v>
      </c>
      <c r="N737" s="7" t="s">
        <v>10</v>
      </c>
      <c r="O737" s="7" t="s">
        <v>2140</v>
      </c>
      <c r="P737" s="7" t="s">
        <v>2141</v>
      </c>
      <c r="Q737" s="7" t="s">
        <v>2142</v>
      </c>
      <c r="R737" t="s">
        <v>3633</v>
      </c>
      <c r="T737" s="22">
        <v>44823</v>
      </c>
    </row>
    <row r="738" spans="1:20" x14ac:dyDescent="0.3">
      <c r="A738" s="7" t="str">
        <f>HYPERLINK("https://hsdes.intel.com/resource/14013165285","14013165285")</f>
        <v>14013165285</v>
      </c>
      <c r="B738" s="7" t="s">
        <v>2143</v>
      </c>
      <c r="C738" s="7" t="s">
        <v>7</v>
      </c>
      <c r="D738" s="7" t="s">
        <v>3613</v>
      </c>
      <c r="E738" s="7" t="s">
        <v>3617</v>
      </c>
      <c r="F738" s="8" t="s">
        <v>3628</v>
      </c>
      <c r="H738" s="7" t="s">
        <v>3620</v>
      </c>
      <c r="I738" s="7" t="s">
        <v>3647</v>
      </c>
      <c r="L738" s="7" t="s">
        <v>8</v>
      </c>
      <c r="M738" s="7" t="s">
        <v>9</v>
      </c>
      <c r="N738" s="7" t="s">
        <v>10</v>
      </c>
      <c r="O738" s="7" t="s">
        <v>2107</v>
      </c>
      <c r="P738" s="7" t="s">
        <v>2141</v>
      </c>
      <c r="Q738" s="7" t="s">
        <v>2144</v>
      </c>
      <c r="R738" t="s">
        <v>3633</v>
      </c>
      <c r="T738" s="22">
        <v>44823</v>
      </c>
    </row>
    <row r="739" spans="1:20" x14ac:dyDescent="0.3">
      <c r="A739" s="7" t="str">
        <f>HYPERLINK("https://hsdes.intel.com/resource/14013165383","14013165383")</f>
        <v>14013165383</v>
      </c>
      <c r="B739" s="7" t="s">
        <v>2145</v>
      </c>
      <c r="C739" s="7" t="s">
        <v>7</v>
      </c>
      <c r="D739" s="7" t="s">
        <v>3612</v>
      </c>
      <c r="E739" s="7" t="s">
        <v>3617</v>
      </c>
      <c r="F739" s="8" t="s">
        <v>3628</v>
      </c>
      <c r="H739" s="7" t="s">
        <v>3620</v>
      </c>
      <c r="I739" s="7" t="s">
        <v>3647</v>
      </c>
      <c r="L739" s="7" t="s">
        <v>8</v>
      </c>
      <c r="M739" s="7" t="s">
        <v>9</v>
      </c>
      <c r="N739" s="7" t="s">
        <v>10</v>
      </c>
      <c r="O739" s="7" t="s">
        <v>2104</v>
      </c>
      <c r="P739" s="7" t="s">
        <v>2146</v>
      </c>
      <c r="Q739" s="7" t="s">
        <v>2147</v>
      </c>
      <c r="R739" t="s">
        <v>3631</v>
      </c>
      <c r="T739" s="22">
        <v>44823</v>
      </c>
    </row>
    <row r="740" spans="1:20" x14ac:dyDescent="0.3">
      <c r="A740" s="7" t="str">
        <f>HYPERLINK("https://hsdes.intel.com/resource/14013165391","14013165391")</f>
        <v>14013165391</v>
      </c>
      <c r="B740" s="7" t="s">
        <v>2148</v>
      </c>
      <c r="C740" s="7" t="s">
        <v>7</v>
      </c>
      <c r="D740" s="7" t="s">
        <v>3612</v>
      </c>
      <c r="E740" s="7" t="s">
        <v>3617</v>
      </c>
      <c r="F740" s="8" t="s">
        <v>3628</v>
      </c>
      <c r="H740" s="7" t="s">
        <v>3620</v>
      </c>
      <c r="I740" s="7" t="s">
        <v>3647</v>
      </c>
      <c r="L740" s="7" t="s">
        <v>8</v>
      </c>
      <c r="M740" s="7" t="s">
        <v>9</v>
      </c>
      <c r="N740" s="7" t="s">
        <v>10</v>
      </c>
      <c r="O740" s="7" t="s">
        <v>2104</v>
      </c>
      <c r="P740" s="7" t="s">
        <v>1274</v>
      </c>
      <c r="Q740" s="7" t="s">
        <v>2149</v>
      </c>
      <c r="R740" t="s">
        <v>3631</v>
      </c>
      <c r="T740" s="22">
        <v>44823</v>
      </c>
    </row>
    <row r="741" spans="1:20" x14ac:dyDescent="0.3">
      <c r="A741" s="7" t="str">
        <f>HYPERLINK("https://hsdes.intel.com/resource/14013165397","14013165397")</f>
        <v>14013165397</v>
      </c>
      <c r="B741" s="7" t="s">
        <v>2150</v>
      </c>
      <c r="C741" s="7" t="s">
        <v>7</v>
      </c>
      <c r="D741" s="7" t="s">
        <v>3612</v>
      </c>
      <c r="E741" s="7" t="s">
        <v>3617</v>
      </c>
      <c r="F741" s="8" t="s">
        <v>3628</v>
      </c>
      <c r="H741" s="7" t="s">
        <v>3620</v>
      </c>
      <c r="I741" s="7" t="s">
        <v>3647</v>
      </c>
      <c r="L741" s="7" t="s">
        <v>8</v>
      </c>
      <c r="M741" s="7" t="s">
        <v>9</v>
      </c>
      <c r="N741" s="7" t="s">
        <v>10</v>
      </c>
      <c r="O741" s="7" t="s">
        <v>2104</v>
      </c>
      <c r="P741" s="7" t="s">
        <v>2151</v>
      </c>
      <c r="Q741" s="7" t="s">
        <v>2152</v>
      </c>
      <c r="R741" t="s">
        <v>3631</v>
      </c>
      <c r="T741" s="22">
        <v>44823</v>
      </c>
    </row>
    <row r="742" spans="1:20" x14ac:dyDescent="0.3">
      <c r="A742" s="7" t="str">
        <f>HYPERLINK("https://hsdes.intel.com/resource/14013165401","14013165401")</f>
        <v>14013165401</v>
      </c>
      <c r="B742" s="7" t="s">
        <v>2153</v>
      </c>
      <c r="C742" s="7" t="s">
        <v>7</v>
      </c>
      <c r="D742" s="7" t="s">
        <v>3612</v>
      </c>
      <c r="E742" s="7" t="s">
        <v>3617</v>
      </c>
      <c r="F742" s="8" t="s">
        <v>3628</v>
      </c>
      <c r="H742" s="7" t="s">
        <v>3620</v>
      </c>
      <c r="I742" s="7" t="s">
        <v>3647</v>
      </c>
      <c r="L742" s="7" t="s">
        <v>8</v>
      </c>
      <c r="M742" s="7" t="s">
        <v>9</v>
      </c>
      <c r="N742" s="7" t="s">
        <v>10</v>
      </c>
      <c r="O742" s="7" t="s">
        <v>2104</v>
      </c>
      <c r="P742" s="7" t="s">
        <v>2118</v>
      </c>
      <c r="Q742" s="7" t="s">
        <v>2154</v>
      </c>
      <c r="R742" t="s">
        <v>3631</v>
      </c>
      <c r="T742" s="22">
        <v>44823</v>
      </c>
    </row>
    <row r="743" spans="1:20" x14ac:dyDescent="0.3">
      <c r="A743" s="7" t="str">
        <f>HYPERLINK("https://hsdes.intel.com/resource/14013165406","14013165406")</f>
        <v>14013165406</v>
      </c>
      <c r="B743" s="7" t="s">
        <v>2155</v>
      </c>
      <c r="C743" s="7" t="s">
        <v>7</v>
      </c>
      <c r="D743" s="7" t="s">
        <v>3612</v>
      </c>
      <c r="E743" s="7" t="s">
        <v>3617</v>
      </c>
      <c r="F743" s="8" t="s">
        <v>3628</v>
      </c>
      <c r="H743" s="7" t="s">
        <v>3620</v>
      </c>
      <c r="I743" s="7" t="s">
        <v>3647</v>
      </c>
      <c r="L743" s="7" t="s">
        <v>8</v>
      </c>
      <c r="M743" s="7" t="s">
        <v>9</v>
      </c>
      <c r="N743" s="7" t="s">
        <v>10</v>
      </c>
      <c r="O743" s="7" t="s">
        <v>2104</v>
      </c>
      <c r="P743" s="7" t="s">
        <v>2156</v>
      </c>
      <c r="Q743" s="7" t="s">
        <v>2157</v>
      </c>
      <c r="R743" t="s">
        <v>3631</v>
      </c>
      <c r="T743" s="22">
        <v>44823</v>
      </c>
    </row>
    <row r="744" spans="1:20" x14ac:dyDescent="0.3">
      <c r="A744" s="7" t="str">
        <f>HYPERLINK("https://hsdes.intel.com/resource/14013165413","14013165413")</f>
        <v>14013165413</v>
      </c>
      <c r="B744" s="7" t="s">
        <v>2158</v>
      </c>
      <c r="C744" s="7" t="s">
        <v>7</v>
      </c>
      <c r="D744" s="7" t="s">
        <v>3612</v>
      </c>
      <c r="E744" s="7" t="s">
        <v>3617</v>
      </c>
      <c r="F744" s="8" t="s">
        <v>3628</v>
      </c>
      <c r="H744" s="7" t="s">
        <v>3620</v>
      </c>
      <c r="I744" s="7" t="s">
        <v>3647</v>
      </c>
      <c r="L744" s="7" t="s">
        <v>8</v>
      </c>
      <c r="M744" s="7" t="s">
        <v>9</v>
      </c>
      <c r="N744" s="7" t="s">
        <v>10</v>
      </c>
      <c r="O744" s="7" t="s">
        <v>2104</v>
      </c>
      <c r="P744" s="7" t="s">
        <v>2140</v>
      </c>
      <c r="Q744" s="7" t="s">
        <v>2159</v>
      </c>
      <c r="R744" t="s">
        <v>3631</v>
      </c>
      <c r="T744" s="22">
        <v>44823</v>
      </c>
    </row>
    <row r="745" spans="1:20" x14ac:dyDescent="0.3">
      <c r="A745" s="7" t="str">
        <f>HYPERLINK("https://hsdes.intel.com/resource/14013165418","14013165418")</f>
        <v>14013165418</v>
      </c>
      <c r="B745" s="7" t="s">
        <v>2160</v>
      </c>
      <c r="C745" s="7" t="s">
        <v>7</v>
      </c>
      <c r="D745" s="7" t="s">
        <v>3612</v>
      </c>
      <c r="E745" s="7" t="s">
        <v>3617</v>
      </c>
      <c r="F745" s="8" t="s">
        <v>3628</v>
      </c>
      <c r="H745" s="7" t="s">
        <v>3619</v>
      </c>
      <c r="I745" s="7" t="s">
        <v>3640</v>
      </c>
      <c r="L745" s="7" t="s">
        <v>8</v>
      </c>
      <c r="M745" s="7" t="s">
        <v>9</v>
      </c>
      <c r="N745" s="7" t="s">
        <v>10</v>
      </c>
      <c r="O745" s="7" t="s">
        <v>2104</v>
      </c>
      <c r="P745" s="7" t="s">
        <v>2104</v>
      </c>
      <c r="Q745" s="7" t="s">
        <v>2161</v>
      </c>
      <c r="R745" t="s">
        <v>3631</v>
      </c>
    </row>
    <row r="746" spans="1:20" x14ac:dyDescent="0.3">
      <c r="A746" s="7" t="str">
        <f>HYPERLINK("https://hsdes.intel.com/resource/14013165427","14013165427")</f>
        <v>14013165427</v>
      </c>
      <c r="B746" s="7" t="s">
        <v>2162</v>
      </c>
      <c r="C746" s="7" t="s">
        <v>7</v>
      </c>
      <c r="D746" s="7" t="s">
        <v>3612</v>
      </c>
      <c r="E746" s="7" t="s">
        <v>3617</v>
      </c>
      <c r="F746" s="8" t="s">
        <v>3628</v>
      </c>
      <c r="H746" s="7" t="s">
        <v>3620</v>
      </c>
      <c r="I746" s="7" t="s">
        <v>3647</v>
      </c>
      <c r="L746" s="7" t="s">
        <v>8</v>
      </c>
      <c r="M746" s="7" t="s">
        <v>9</v>
      </c>
      <c r="N746" s="7" t="s">
        <v>10</v>
      </c>
      <c r="O746" s="7" t="s">
        <v>2104</v>
      </c>
      <c r="P746" s="7" t="s">
        <v>2151</v>
      </c>
      <c r="Q746" s="7" t="s">
        <v>2163</v>
      </c>
      <c r="R746" t="s">
        <v>3631</v>
      </c>
      <c r="T746" s="22">
        <v>44823</v>
      </c>
    </row>
    <row r="747" spans="1:20" x14ac:dyDescent="0.3">
      <c r="A747" s="7" t="str">
        <f>HYPERLINK("https://hsdes.intel.com/resource/14013165430","14013165430")</f>
        <v>14013165430</v>
      </c>
      <c r="B747" s="7" t="s">
        <v>2164</v>
      </c>
      <c r="C747" s="7" t="s">
        <v>7</v>
      </c>
      <c r="D747" s="7" t="s">
        <v>3612</v>
      </c>
      <c r="E747" s="7" t="s">
        <v>3617</v>
      </c>
      <c r="F747" s="8" t="s">
        <v>3628</v>
      </c>
      <c r="H747" s="7" t="s">
        <v>3620</v>
      </c>
      <c r="I747" s="7" t="s">
        <v>3647</v>
      </c>
      <c r="L747" s="7" t="s">
        <v>8</v>
      </c>
      <c r="M747" s="7" t="s">
        <v>9</v>
      </c>
      <c r="N747" s="7" t="s">
        <v>10</v>
      </c>
      <c r="O747" s="7" t="s">
        <v>2104</v>
      </c>
      <c r="P747" s="7" t="s">
        <v>2118</v>
      </c>
      <c r="Q747" s="7" t="s">
        <v>2165</v>
      </c>
      <c r="R747" t="s">
        <v>3631</v>
      </c>
      <c r="T747" s="22">
        <v>44823</v>
      </c>
    </row>
    <row r="748" spans="1:20" x14ac:dyDescent="0.3">
      <c r="A748" s="7" t="str">
        <f>HYPERLINK("https://hsdes.intel.com/resource/14013165431","14013165431")</f>
        <v>14013165431</v>
      </c>
      <c r="B748" s="7" t="s">
        <v>2166</v>
      </c>
      <c r="C748" s="7" t="s">
        <v>7</v>
      </c>
      <c r="D748" s="7" t="s">
        <v>3612</v>
      </c>
      <c r="E748" s="7" t="s">
        <v>3617</v>
      </c>
      <c r="F748" s="8" t="s">
        <v>3628</v>
      </c>
      <c r="H748" s="7" t="s">
        <v>3620</v>
      </c>
      <c r="I748" s="7" t="s">
        <v>3647</v>
      </c>
      <c r="L748" s="7" t="s">
        <v>8</v>
      </c>
      <c r="M748" s="7" t="s">
        <v>9</v>
      </c>
      <c r="N748" s="7" t="s">
        <v>10</v>
      </c>
      <c r="O748" s="7" t="s">
        <v>2104</v>
      </c>
      <c r="P748" s="7" t="s">
        <v>2151</v>
      </c>
      <c r="Q748" s="7" t="s">
        <v>2167</v>
      </c>
      <c r="R748" t="s">
        <v>3631</v>
      </c>
      <c r="T748" s="22">
        <v>44823</v>
      </c>
    </row>
    <row r="749" spans="1:20" x14ac:dyDescent="0.3">
      <c r="A749" s="7" t="str">
        <f>HYPERLINK("https://hsdes.intel.com/resource/14013165436","14013165436")</f>
        <v>14013165436</v>
      </c>
      <c r="B749" s="7" t="s">
        <v>2168</v>
      </c>
      <c r="C749" s="7" t="s">
        <v>7</v>
      </c>
      <c r="D749" s="7" t="s">
        <v>3612</v>
      </c>
      <c r="E749" s="7" t="s">
        <v>3617</v>
      </c>
      <c r="F749" s="8" t="s">
        <v>3628</v>
      </c>
      <c r="H749" s="7" t="s">
        <v>3620</v>
      </c>
      <c r="I749" s="7" t="s">
        <v>3647</v>
      </c>
      <c r="L749" s="7" t="s">
        <v>8</v>
      </c>
      <c r="M749" s="7" t="s">
        <v>9</v>
      </c>
      <c r="N749" s="7" t="s">
        <v>10</v>
      </c>
      <c r="O749" s="7" t="s">
        <v>2104</v>
      </c>
      <c r="P749" s="7" t="s">
        <v>2118</v>
      </c>
      <c r="Q749" s="7" t="s">
        <v>2169</v>
      </c>
      <c r="R749" t="s">
        <v>3631</v>
      </c>
      <c r="T749" s="22">
        <v>44823</v>
      </c>
    </row>
    <row r="750" spans="1:20" x14ac:dyDescent="0.3">
      <c r="A750" s="7" t="str">
        <f>HYPERLINK("https://hsdes.intel.com/resource/14013165438","14013165438")</f>
        <v>14013165438</v>
      </c>
      <c r="B750" s="7" t="s">
        <v>2170</v>
      </c>
      <c r="C750" s="7" t="s">
        <v>7</v>
      </c>
      <c r="D750" s="7" t="s">
        <v>3612</v>
      </c>
      <c r="E750" s="7" t="s">
        <v>3617</v>
      </c>
      <c r="F750" s="8" t="s">
        <v>3628</v>
      </c>
      <c r="H750" s="7" t="s">
        <v>3620</v>
      </c>
      <c r="I750" s="7" t="s">
        <v>3647</v>
      </c>
      <c r="L750" s="7" t="s">
        <v>8</v>
      </c>
      <c r="M750" s="7" t="s">
        <v>9</v>
      </c>
      <c r="N750" s="7" t="s">
        <v>10</v>
      </c>
      <c r="O750" s="7" t="s">
        <v>2104</v>
      </c>
      <c r="P750" s="7" t="s">
        <v>2156</v>
      </c>
      <c r="Q750" s="7" t="s">
        <v>2171</v>
      </c>
      <c r="R750" t="s">
        <v>3631</v>
      </c>
      <c r="T750" s="22">
        <v>44823</v>
      </c>
    </row>
    <row r="751" spans="1:20" x14ac:dyDescent="0.3">
      <c r="A751" s="7" t="str">
        <f>HYPERLINK("https://hsdes.intel.com/resource/14013165440","14013165440")</f>
        <v>14013165440</v>
      </c>
      <c r="B751" s="7" t="s">
        <v>2172</v>
      </c>
      <c r="C751" s="7" t="s">
        <v>7</v>
      </c>
      <c r="D751" s="7" t="s">
        <v>3612</v>
      </c>
      <c r="E751" s="7" t="s">
        <v>3617</v>
      </c>
      <c r="F751" s="8" t="s">
        <v>3628</v>
      </c>
      <c r="H751" s="7" t="s">
        <v>3620</v>
      </c>
      <c r="I751" s="7" t="s">
        <v>3647</v>
      </c>
      <c r="L751" s="7" t="s">
        <v>8</v>
      </c>
      <c r="M751" s="7" t="s">
        <v>9</v>
      </c>
      <c r="N751" s="7" t="s">
        <v>10</v>
      </c>
      <c r="O751" s="7" t="s">
        <v>2104</v>
      </c>
      <c r="P751" s="7" t="s">
        <v>2140</v>
      </c>
      <c r="Q751" s="7" t="s">
        <v>2173</v>
      </c>
      <c r="R751" t="s">
        <v>3631</v>
      </c>
      <c r="T751" s="22">
        <v>44823</v>
      </c>
    </row>
    <row r="752" spans="1:20" x14ac:dyDescent="0.3">
      <c r="A752" s="7" t="str">
        <f>HYPERLINK("https://hsdes.intel.com/resource/14013165443","14013165443")</f>
        <v>14013165443</v>
      </c>
      <c r="B752" s="7" t="s">
        <v>2174</v>
      </c>
      <c r="C752" s="7" t="s">
        <v>7</v>
      </c>
      <c r="D752" s="7" t="s">
        <v>3612</v>
      </c>
      <c r="E752" s="7" t="s">
        <v>3617</v>
      </c>
      <c r="F752" s="8" t="s">
        <v>3628</v>
      </c>
      <c r="H752" s="7" t="s">
        <v>3619</v>
      </c>
      <c r="I752" s="7" t="s">
        <v>3640</v>
      </c>
      <c r="L752" s="7" t="s">
        <v>8</v>
      </c>
      <c r="M752" s="7" t="s">
        <v>9</v>
      </c>
      <c r="N752" s="7" t="s">
        <v>10</v>
      </c>
      <c r="O752" s="7" t="s">
        <v>2104</v>
      </c>
      <c r="P752" s="7" t="s">
        <v>2104</v>
      </c>
      <c r="Q752" s="7" t="s">
        <v>2175</v>
      </c>
      <c r="R752" t="s">
        <v>3631</v>
      </c>
    </row>
    <row r="753" spans="1:20" x14ac:dyDescent="0.3">
      <c r="A753" s="7" t="str">
        <f>HYPERLINK("https://hsdes.intel.com/resource/14013165445","14013165445")</f>
        <v>14013165445</v>
      </c>
      <c r="B753" s="7" t="s">
        <v>2176</v>
      </c>
      <c r="C753" s="7" t="s">
        <v>7</v>
      </c>
      <c r="D753" s="7" t="s">
        <v>3612</v>
      </c>
      <c r="E753" s="7" t="s">
        <v>3617</v>
      </c>
      <c r="F753" s="8" t="s">
        <v>3628</v>
      </c>
      <c r="H753" s="7" t="s">
        <v>3619</v>
      </c>
      <c r="I753" s="7" t="s">
        <v>3640</v>
      </c>
      <c r="L753" s="7" t="s">
        <v>8</v>
      </c>
      <c r="M753" s="7" t="s">
        <v>9</v>
      </c>
      <c r="N753" s="7" t="s">
        <v>10</v>
      </c>
      <c r="O753" s="7" t="s">
        <v>2104</v>
      </c>
      <c r="P753" s="7" t="s">
        <v>2177</v>
      </c>
      <c r="Q753" s="7" t="s">
        <v>2178</v>
      </c>
      <c r="R753" t="s">
        <v>3631</v>
      </c>
    </row>
    <row r="754" spans="1:20" x14ac:dyDescent="0.3">
      <c r="A754" s="7" t="str">
        <f>HYPERLINK("https://hsdes.intel.com/resource/14013165449","14013165449")</f>
        <v>14013165449</v>
      </c>
      <c r="B754" s="7" t="s">
        <v>2179</v>
      </c>
      <c r="C754" s="7" t="s">
        <v>7</v>
      </c>
      <c r="D754" s="7" t="s">
        <v>3612</v>
      </c>
      <c r="E754" s="7" t="s">
        <v>3617</v>
      </c>
      <c r="F754" s="8" t="s">
        <v>3628</v>
      </c>
      <c r="H754" s="7" t="s">
        <v>3619</v>
      </c>
      <c r="I754" s="7" t="s">
        <v>3640</v>
      </c>
      <c r="L754" s="7" t="s">
        <v>8</v>
      </c>
      <c r="M754" s="7" t="s">
        <v>9</v>
      </c>
      <c r="N754" s="7" t="s">
        <v>10</v>
      </c>
      <c r="O754" s="7" t="s">
        <v>2104</v>
      </c>
      <c r="P754" s="7" t="s">
        <v>2177</v>
      </c>
      <c r="Q754" s="7" t="s">
        <v>2180</v>
      </c>
      <c r="R754" t="s">
        <v>3631</v>
      </c>
    </row>
    <row r="755" spans="1:20" x14ac:dyDescent="0.3">
      <c r="A755" s="7" t="str">
        <f>HYPERLINK("https://hsdes.intel.com/resource/14013165473","14013165473")</f>
        <v>14013165473</v>
      </c>
      <c r="B755" s="7" t="s">
        <v>2181</v>
      </c>
      <c r="C755" s="7" t="s">
        <v>7</v>
      </c>
      <c r="D755" s="7" t="s">
        <v>3612</v>
      </c>
      <c r="E755" s="7" t="s">
        <v>3617</v>
      </c>
      <c r="F755" s="8" t="s">
        <v>3628</v>
      </c>
      <c r="H755" s="7" t="s">
        <v>3620</v>
      </c>
      <c r="I755" s="7" t="s">
        <v>3647</v>
      </c>
      <c r="L755" s="7" t="s">
        <v>8</v>
      </c>
      <c r="M755" s="7" t="s">
        <v>94</v>
      </c>
      <c r="N755" s="7" t="s">
        <v>10</v>
      </c>
      <c r="O755" s="7" t="s">
        <v>1031</v>
      </c>
      <c r="P755" s="7" t="s">
        <v>2182</v>
      </c>
      <c r="Q755" s="7" t="s">
        <v>2183</v>
      </c>
      <c r="R755" t="s">
        <v>3633</v>
      </c>
      <c r="T755" s="22">
        <v>44823</v>
      </c>
    </row>
    <row r="756" spans="1:20" x14ac:dyDescent="0.3">
      <c r="A756" s="7" t="str">
        <f>HYPERLINK("https://hsdes.intel.com/resource/14013165476","14013165476")</f>
        <v>14013165476</v>
      </c>
      <c r="B756" s="7" t="s">
        <v>2184</v>
      </c>
      <c r="C756" s="7" t="s">
        <v>7</v>
      </c>
      <c r="D756" s="7" t="s">
        <v>3612</v>
      </c>
      <c r="E756" s="7" t="s">
        <v>3617</v>
      </c>
      <c r="F756" s="8" t="s">
        <v>3628</v>
      </c>
      <c r="H756" s="7" t="s">
        <v>3619</v>
      </c>
      <c r="I756" s="7" t="s">
        <v>3624</v>
      </c>
      <c r="L756" s="7" t="s">
        <v>8</v>
      </c>
      <c r="M756" s="7" t="s">
        <v>94</v>
      </c>
      <c r="N756" s="7" t="s">
        <v>10</v>
      </c>
      <c r="O756" s="7" t="s">
        <v>2185</v>
      </c>
      <c r="P756" s="7" t="s">
        <v>2186</v>
      </c>
      <c r="Q756" s="7" t="s">
        <v>2187</v>
      </c>
      <c r="R756" t="s">
        <v>3633</v>
      </c>
    </row>
    <row r="757" spans="1:20" x14ac:dyDescent="0.3">
      <c r="A757" s="7" t="str">
        <f>HYPERLINK("https://hsdes.intel.com/resource/14013165480","14013165480")</f>
        <v>14013165480</v>
      </c>
      <c r="B757" s="7" t="s">
        <v>2188</v>
      </c>
      <c r="C757" s="7" t="s">
        <v>7</v>
      </c>
      <c r="D757" s="7" t="s">
        <v>3612</v>
      </c>
      <c r="E757" s="7" t="s">
        <v>3617</v>
      </c>
      <c r="F757" s="8" t="s">
        <v>3628</v>
      </c>
      <c r="H757" s="7" t="s">
        <v>3619</v>
      </c>
      <c r="I757" s="7" t="s">
        <v>3624</v>
      </c>
      <c r="L757" s="7" t="s">
        <v>8</v>
      </c>
      <c r="M757" s="7" t="s">
        <v>9</v>
      </c>
      <c r="N757" s="7" t="s">
        <v>10</v>
      </c>
      <c r="O757" s="7" t="s">
        <v>2189</v>
      </c>
      <c r="P757" s="7" t="s">
        <v>2190</v>
      </c>
      <c r="Q757" s="7" t="s">
        <v>2191</v>
      </c>
      <c r="R757" t="s">
        <v>3633</v>
      </c>
    </row>
    <row r="758" spans="1:20" x14ac:dyDescent="0.3">
      <c r="A758" s="7" t="str">
        <f>HYPERLINK("https://hsdes.intel.com/resource/14013165511","14013165511")</f>
        <v>14013165511</v>
      </c>
      <c r="B758" s="7" t="s">
        <v>2192</v>
      </c>
      <c r="C758" s="7" t="s">
        <v>341</v>
      </c>
      <c r="D758" s="7" t="s">
        <v>3612</v>
      </c>
      <c r="E758" s="7" t="s">
        <v>3617</v>
      </c>
      <c r="F758" s="8" t="s">
        <v>3628</v>
      </c>
      <c r="H758" s="7" t="s">
        <v>3619</v>
      </c>
      <c r="I758" s="7" t="s">
        <v>3622</v>
      </c>
      <c r="L758" s="7" t="s">
        <v>64</v>
      </c>
      <c r="M758" s="7" t="s">
        <v>9</v>
      </c>
      <c r="N758" s="7" t="s">
        <v>25</v>
      </c>
      <c r="O758" s="7" t="s">
        <v>2193</v>
      </c>
      <c r="P758" s="7" t="s">
        <v>2194</v>
      </c>
      <c r="Q758" s="7" t="s">
        <v>2195</v>
      </c>
      <c r="R758" t="s">
        <v>3631</v>
      </c>
    </row>
    <row r="759" spans="1:20" x14ac:dyDescent="0.3">
      <c r="A759" s="7" t="str">
        <f>HYPERLINK("https://hsdes.intel.com/resource/14013165533","14013165533")</f>
        <v>14013165533</v>
      </c>
      <c r="B759" s="7" t="s">
        <v>2196</v>
      </c>
      <c r="C759" s="7" t="s">
        <v>161</v>
      </c>
      <c r="D759" s="7" t="s">
        <v>3613</v>
      </c>
      <c r="E759" s="7" t="s">
        <v>3617</v>
      </c>
      <c r="F759" s="8" t="s">
        <v>3628</v>
      </c>
      <c r="H759" s="7" t="s">
        <v>3618</v>
      </c>
      <c r="J759" s="7" t="s">
        <v>3529</v>
      </c>
      <c r="L759" s="7" t="s">
        <v>38</v>
      </c>
      <c r="M759" s="7" t="s">
        <v>94</v>
      </c>
      <c r="N759" s="7" t="s">
        <v>56</v>
      </c>
      <c r="O759" s="7" t="s">
        <v>2197</v>
      </c>
      <c r="P759" s="7" t="s">
        <v>2198</v>
      </c>
      <c r="Q759" s="7" t="s">
        <v>2199</v>
      </c>
      <c r="R759" t="s">
        <v>3632</v>
      </c>
    </row>
    <row r="760" spans="1:20" x14ac:dyDescent="0.3">
      <c r="A760" s="7" t="str">
        <f>HYPERLINK("https://hsdes.intel.com/resource/14013165539","14013165539")</f>
        <v>14013165539</v>
      </c>
      <c r="B760" s="7" t="s">
        <v>2200</v>
      </c>
      <c r="C760" s="7" t="s">
        <v>175</v>
      </c>
      <c r="D760" s="7" t="s">
        <v>3612</v>
      </c>
      <c r="E760" s="7" t="s">
        <v>3617</v>
      </c>
      <c r="F760" s="8" t="s">
        <v>3628</v>
      </c>
      <c r="H760" s="7" t="s">
        <v>3618</v>
      </c>
      <c r="J760" s="7" t="s">
        <v>3569</v>
      </c>
      <c r="L760" s="7" t="s">
        <v>38</v>
      </c>
      <c r="M760" s="7" t="s">
        <v>94</v>
      </c>
      <c r="N760" s="7" t="s">
        <v>56</v>
      </c>
      <c r="O760" s="7" t="s">
        <v>2201</v>
      </c>
      <c r="P760" s="7" t="s">
        <v>2201</v>
      </c>
      <c r="Q760" s="7" t="s">
        <v>2202</v>
      </c>
      <c r="R760" t="s">
        <v>3632</v>
      </c>
    </row>
    <row r="761" spans="1:20" x14ac:dyDescent="0.3">
      <c r="A761" s="7" t="str">
        <f>HYPERLINK("https://hsdes.intel.com/resource/14013165547","14013165547")</f>
        <v>14013165547</v>
      </c>
      <c r="B761" s="7" t="s">
        <v>2203</v>
      </c>
      <c r="C761" s="7" t="s">
        <v>133</v>
      </c>
      <c r="D761" s="7" t="s">
        <v>3612</v>
      </c>
      <c r="E761" s="7" t="s">
        <v>3617</v>
      </c>
      <c r="F761" s="8" t="s">
        <v>3628</v>
      </c>
      <c r="H761" s="7" t="s">
        <v>3618</v>
      </c>
      <c r="J761" s="7" t="s">
        <v>3538</v>
      </c>
      <c r="L761" s="7" t="s">
        <v>24</v>
      </c>
      <c r="M761" s="7" t="s">
        <v>9</v>
      </c>
      <c r="N761" s="7" t="s">
        <v>226</v>
      </c>
      <c r="O761" s="7" t="s">
        <v>1731</v>
      </c>
      <c r="P761" s="7" t="s">
        <v>1731</v>
      </c>
      <c r="Q761" s="7" t="s">
        <v>2204</v>
      </c>
      <c r="R761" t="s">
        <v>3631</v>
      </c>
    </row>
    <row r="762" spans="1:20" x14ac:dyDescent="0.3">
      <c r="A762" s="7" t="str">
        <f>HYPERLINK("https://hsdes.intel.com/resource/14013165558","14013165558")</f>
        <v>14013165558</v>
      </c>
      <c r="B762" s="7" t="s">
        <v>2205</v>
      </c>
      <c r="C762" s="7" t="s">
        <v>133</v>
      </c>
      <c r="D762" s="7" t="s">
        <v>3612</v>
      </c>
      <c r="E762" s="7" t="s">
        <v>3617</v>
      </c>
      <c r="F762" s="8" t="s">
        <v>3628</v>
      </c>
      <c r="H762" s="7" t="s">
        <v>3619</v>
      </c>
      <c r="I762" s="7" t="s">
        <v>3649</v>
      </c>
      <c r="L762" s="7" t="s">
        <v>24</v>
      </c>
      <c r="M762" s="7" t="s">
        <v>9</v>
      </c>
      <c r="N762" s="7" t="s">
        <v>226</v>
      </c>
      <c r="O762" s="7" t="s">
        <v>1731</v>
      </c>
      <c r="P762" s="7" t="s">
        <v>1731</v>
      </c>
      <c r="Q762" s="7" t="s">
        <v>2206</v>
      </c>
      <c r="R762" t="s">
        <v>3632</v>
      </c>
    </row>
    <row r="763" spans="1:20" x14ac:dyDescent="0.3">
      <c r="A763" s="7" t="str">
        <f>HYPERLINK("https://hsdes.intel.com/resource/14013165601","14013165601")</f>
        <v>14013165601</v>
      </c>
      <c r="B763" s="7" t="s">
        <v>2207</v>
      </c>
      <c r="C763" s="7" t="s">
        <v>23</v>
      </c>
      <c r="D763" s="7" t="s">
        <v>3612</v>
      </c>
      <c r="E763" s="7" t="s">
        <v>3617</v>
      </c>
      <c r="F763" s="8" t="s">
        <v>3628</v>
      </c>
      <c r="H763" s="7" t="s">
        <v>3619</v>
      </c>
      <c r="I763" s="7" t="s">
        <v>3624</v>
      </c>
      <c r="L763" s="7" t="s">
        <v>24</v>
      </c>
      <c r="M763" s="7" t="s">
        <v>9</v>
      </c>
      <c r="N763" s="7" t="s">
        <v>39</v>
      </c>
      <c r="O763" s="7" t="s">
        <v>26</v>
      </c>
      <c r="P763" s="7" t="s">
        <v>26</v>
      </c>
      <c r="Q763" s="7" t="s">
        <v>2208</v>
      </c>
      <c r="R763" t="s">
        <v>3632</v>
      </c>
    </row>
    <row r="764" spans="1:20" x14ac:dyDescent="0.3">
      <c r="A764" s="7" t="str">
        <f>HYPERLINK("https://hsdes.intel.com/resource/14013165602","14013165602")</f>
        <v>14013165602</v>
      </c>
      <c r="B764" s="7" t="s">
        <v>2209</v>
      </c>
      <c r="C764" s="7" t="s">
        <v>225</v>
      </c>
      <c r="D764" s="7" t="s">
        <v>3612</v>
      </c>
      <c r="E764" s="7" t="s">
        <v>3617</v>
      </c>
      <c r="F764" s="8" t="s">
        <v>3628</v>
      </c>
      <c r="H764" s="7" t="s">
        <v>3619</v>
      </c>
      <c r="I764" s="7" t="s">
        <v>3622</v>
      </c>
      <c r="L764" s="7" t="s">
        <v>100</v>
      </c>
      <c r="M764" s="7" t="s">
        <v>94</v>
      </c>
      <c r="N764" s="7" t="s">
        <v>39</v>
      </c>
      <c r="O764" s="7" t="s">
        <v>2210</v>
      </c>
      <c r="P764" s="7" t="s">
        <v>682</v>
      </c>
      <c r="Q764" s="7" t="s">
        <v>2211</v>
      </c>
      <c r="R764" t="s">
        <v>3632</v>
      </c>
    </row>
    <row r="765" spans="1:20" x14ac:dyDescent="0.3">
      <c r="A765" s="7" t="str">
        <f>HYPERLINK("https://hsdes.intel.com/resource/14013165633","14013165633")</f>
        <v>14013165633</v>
      </c>
      <c r="B765" s="7" t="s">
        <v>2212</v>
      </c>
      <c r="C765" s="7" t="s">
        <v>161</v>
      </c>
      <c r="D765" s="7" t="s">
        <v>3612</v>
      </c>
      <c r="E765" s="7" t="s">
        <v>3617</v>
      </c>
      <c r="F765" s="8" t="s">
        <v>3628</v>
      </c>
      <c r="H765" s="7" t="s">
        <v>3618</v>
      </c>
      <c r="J765" s="7" t="s">
        <v>3528</v>
      </c>
      <c r="L765" s="7" t="s">
        <v>38</v>
      </c>
      <c r="M765" s="7" t="s">
        <v>2213</v>
      </c>
      <c r="N765" s="7" t="s">
        <v>122</v>
      </c>
      <c r="O765" s="7" t="s">
        <v>2214</v>
      </c>
      <c r="P765" s="7" t="s">
        <v>2214</v>
      </c>
      <c r="Q765" s="7" t="s">
        <v>2215</v>
      </c>
      <c r="R765" t="s">
        <v>3632</v>
      </c>
    </row>
    <row r="766" spans="1:20" x14ac:dyDescent="0.3">
      <c r="A766" s="7" t="str">
        <f>HYPERLINK("https://hsdes.intel.com/resource/14013165985","14013165985")</f>
        <v>14013165985</v>
      </c>
      <c r="B766" s="7" t="s">
        <v>2216</v>
      </c>
      <c r="C766" s="7" t="s">
        <v>37</v>
      </c>
      <c r="D766" s="7" t="s">
        <v>3612</v>
      </c>
      <c r="E766" s="7" t="s">
        <v>3617</v>
      </c>
      <c r="F766" s="8" t="s">
        <v>3628</v>
      </c>
      <c r="H766" s="7" t="s">
        <v>3619</v>
      </c>
      <c r="I766" s="7" t="s">
        <v>3644</v>
      </c>
      <c r="L766" s="7" t="s">
        <v>38</v>
      </c>
      <c r="M766" s="7" t="s">
        <v>94</v>
      </c>
      <c r="N766" s="7" t="s">
        <v>39</v>
      </c>
      <c r="O766" s="7" t="s">
        <v>2217</v>
      </c>
      <c r="P766" s="7" t="s">
        <v>41</v>
      </c>
      <c r="Q766" s="7" t="s">
        <v>2218</v>
      </c>
      <c r="R766" t="s">
        <v>3632</v>
      </c>
    </row>
    <row r="767" spans="1:20" x14ac:dyDescent="0.3">
      <c r="A767" s="7" t="str">
        <f>HYPERLINK("https://hsdes.intel.com/resource/14013166261","14013166261")</f>
        <v>14013166261</v>
      </c>
      <c r="B767" s="7" t="s">
        <v>2219</v>
      </c>
      <c r="C767" s="7" t="s">
        <v>225</v>
      </c>
      <c r="D767" s="7" t="s">
        <v>3612</v>
      </c>
      <c r="E767" s="7" t="s">
        <v>3617</v>
      </c>
      <c r="F767" s="8" t="s">
        <v>3628</v>
      </c>
      <c r="H767" s="7" t="s">
        <v>3619</v>
      </c>
      <c r="I767" s="7" t="s">
        <v>3622</v>
      </c>
      <c r="L767" s="7" t="s">
        <v>100</v>
      </c>
      <c r="M767" s="7" t="s">
        <v>94</v>
      </c>
      <c r="N767" s="7" t="s">
        <v>39</v>
      </c>
      <c r="O767" s="7" t="s">
        <v>2220</v>
      </c>
      <c r="P767" s="7" t="s">
        <v>2221</v>
      </c>
      <c r="Q767" s="7" t="s">
        <v>2222</v>
      </c>
      <c r="R767" t="s">
        <v>3631</v>
      </c>
    </row>
    <row r="768" spans="1:20" x14ac:dyDescent="0.3">
      <c r="A768" s="7" t="str">
        <f>HYPERLINK("https://hsdes.intel.com/resource/14013166631","14013166631")</f>
        <v>14013166631</v>
      </c>
      <c r="B768" s="7" t="s">
        <v>2223</v>
      </c>
      <c r="C768" s="7" t="s">
        <v>37</v>
      </c>
      <c r="D768" s="7" t="s">
        <v>3612</v>
      </c>
      <c r="E768" s="7" t="s">
        <v>3617</v>
      </c>
      <c r="F768" s="8" t="s">
        <v>3628</v>
      </c>
      <c r="H768" s="7" t="s">
        <v>3620</v>
      </c>
      <c r="I768" s="7" t="s">
        <v>3644</v>
      </c>
      <c r="L768" s="7" t="s">
        <v>38</v>
      </c>
      <c r="M768" s="7" t="s">
        <v>94</v>
      </c>
      <c r="N768" s="7" t="s">
        <v>25</v>
      </c>
      <c r="O768" s="7" t="s">
        <v>2224</v>
      </c>
      <c r="P768" s="7" t="s">
        <v>41</v>
      </c>
      <c r="Q768" s="7" t="s">
        <v>2225</v>
      </c>
      <c r="R768" t="s">
        <v>3632</v>
      </c>
    </row>
    <row r="769" spans="1:18" x14ac:dyDescent="0.3">
      <c r="A769" s="7" t="str">
        <f>HYPERLINK("https://hsdes.intel.com/resource/14013166640","14013166640")</f>
        <v>14013166640</v>
      </c>
      <c r="B769" s="7" t="s">
        <v>2226</v>
      </c>
      <c r="C769" s="7" t="s">
        <v>37</v>
      </c>
      <c r="D769" s="7" t="s">
        <v>3612</v>
      </c>
      <c r="E769" s="7" t="s">
        <v>3617</v>
      </c>
      <c r="F769" s="8" t="s">
        <v>3628</v>
      </c>
      <c r="H769" s="7" t="s">
        <v>3619</v>
      </c>
      <c r="I769" s="7" t="s">
        <v>3644</v>
      </c>
      <c r="L769" s="7" t="s">
        <v>38</v>
      </c>
      <c r="M769" s="7" t="s">
        <v>94</v>
      </c>
      <c r="N769" s="7" t="s">
        <v>25</v>
      </c>
      <c r="O769" s="7" t="s">
        <v>2227</v>
      </c>
      <c r="P769" s="7" t="s">
        <v>41</v>
      </c>
      <c r="Q769" s="7" t="s">
        <v>2228</v>
      </c>
      <c r="R769" t="s">
        <v>3632</v>
      </c>
    </row>
    <row r="770" spans="1:18" x14ac:dyDescent="0.3">
      <c r="A770" s="7" t="str">
        <f>HYPERLINK("https://hsdes.intel.com/resource/14013166642","14013166642")</f>
        <v>14013166642</v>
      </c>
      <c r="B770" s="7" t="s">
        <v>2229</v>
      </c>
      <c r="C770" s="7" t="s">
        <v>37</v>
      </c>
      <c r="D770" s="7" t="s">
        <v>3612</v>
      </c>
      <c r="E770" s="7" t="s">
        <v>3617</v>
      </c>
      <c r="F770" s="8" t="s">
        <v>3628</v>
      </c>
      <c r="H770" s="7" t="s">
        <v>3619</v>
      </c>
      <c r="I770" s="7" t="s">
        <v>3644</v>
      </c>
      <c r="L770" s="7" t="s">
        <v>38</v>
      </c>
      <c r="M770" s="7" t="s">
        <v>94</v>
      </c>
      <c r="N770" s="7" t="s">
        <v>25</v>
      </c>
      <c r="O770" s="7" t="s">
        <v>2224</v>
      </c>
      <c r="P770" s="7" t="s">
        <v>41</v>
      </c>
      <c r="Q770" s="7" t="s">
        <v>2230</v>
      </c>
      <c r="R770" t="s">
        <v>3632</v>
      </c>
    </row>
    <row r="771" spans="1:18" x14ac:dyDescent="0.3">
      <c r="A771" s="7" t="str">
        <f>HYPERLINK("https://hsdes.intel.com/resource/14013166665","14013166665")</f>
        <v>14013166665</v>
      </c>
      <c r="B771" s="7" t="s">
        <v>2231</v>
      </c>
      <c r="C771" s="7" t="s">
        <v>55</v>
      </c>
      <c r="D771" s="7" t="s">
        <v>3612</v>
      </c>
      <c r="E771" s="7" t="s">
        <v>3617</v>
      </c>
      <c r="F771" s="8" t="s">
        <v>3628</v>
      </c>
      <c r="H771" s="7" t="s">
        <v>3619</v>
      </c>
      <c r="I771" s="7" t="s">
        <v>3622</v>
      </c>
      <c r="L771" s="7" t="s">
        <v>30</v>
      </c>
      <c r="M771" s="7" t="s">
        <v>9</v>
      </c>
      <c r="N771" s="7" t="s">
        <v>25</v>
      </c>
      <c r="O771" s="7" t="s">
        <v>682</v>
      </c>
      <c r="P771" s="7" t="s">
        <v>682</v>
      </c>
      <c r="Q771" s="7" t="s">
        <v>2232</v>
      </c>
      <c r="R771" t="s">
        <v>3632</v>
      </c>
    </row>
    <row r="772" spans="1:18" x14ac:dyDescent="0.3">
      <c r="A772" s="7" t="str">
        <f>HYPERLINK("https://hsdes.intel.com/resource/14013166925","14013166925")</f>
        <v>14013166925</v>
      </c>
      <c r="B772" s="7" t="s">
        <v>2233</v>
      </c>
      <c r="C772" s="7" t="s">
        <v>37</v>
      </c>
      <c r="D772" s="7" t="s">
        <v>3612</v>
      </c>
      <c r="E772" s="7" t="s">
        <v>3617</v>
      </c>
      <c r="F772" s="8" t="s">
        <v>3628</v>
      </c>
      <c r="H772" s="7" t="s">
        <v>3619</v>
      </c>
      <c r="I772" s="7" t="s">
        <v>3649</v>
      </c>
      <c r="L772" s="7" t="s">
        <v>38</v>
      </c>
      <c r="M772" s="7" t="s">
        <v>94</v>
      </c>
      <c r="N772" s="7" t="s">
        <v>39</v>
      </c>
      <c r="O772" s="7" t="s">
        <v>2234</v>
      </c>
      <c r="P772" s="7" t="s">
        <v>41</v>
      </c>
      <c r="Q772" s="7" t="s">
        <v>2235</v>
      </c>
      <c r="R772" t="s">
        <v>3631</v>
      </c>
    </row>
    <row r="773" spans="1:18" x14ac:dyDescent="0.3">
      <c r="A773" s="7" t="str">
        <f>HYPERLINK("https://hsdes.intel.com/resource/14013166930","14013166930")</f>
        <v>14013166930</v>
      </c>
      <c r="B773" s="7" t="s">
        <v>2236</v>
      </c>
      <c r="C773" s="7" t="s">
        <v>37</v>
      </c>
      <c r="D773" s="7" t="s">
        <v>3612</v>
      </c>
      <c r="E773" s="7" t="s">
        <v>3617</v>
      </c>
      <c r="F773" s="8" t="s">
        <v>3628</v>
      </c>
      <c r="H773" s="7" t="s">
        <v>3620</v>
      </c>
      <c r="I773" s="7" t="s">
        <v>3644</v>
      </c>
      <c r="L773" s="7" t="s">
        <v>38</v>
      </c>
      <c r="M773" s="7" t="s">
        <v>9</v>
      </c>
      <c r="N773" s="7" t="s">
        <v>39</v>
      </c>
      <c r="O773" s="7" t="s">
        <v>2237</v>
      </c>
      <c r="P773" s="7" t="s">
        <v>2238</v>
      </c>
      <c r="Q773" s="7" t="s">
        <v>2239</v>
      </c>
      <c r="R773" t="s">
        <v>3632</v>
      </c>
    </row>
    <row r="774" spans="1:18" x14ac:dyDescent="0.3">
      <c r="A774" s="7" t="str">
        <f>HYPERLINK("https://hsdes.intel.com/resource/14013166935","14013166935")</f>
        <v>14013166935</v>
      </c>
      <c r="B774" s="7" t="s">
        <v>2240</v>
      </c>
      <c r="C774" s="7" t="s">
        <v>37</v>
      </c>
      <c r="D774" s="7" t="s">
        <v>3612</v>
      </c>
      <c r="E774" s="7" t="s">
        <v>3617</v>
      </c>
      <c r="F774" s="8" t="s">
        <v>3628</v>
      </c>
      <c r="H774" s="7" t="s">
        <v>3619</v>
      </c>
      <c r="I774" s="7" t="s">
        <v>3649</v>
      </c>
      <c r="J774" s="7" t="s">
        <v>3650</v>
      </c>
      <c r="L774" s="7" t="s">
        <v>38</v>
      </c>
      <c r="M774" s="7" t="s">
        <v>9</v>
      </c>
      <c r="N774" s="7" t="s">
        <v>39</v>
      </c>
      <c r="O774" s="7" t="s">
        <v>2241</v>
      </c>
      <c r="P774" s="7" t="s">
        <v>2242</v>
      </c>
      <c r="Q774" s="7" t="s">
        <v>2243</v>
      </c>
      <c r="R774" t="s">
        <v>3632</v>
      </c>
    </row>
    <row r="775" spans="1:18" x14ac:dyDescent="0.3">
      <c r="A775" s="7" t="str">
        <f>HYPERLINK("https://hsdes.intel.com/resource/14013166939","14013166939")</f>
        <v>14013166939</v>
      </c>
      <c r="B775" s="7" t="s">
        <v>2244</v>
      </c>
      <c r="C775" s="7" t="s">
        <v>37</v>
      </c>
      <c r="D775" s="7" t="s">
        <v>3612</v>
      </c>
      <c r="E775" s="7" t="s">
        <v>3617</v>
      </c>
      <c r="F775" s="8" t="s">
        <v>3628</v>
      </c>
      <c r="H775" s="7" t="s">
        <v>3619</v>
      </c>
      <c r="I775" s="7" t="s">
        <v>3644</v>
      </c>
      <c r="L775" s="7" t="s">
        <v>38</v>
      </c>
      <c r="M775" s="7" t="s">
        <v>9</v>
      </c>
      <c r="N775" s="7" t="s">
        <v>39</v>
      </c>
      <c r="O775" s="7" t="s">
        <v>2245</v>
      </c>
      <c r="P775" s="7" t="s">
        <v>41</v>
      </c>
      <c r="Q775" s="7" t="s">
        <v>2246</v>
      </c>
      <c r="R775" t="s">
        <v>3632</v>
      </c>
    </row>
    <row r="776" spans="1:18" x14ac:dyDescent="0.3">
      <c r="A776" s="7" t="str">
        <f>HYPERLINK("https://hsdes.intel.com/resource/14013166943","14013166943")</f>
        <v>14013166943</v>
      </c>
      <c r="B776" s="7" t="s">
        <v>2247</v>
      </c>
      <c r="C776" s="7" t="s">
        <v>37</v>
      </c>
      <c r="D776" s="7" t="s">
        <v>3612</v>
      </c>
      <c r="E776" s="7" t="s">
        <v>3617</v>
      </c>
      <c r="F776" s="8" t="s">
        <v>3628</v>
      </c>
      <c r="H776" s="7" t="s">
        <v>3620</v>
      </c>
      <c r="I776" s="7" t="s">
        <v>3644</v>
      </c>
      <c r="L776" s="7" t="s">
        <v>38</v>
      </c>
      <c r="M776" s="7" t="s">
        <v>94</v>
      </c>
      <c r="N776" s="7" t="s">
        <v>39</v>
      </c>
      <c r="O776" s="7" t="s">
        <v>2248</v>
      </c>
      <c r="P776" s="7" t="s">
        <v>2249</v>
      </c>
      <c r="Q776" s="7" t="s">
        <v>2250</v>
      </c>
      <c r="R776" t="s">
        <v>3632</v>
      </c>
    </row>
    <row r="777" spans="1:18" x14ac:dyDescent="0.3">
      <c r="A777" s="7" t="str">
        <f>HYPERLINK("https://hsdes.intel.com/resource/14013166951","14013166951")</f>
        <v>14013166951</v>
      </c>
      <c r="B777" s="7" t="s">
        <v>2251</v>
      </c>
      <c r="C777" s="7" t="s">
        <v>133</v>
      </c>
      <c r="D777" s="7" t="s">
        <v>3612</v>
      </c>
      <c r="E777" s="7" t="s">
        <v>3617</v>
      </c>
      <c r="F777" s="8" t="s">
        <v>3628</v>
      </c>
      <c r="H777" s="7" t="s">
        <v>3620</v>
      </c>
      <c r="I777" s="7" t="s">
        <v>3649</v>
      </c>
      <c r="J777" s="7" t="s">
        <v>3650</v>
      </c>
      <c r="L777" s="7" t="s">
        <v>24</v>
      </c>
      <c r="M777" s="7" t="s">
        <v>9</v>
      </c>
      <c r="N777" s="7" t="s">
        <v>39</v>
      </c>
      <c r="O777" s="7" t="s">
        <v>95</v>
      </c>
      <c r="P777" s="7" t="s">
        <v>95</v>
      </c>
      <c r="Q777" s="7" t="s">
        <v>2252</v>
      </c>
      <c r="R777" t="s">
        <v>3632</v>
      </c>
    </row>
    <row r="778" spans="1:18" x14ac:dyDescent="0.3">
      <c r="A778" s="7" t="str">
        <f>HYPERLINK("https://hsdes.intel.com/resource/14013166957","14013166957")</f>
        <v>14013166957</v>
      </c>
      <c r="B778" s="7" t="s">
        <v>2253</v>
      </c>
      <c r="C778" s="7" t="s">
        <v>37</v>
      </c>
      <c r="D778" s="7" t="s">
        <v>3612</v>
      </c>
      <c r="E778" s="7" t="s">
        <v>3617</v>
      </c>
      <c r="F778" s="8" t="s">
        <v>3628</v>
      </c>
      <c r="H778" s="7" t="s">
        <v>3620</v>
      </c>
      <c r="I778" s="7" t="s">
        <v>3644</v>
      </c>
      <c r="L778" s="7" t="s">
        <v>38</v>
      </c>
      <c r="M778" s="7" t="s">
        <v>9</v>
      </c>
      <c r="N778" s="7" t="s">
        <v>39</v>
      </c>
      <c r="O778" s="7" t="s">
        <v>40</v>
      </c>
      <c r="P778" s="7" t="s">
        <v>40</v>
      </c>
      <c r="Q778" s="7" t="s">
        <v>2254</v>
      </c>
      <c r="R778" t="s">
        <v>3631</v>
      </c>
    </row>
    <row r="779" spans="1:18" x14ac:dyDescent="0.3">
      <c r="A779" s="7" t="str">
        <f>HYPERLINK("https://hsdes.intel.com/resource/14013166966","14013166966")</f>
        <v>14013166966</v>
      </c>
      <c r="B779" s="7" t="s">
        <v>2255</v>
      </c>
      <c r="C779" s="7" t="s">
        <v>37</v>
      </c>
      <c r="D779" s="7" t="s">
        <v>3612</v>
      </c>
      <c r="E779" s="7" t="s">
        <v>3617</v>
      </c>
      <c r="F779" s="8" t="s">
        <v>3628</v>
      </c>
      <c r="H779" s="7" t="s">
        <v>3620</v>
      </c>
      <c r="I779" s="7" t="s">
        <v>3644</v>
      </c>
      <c r="L779" s="7" t="s">
        <v>38</v>
      </c>
      <c r="M779" s="7" t="s">
        <v>9</v>
      </c>
      <c r="N779" s="7" t="s">
        <v>39</v>
      </c>
      <c r="O779" s="7" t="s">
        <v>2256</v>
      </c>
      <c r="P779" s="7" t="s">
        <v>2257</v>
      </c>
      <c r="Q779" s="7" t="s">
        <v>2258</v>
      </c>
      <c r="R779" t="s">
        <v>3632</v>
      </c>
    </row>
    <row r="780" spans="1:18" x14ac:dyDescent="0.3">
      <c r="A780" s="7" t="str">
        <f>HYPERLINK("https://hsdes.intel.com/resource/14013166973","14013166973")</f>
        <v>14013166973</v>
      </c>
      <c r="B780" s="7" t="s">
        <v>2259</v>
      </c>
      <c r="C780" s="7" t="s">
        <v>37</v>
      </c>
      <c r="D780" s="7" t="s">
        <v>3613</v>
      </c>
      <c r="E780" s="7" t="s">
        <v>3617</v>
      </c>
      <c r="F780" s="8" t="s">
        <v>3628</v>
      </c>
      <c r="H780" s="7" t="s">
        <v>3620</v>
      </c>
      <c r="I780" s="7" t="s">
        <v>3649</v>
      </c>
      <c r="J780" s="7" t="s">
        <v>3650</v>
      </c>
      <c r="L780" s="7" t="s">
        <v>38</v>
      </c>
      <c r="M780" s="7" t="s">
        <v>9</v>
      </c>
      <c r="N780" s="7" t="s">
        <v>39</v>
      </c>
      <c r="O780" s="7" t="s">
        <v>263</v>
      </c>
      <c r="P780" s="7" t="s">
        <v>41</v>
      </c>
      <c r="Q780" s="7" t="s">
        <v>2260</v>
      </c>
      <c r="R780" t="s">
        <v>3632</v>
      </c>
    </row>
    <row r="781" spans="1:18" x14ac:dyDescent="0.3">
      <c r="A781" s="7" t="str">
        <f>HYPERLINK("https://hsdes.intel.com/resource/14013166980","14013166980")</f>
        <v>14013166980</v>
      </c>
      <c r="B781" s="7" t="s">
        <v>2261</v>
      </c>
      <c r="C781" s="7" t="s">
        <v>37</v>
      </c>
      <c r="D781" s="7" t="s">
        <v>3612</v>
      </c>
      <c r="E781" s="7" t="s">
        <v>3617</v>
      </c>
      <c r="F781" s="8" t="s">
        <v>3628</v>
      </c>
      <c r="H781" s="7" t="s">
        <v>3620</v>
      </c>
      <c r="I781" s="7" t="s">
        <v>3644</v>
      </c>
      <c r="L781" s="7" t="s">
        <v>38</v>
      </c>
      <c r="M781" s="7" t="s">
        <v>9</v>
      </c>
      <c r="N781" s="7" t="s">
        <v>39</v>
      </c>
      <c r="O781" s="7" t="s">
        <v>117</v>
      </c>
      <c r="P781" s="7" t="s">
        <v>2262</v>
      </c>
      <c r="Q781" s="7" t="s">
        <v>2263</v>
      </c>
      <c r="R781" t="s">
        <v>3632</v>
      </c>
    </row>
    <row r="782" spans="1:18" x14ac:dyDescent="0.3">
      <c r="A782" s="7" t="str">
        <f>HYPERLINK("https://hsdes.intel.com/resource/14013166986","14013166986")</f>
        <v>14013166986</v>
      </c>
      <c r="B782" s="7" t="s">
        <v>2264</v>
      </c>
      <c r="C782" s="7" t="s">
        <v>37</v>
      </c>
      <c r="D782" s="7" t="s">
        <v>3612</v>
      </c>
      <c r="E782" s="7" t="s">
        <v>3617</v>
      </c>
      <c r="F782" s="8" t="s">
        <v>3628</v>
      </c>
      <c r="H782" s="7" t="s">
        <v>3620</v>
      </c>
      <c r="I782" s="7" t="s">
        <v>3644</v>
      </c>
      <c r="L782" s="7" t="s">
        <v>38</v>
      </c>
      <c r="M782" s="7" t="s">
        <v>9</v>
      </c>
      <c r="N782" s="7" t="s">
        <v>39</v>
      </c>
      <c r="O782" s="7" t="s">
        <v>81</v>
      </c>
      <c r="P782" s="7" t="s">
        <v>41</v>
      </c>
      <c r="Q782" s="7" t="s">
        <v>2265</v>
      </c>
      <c r="R782" t="s">
        <v>3632</v>
      </c>
    </row>
    <row r="783" spans="1:18" x14ac:dyDescent="0.3">
      <c r="A783" s="7" t="str">
        <f>HYPERLINK("https://hsdes.intel.com/resource/14013166995","14013166995")</f>
        <v>14013166995</v>
      </c>
      <c r="B783" s="7" t="s">
        <v>2266</v>
      </c>
      <c r="C783" s="7" t="s">
        <v>37</v>
      </c>
      <c r="D783" s="7" t="s">
        <v>3612</v>
      </c>
      <c r="E783" s="7" t="s">
        <v>3617</v>
      </c>
      <c r="F783" s="8" t="s">
        <v>3628</v>
      </c>
      <c r="H783" s="7" t="s">
        <v>3620</v>
      </c>
      <c r="I783" s="7" t="s">
        <v>3644</v>
      </c>
      <c r="L783" s="7" t="s">
        <v>38</v>
      </c>
      <c r="M783" s="7" t="s">
        <v>9</v>
      </c>
      <c r="N783" s="7" t="s">
        <v>39</v>
      </c>
      <c r="O783" s="7" t="s">
        <v>95</v>
      </c>
      <c r="P783" s="7" t="s">
        <v>41</v>
      </c>
      <c r="Q783" s="7" t="s">
        <v>2267</v>
      </c>
      <c r="R783" t="s">
        <v>3632</v>
      </c>
    </row>
    <row r="784" spans="1:18" x14ac:dyDescent="0.3">
      <c r="A784" s="7" t="str">
        <f>HYPERLINK("https://hsdes.intel.com/resource/14013167005","14013167005")</f>
        <v>14013167005</v>
      </c>
      <c r="B784" s="7" t="s">
        <v>2268</v>
      </c>
      <c r="C784" s="7" t="s">
        <v>37</v>
      </c>
      <c r="D784" s="7" t="s">
        <v>3612</v>
      </c>
      <c r="E784" s="7" t="s">
        <v>3617</v>
      </c>
      <c r="F784" s="8" t="s">
        <v>3628</v>
      </c>
      <c r="H784" s="7" t="s">
        <v>3620</v>
      </c>
      <c r="I784" s="7" t="s">
        <v>3649</v>
      </c>
      <c r="L784" s="7" t="s">
        <v>38</v>
      </c>
      <c r="M784" s="7" t="s">
        <v>94</v>
      </c>
      <c r="N784" s="7" t="s">
        <v>39</v>
      </c>
      <c r="O784" s="7" t="s">
        <v>2269</v>
      </c>
      <c r="P784" s="7" t="s">
        <v>2270</v>
      </c>
      <c r="Q784" s="7" t="s">
        <v>2271</v>
      </c>
      <c r="R784" t="s">
        <v>3632</v>
      </c>
    </row>
    <row r="785" spans="1:18" x14ac:dyDescent="0.3">
      <c r="A785" s="7" t="str">
        <f>HYPERLINK("https://hsdes.intel.com/resource/14013167008","14013167008")</f>
        <v>14013167008</v>
      </c>
      <c r="B785" s="7" t="s">
        <v>2272</v>
      </c>
      <c r="C785" s="7" t="s">
        <v>37</v>
      </c>
      <c r="D785" s="7" t="s">
        <v>3612</v>
      </c>
      <c r="E785" s="7" t="s">
        <v>3617</v>
      </c>
      <c r="F785" s="8" t="s">
        <v>3628</v>
      </c>
      <c r="H785" s="7" t="s">
        <v>3620</v>
      </c>
      <c r="I785" s="7" t="s">
        <v>3649</v>
      </c>
      <c r="L785" s="7" t="s">
        <v>38</v>
      </c>
      <c r="M785" s="7" t="s">
        <v>9</v>
      </c>
      <c r="N785" s="7" t="s">
        <v>39</v>
      </c>
      <c r="O785" s="7" t="s">
        <v>2273</v>
      </c>
      <c r="P785" s="7" t="s">
        <v>41</v>
      </c>
      <c r="Q785" s="7" t="s">
        <v>2274</v>
      </c>
      <c r="R785" t="s">
        <v>3631</v>
      </c>
    </row>
    <row r="786" spans="1:18" x14ac:dyDescent="0.3">
      <c r="A786" s="7" t="str">
        <f>HYPERLINK("https://hsdes.intel.com/resource/14013167011","14013167011")</f>
        <v>14013167011</v>
      </c>
      <c r="B786" s="7" t="s">
        <v>2275</v>
      </c>
      <c r="C786" s="7" t="s">
        <v>37</v>
      </c>
      <c r="D786" s="7" t="s">
        <v>3612</v>
      </c>
      <c r="E786" s="7" t="s">
        <v>3617</v>
      </c>
      <c r="F786" s="8" t="s">
        <v>3628</v>
      </c>
      <c r="H786" s="7" t="s">
        <v>3620</v>
      </c>
      <c r="I786" s="7" t="s">
        <v>3644</v>
      </c>
      <c r="L786" s="7" t="s">
        <v>38</v>
      </c>
      <c r="M786" s="7" t="s">
        <v>9</v>
      </c>
      <c r="N786" s="7" t="s">
        <v>39</v>
      </c>
      <c r="O786" s="7" t="s">
        <v>2276</v>
      </c>
      <c r="P786" s="7" t="s">
        <v>2277</v>
      </c>
      <c r="Q786" s="7" t="s">
        <v>2278</v>
      </c>
      <c r="R786" t="s">
        <v>3632</v>
      </c>
    </row>
    <row r="787" spans="1:18" x14ac:dyDescent="0.3">
      <c r="A787" s="9" t="str">
        <f>HYPERLINK("https://hsdes.intel.com/resource/14013167036","14013167036")</f>
        <v>14013167036</v>
      </c>
      <c r="B787" s="7" t="s">
        <v>2279</v>
      </c>
      <c r="C787" s="7" t="s">
        <v>37</v>
      </c>
      <c r="D787" s="7" t="s">
        <v>3612</v>
      </c>
      <c r="E787" s="7" t="s">
        <v>3617</v>
      </c>
      <c r="F787" s="8" t="s">
        <v>3628</v>
      </c>
      <c r="H787" s="7" t="s">
        <v>3618</v>
      </c>
      <c r="J787" s="7" t="s">
        <v>3546</v>
      </c>
      <c r="L787" s="7" t="s">
        <v>38</v>
      </c>
      <c r="M787" s="7" t="s">
        <v>94</v>
      </c>
      <c r="N787" s="7" t="s">
        <v>39</v>
      </c>
      <c r="O787" s="7" t="s">
        <v>2280</v>
      </c>
      <c r="P787" s="7" t="s">
        <v>2281</v>
      </c>
      <c r="Q787" s="7" t="s">
        <v>2282</v>
      </c>
      <c r="R787" t="s">
        <v>3632</v>
      </c>
    </row>
    <row r="788" spans="1:18" x14ac:dyDescent="0.3">
      <c r="A788" s="7" t="str">
        <f>HYPERLINK("https://hsdes.intel.com/resource/14013167043","14013167043")</f>
        <v>14013167043</v>
      </c>
      <c r="B788" s="7" t="s">
        <v>2283</v>
      </c>
      <c r="C788" s="7" t="s">
        <v>37</v>
      </c>
      <c r="D788" s="7" t="s">
        <v>3612</v>
      </c>
      <c r="E788" s="7" t="s">
        <v>3617</v>
      </c>
      <c r="F788" s="8" t="s">
        <v>3628</v>
      </c>
      <c r="H788" s="7" t="s">
        <v>3620</v>
      </c>
      <c r="I788" s="7" t="s">
        <v>3649</v>
      </c>
      <c r="L788" s="7" t="s">
        <v>38</v>
      </c>
      <c r="M788" s="7" t="s">
        <v>9</v>
      </c>
      <c r="N788" s="7" t="s">
        <v>39</v>
      </c>
      <c r="O788" s="7" t="s">
        <v>2284</v>
      </c>
      <c r="P788" s="7" t="s">
        <v>41</v>
      </c>
      <c r="Q788" s="7" t="s">
        <v>2285</v>
      </c>
      <c r="R788" t="s">
        <v>3632</v>
      </c>
    </row>
    <row r="789" spans="1:18" x14ac:dyDescent="0.3">
      <c r="A789" s="7" t="str">
        <f>HYPERLINK("https://hsdes.intel.com/resource/14013167054","14013167054")</f>
        <v>14013167054</v>
      </c>
      <c r="B789" s="7" t="s">
        <v>2286</v>
      </c>
      <c r="C789" s="7" t="s">
        <v>37</v>
      </c>
      <c r="D789" s="7" t="s">
        <v>3612</v>
      </c>
      <c r="E789" s="7" t="s">
        <v>3617</v>
      </c>
      <c r="F789" s="8" t="s">
        <v>3628</v>
      </c>
      <c r="H789" s="7" t="s">
        <v>3620</v>
      </c>
      <c r="I789" s="7" t="s">
        <v>3644</v>
      </c>
      <c r="L789" s="7" t="s">
        <v>38</v>
      </c>
      <c r="M789" s="7" t="s">
        <v>9</v>
      </c>
      <c r="N789" s="7" t="s">
        <v>25</v>
      </c>
      <c r="O789" s="7" t="s">
        <v>95</v>
      </c>
      <c r="P789" s="7" t="s">
        <v>41</v>
      </c>
      <c r="Q789" s="7" t="s">
        <v>2287</v>
      </c>
      <c r="R789" t="s">
        <v>3631</v>
      </c>
    </row>
    <row r="790" spans="1:18" x14ac:dyDescent="0.3">
      <c r="A790" s="7" t="str">
        <f>HYPERLINK("https://hsdes.intel.com/resource/14013167061","14013167061")</f>
        <v>14013167061</v>
      </c>
      <c r="B790" s="7" t="s">
        <v>2288</v>
      </c>
      <c r="C790" s="7" t="s">
        <v>37</v>
      </c>
      <c r="D790" s="7" t="s">
        <v>3612</v>
      </c>
      <c r="E790" s="7" t="s">
        <v>3617</v>
      </c>
      <c r="F790" s="8" t="s">
        <v>3628</v>
      </c>
      <c r="H790" s="7" t="s">
        <v>3620</v>
      </c>
      <c r="I790" s="7" t="s">
        <v>3644</v>
      </c>
      <c r="L790" s="7" t="s">
        <v>38</v>
      </c>
      <c r="M790" s="7" t="s">
        <v>9</v>
      </c>
      <c r="N790" s="7" t="s">
        <v>39</v>
      </c>
      <c r="O790" s="7" t="s">
        <v>2289</v>
      </c>
      <c r="P790" s="7" t="s">
        <v>41</v>
      </c>
      <c r="Q790" s="7" t="s">
        <v>2290</v>
      </c>
      <c r="R790" t="s">
        <v>3632</v>
      </c>
    </row>
    <row r="791" spans="1:18" x14ac:dyDescent="0.3">
      <c r="A791" s="7" t="str">
        <f>HYPERLINK("https://hsdes.intel.com/resource/14013167069","14013167069")</f>
        <v>14013167069</v>
      </c>
      <c r="B791" s="7" t="s">
        <v>2291</v>
      </c>
      <c r="C791" s="7" t="s">
        <v>37</v>
      </c>
      <c r="D791" s="7" t="s">
        <v>3612</v>
      </c>
      <c r="E791" s="7" t="s">
        <v>3617</v>
      </c>
      <c r="F791" s="8" t="s">
        <v>3628</v>
      </c>
      <c r="H791" s="7" t="s">
        <v>3620</v>
      </c>
      <c r="I791" s="7" t="s">
        <v>3644</v>
      </c>
      <c r="L791" s="7" t="s">
        <v>38</v>
      </c>
      <c r="M791" s="7" t="s">
        <v>9</v>
      </c>
      <c r="N791" s="7" t="s">
        <v>39</v>
      </c>
      <c r="O791" s="7" t="s">
        <v>40</v>
      </c>
      <c r="P791" s="7" t="s">
        <v>41</v>
      </c>
      <c r="Q791" s="7" t="s">
        <v>2292</v>
      </c>
      <c r="R791" t="s">
        <v>3632</v>
      </c>
    </row>
    <row r="792" spans="1:18" x14ac:dyDescent="0.3">
      <c r="A792" s="7" t="str">
        <f>HYPERLINK("https://hsdes.intel.com/resource/14013167072","14013167072")</f>
        <v>14013167072</v>
      </c>
      <c r="B792" s="7" t="s">
        <v>2293</v>
      </c>
      <c r="C792" s="7" t="s">
        <v>37</v>
      </c>
      <c r="D792" s="7" t="s">
        <v>3612</v>
      </c>
      <c r="E792" s="7" t="s">
        <v>3617</v>
      </c>
      <c r="F792" s="8" t="s">
        <v>3628</v>
      </c>
      <c r="H792" s="7" t="s">
        <v>3618</v>
      </c>
      <c r="J792" s="7" t="s">
        <v>3580</v>
      </c>
      <c r="L792" s="7" t="s">
        <v>38</v>
      </c>
      <c r="M792" s="7" t="s">
        <v>2213</v>
      </c>
      <c r="N792" s="7" t="s">
        <v>39</v>
      </c>
      <c r="O792" s="7" t="s">
        <v>2294</v>
      </c>
      <c r="P792" s="7" t="s">
        <v>2295</v>
      </c>
      <c r="Q792" s="7" t="s">
        <v>2296</v>
      </c>
      <c r="R792" t="s">
        <v>3632</v>
      </c>
    </row>
    <row r="793" spans="1:18" s="7" customFormat="1" x14ac:dyDescent="0.3">
      <c r="A793" s="7" t="str">
        <f>HYPERLINK("https://hsdes.intel.com/resource/14013167084","14013167084")</f>
        <v>14013167084</v>
      </c>
      <c r="B793" s="7" t="s">
        <v>2297</v>
      </c>
      <c r="C793" s="7" t="s">
        <v>37</v>
      </c>
      <c r="D793" s="7" t="s">
        <v>3613</v>
      </c>
      <c r="E793" s="7" t="s">
        <v>3617</v>
      </c>
      <c r="F793" s="8" t="s">
        <v>3628</v>
      </c>
      <c r="H793" s="7" t="s">
        <v>3618</v>
      </c>
      <c r="J793" s="7" t="s">
        <v>3534</v>
      </c>
      <c r="L793" s="7" t="s">
        <v>38</v>
      </c>
      <c r="M793" s="7" t="s">
        <v>94</v>
      </c>
      <c r="N793" s="7" t="s">
        <v>39</v>
      </c>
      <c r="O793" s="7" t="s">
        <v>2298</v>
      </c>
      <c r="P793" s="7" t="s">
        <v>2299</v>
      </c>
      <c r="Q793" s="7" t="s">
        <v>2300</v>
      </c>
      <c r="R793" t="s">
        <v>3631</v>
      </c>
    </row>
    <row r="794" spans="1:18" x14ac:dyDescent="0.3">
      <c r="A794" s="9" t="str">
        <f>HYPERLINK("https://hsdes.intel.com/resource/14013167236","14013167236")</f>
        <v>14013167236</v>
      </c>
      <c r="B794" s="7" t="s">
        <v>2301</v>
      </c>
      <c r="C794" s="7" t="s">
        <v>37</v>
      </c>
      <c r="D794" s="7" t="s">
        <v>3612</v>
      </c>
      <c r="E794" s="7" t="s">
        <v>3617</v>
      </c>
      <c r="F794" s="8" t="s">
        <v>3628</v>
      </c>
      <c r="H794" s="7" t="s">
        <v>3620</v>
      </c>
      <c r="I794" s="7" t="s">
        <v>3644</v>
      </c>
      <c r="L794" s="7" t="s">
        <v>38</v>
      </c>
      <c r="M794" s="7" t="s">
        <v>9</v>
      </c>
      <c r="N794" s="7" t="s">
        <v>39</v>
      </c>
      <c r="O794" s="7" t="s">
        <v>2302</v>
      </c>
      <c r="P794" s="7" t="s">
        <v>41</v>
      </c>
      <c r="Q794" s="7" t="s">
        <v>2303</v>
      </c>
      <c r="R794" t="s">
        <v>3632</v>
      </c>
    </row>
    <row r="795" spans="1:18" x14ac:dyDescent="0.3">
      <c r="A795" s="7" t="str">
        <f>HYPERLINK("https://hsdes.intel.com/resource/14013167252","14013167252")</f>
        <v>14013167252</v>
      </c>
      <c r="B795" s="7" t="s">
        <v>2304</v>
      </c>
      <c r="C795" s="7" t="s">
        <v>37</v>
      </c>
      <c r="D795" s="7" t="s">
        <v>3612</v>
      </c>
      <c r="E795" s="7" t="s">
        <v>3617</v>
      </c>
      <c r="F795" s="8" t="s">
        <v>3628</v>
      </c>
      <c r="H795" s="7" t="s">
        <v>3619</v>
      </c>
      <c r="I795" s="7" t="s">
        <v>3649</v>
      </c>
      <c r="L795" s="7" t="s">
        <v>38</v>
      </c>
      <c r="M795" s="7" t="s">
        <v>9</v>
      </c>
      <c r="N795" s="7" t="s">
        <v>39</v>
      </c>
      <c r="O795" s="7" t="s">
        <v>40</v>
      </c>
      <c r="P795" s="7" t="s">
        <v>41</v>
      </c>
      <c r="Q795" s="7" t="s">
        <v>2305</v>
      </c>
      <c r="R795" t="s">
        <v>3633</v>
      </c>
    </row>
    <row r="796" spans="1:18" ht="144" x14ac:dyDescent="0.3">
      <c r="A796" s="7" t="str">
        <f>HYPERLINK("https://hsdes.intel.com/resource/14013167560","14013167560")</f>
        <v>14013167560</v>
      </c>
      <c r="B796" s="7" t="s">
        <v>2306</v>
      </c>
      <c r="C796" s="7" t="s">
        <v>37</v>
      </c>
      <c r="D796" s="7" t="s">
        <v>3612</v>
      </c>
      <c r="E796" s="7" t="s">
        <v>3617</v>
      </c>
      <c r="F796" s="8" t="s">
        <v>3628</v>
      </c>
      <c r="H796" s="7" t="s">
        <v>3618</v>
      </c>
      <c r="J796" s="11" t="s">
        <v>3534</v>
      </c>
      <c r="L796" s="7" t="s">
        <v>38</v>
      </c>
      <c r="M796" s="7" t="s">
        <v>94</v>
      </c>
      <c r="N796" s="7" t="s">
        <v>39</v>
      </c>
      <c r="O796" s="7" t="s">
        <v>2307</v>
      </c>
      <c r="P796" s="7" t="s">
        <v>2308</v>
      </c>
      <c r="Q796" s="7" t="s">
        <v>2309</v>
      </c>
      <c r="R796" t="s">
        <v>3632</v>
      </c>
    </row>
    <row r="797" spans="1:18" x14ac:dyDescent="0.3">
      <c r="A797" s="7" t="str">
        <f>HYPERLINK("https://hsdes.intel.com/resource/14013167586","14013167586")</f>
        <v>14013167586</v>
      </c>
      <c r="B797" s="7" t="s">
        <v>2310</v>
      </c>
      <c r="C797" s="7" t="s">
        <v>37</v>
      </c>
      <c r="D797" s="7" t="s">
        <v>3612</v>
      </c>
      <c r="E797" s="7" t="s">
        <v>3617</v>
      </c>
      <c r="F797" s="8" t="s">
        <v>3628</v>
      </c>
      <c r="H797" s="7" t="s">
        <v>3620</v>
      </c>
      <c r="I797" s="7" t="s">
        <v>3644</v>
      </c>
      <c r="L797" s="7" t="s">
        <v>38</v>
      </c>
      <c r="M797" s="7" t="s">
        <v>9</v>
      </c>
      <c r="N797" s="7" t="s">
        <v>122</v>
      </c>
      <c r="O797" s="7" t="s">
        <v>95</v>
      </c>
      <c r="P797" s="7" t="s">
        <v>41</v>
      </c>
      <c r="Q797" s="7" t="s">
        <v>2311</v>
      </c>
      <c r="R797" t="s">
        <v>3631</v>
      </c>
    </row>
    <row r="798" spans="1:18" x14ac:dyDescent="0.3">
      <c r="A798" s="7" t="str">
        <f>HYPERLINK("https://hsdes.intel.com/resource/14013167606","14013167606")</f>
        <v>14013167606</v>
      </c>
      <c r="B798" s="7" t="s">
        <v>2312</v>
      </c>
      <c r="C798" s="7" t="s">
        <v>37</v>
      </c>
      <c r="D798" s="7" t="s">
        <v>3613</v>
      </c>
      <c r="E798" s="7" t="s">
        <v>3617</v>
      </c>
      <c r="F798" s="8" t="s">
        <v>3628</v>
      </c>
      <c r="H798" s="7" t="s">
        <v>3618</v>
      </c>
      <c r="J798" s="6" t="s">
        <v>3534</v>
      </c>
      <c r="L798" s="7" t="s">
        <v>38</v>
      </c>
      <c r="M798" s="7" t="s">
        <v>94</v>
      </c>
      <c r="N798" s="7" t="s">
        <v>39</v>
      </c>
      <c r="O798" s="7" t="s">
        <v>2313</v>
      </c>
      <c r="P798" s="7" t="s">
        <v>2314</v>
      </c>
      <c r="Q798" s="7" t="s">
        <v>2315</v>
      </c>
      <c r="R798" t="s">
        <v>3632</v>
      </c>
    </row>
    <row r="799" spans="1:18" x14ac:dyDescent="0.3">
      <c r="A799" s="7" t="str">
        <f>HYPERLINK("https://hsdes.intel.com/resource/14013168136","14013168136")</f>
        <v>14013168136</v>
      </c>
      <c r="B799" s="7" t="s">
        <v>2316</v>
      </c>
      <c r="C799" s="7" t="s">
        <v>231</v>
      </c>
      <c r="D799" s="7" t="s">
        <v>3612</v>
      </c>
      <c r="E799" s="7" t="s">
        <v>3617</v>
      </c>
      <c r="F799" s="8" t="s">
        <v>3628</v>
      </c>
      <c r="H799" s="7" t="s">
        <v>3620</v>
      </c>
      <c r="I799" s="7" t="s">
        <v>3643</v>
      </c>
      <c r="L799" s="7" t="s">
        <v>64</v>
      </c>
      <c r="M799" s="7" t="s">
        <v>9</v>
      </c>
      <c r="N799" s="7" t="s">
        <v>232</v>
      </c>
      <c r="O799" s="7" t="s">
        <v>233</v>
      </c>
      <c r="P799" s="7" t="s">
        <v>233</v>
      </c>
      <c r="Q799" s="7" t="s">
        <v>2317</v>
      </c>
      <c r="R799" t="s">
        <v>3632</v>
      </c>
    </row>
    <row r="800" spans="1:18" x14ac:dyDescent="0.3">
      <c r="A800" s="7" t="str">
        <f>HYPERLINK("https://hsdes.intel.com/resource/14013168332","14013168332")</f>
        <v>14013168332</v>
      </c>
      <c r="B800" s="7" t="s">
        <v>2318</v>
      </c>
      <c r="C800" s="7" t="s">
        <v>231</v>
      </c>
      <c r="D800" s="7" t="s">
        <v>3612</v>
      </c>
      <c r="E800" s="7" t="s">
        <v>3617</v>
      </c>
      <c r="F800" s="8" t="s">
        <v>3628</v>
      </c>
      <c r="H800" s="7" t="s">
        <v>3620</v>
      </c>
      <c r="I800" s="7" t="s">
        <v>3643</v>
      </c>
      <c r="L800" s="7" t="s">
        <v>64</v>
      </c>
      <c r="M800" s="7" t="s">
        <v>9</v>
      </c>
      <c r="N800" s="7" t="s">
        <v>232</v>
      </c>
      <c r="O800" s="7" t="s">
        <v>233</v>
      </c>
      <c r="P800" s="7" t="s">
        <v>2319</v>
      </c>
      <c r="Q800" s="7" t="s">
        <v>2320</v>
      </c>
      <c r="R800" t="s">
        <v>3632</v>
      </c>
    </row>
    <row r="801" spans="1:18" x14ac:dyDescent="0.3">
      <c r="A801" s="7" t="str">
        <f>HYPERLINK("https://hsdes.intel.com/resource/14013168337","14013168337")</f>
        <v>14013168337</v>
      </c>
      <c r="B801" s="7" t="s">
        <v>2321</v>
      </c>
      <c r="C801" s="7" t="s">
        <v>231</v>
      </c>
      <c r="D801" s="7" t="s">
        <v>3612</v>
      </c>
      <c r="E801" s="7" t="s">
        <v>3617</v>
      </c>
      <c r="F801" s="8" t="s">
        <v>3628</v>
      </c>
      <c r="H801" s="7" t="s">
        <v>3620</v>
      </c>
      <c r="I801" s="7" t="s">
        <v>3643</v>
      </c>
      <c r="L801" s="7" t="s">
        <v>64</v>
      </c>
      <c r="M801" s="7" t="s">
        <v>9</v>
      </c>
      <c r="N801" s="7" t="s">
        <v>232</v>
      </c>
      <c r="O801" s="7" t="s">
        <v>233</v>
      </c>
      <c r="P801" s="7" t="s">
        <v>233</v>
      </c>
      <c r="Q801" s="7" t="s">
        <v>2322</v>
      </c>
      <c r="R801" t="s">
        <v>3632</v>
      </c>
    </row>
    <row r="802" spans="1:18" x14ac:dyDescent="0.3">
      <c r="A802" s="7" t="str">
        <f>HYPERLINK("https://hsdes.intel.com/resource/14013168340","14013168340")</f>
        <v>14013168340</v>
      </c>
      <c r="B802" s="7" t="s">
        <v>2323</v>
      </c>
      <c r="C802" s="7" t="s">
        <v>133</v>
      </c>
      <c r="D802" s="7" t="s">
        <v>3612</v>
      </c>
      <c r="E802" s="7" t="s">
        <v>3617</v>
      </c>
      <c r="F802" s="8" t="s">
        <v>3628</v>
      </c>
      <c r="H802" s="7" t="s">
        <v>3620</v>
      </c>
      <c r="I802" s="7" t="s">
        <v>3641</v>
      </c>
      <c r="L802" s="7" t="s">
        <v>24</v>
      </c>
      <c r="M802" s="7" t="s">
        <v>9</v>
      </c>
      <c r="N802" s="7" t="s">
        <v>232</v>
      </c>
      <c r="O802" s="7" t="s">
        <v>95</v>
      </c>
      <c r="P802" s="7" t="s">
        <v>95</v>
      </c>
      <c r="Q802" s="7" t="s">
        <v>2324</v>
      </c>
      <c r="R802" t="s">
        <v>3632</v>
      </c>
    </row>
    <row r="803" spans="1:18" x14ac:dyDescent="0.3">
      <c r="A803" s="7" t="str">
        <f>HYPERLINK("https://hsdes.intel.com/resource/14013168343","14013168343")</f>
        <v>14013168343</v>
      </c>
      <c r="B803" s="7" t="s">
        <v>2325</v>
      </c>
      <c r="C803" s="7" t="s">
        <v>231</v>
      </c>
      <c r="D803" s="7" t="s">
        <v>3612</v>
      </c>
      <c r="E803" s="7" t="s">
        <v>3617</v>
      </c>
      <c r="F803" s="8" t="s">
        <v>3628</v>
      </c>
      <c r="H803" s="7" t="s">
        <v>3620</v>
      </c>
      <c r="I803" s="7" t="s">
        <v>3643</v>
      </c>
      <c r="L803" s="7" t="s">
        <v>64</v>
      </c>
      <c r="M803" s="7" t="s">
        <v>9</v>
      </c>
      <c r="N803" s="7" t="s">
        <v>232</v>
      </c>
      <c r="O803" s="7" t="s">
        <v>233</v>
      </c>
      <c r="P803" s="7" t="s">
        <v>233</v>
      </c>
      <c r="Q803" s="7" t="s">
        <v>2326</v>
      </c>
      <c r="R803" t="s">
        <v>3632</v>
      </c>
    </row>
    <row r="804" spans="1:18" x14ac:dyDescent="0.3">
      <c r="A804" s="7" t="str">
        <f>HYPERLINK("https://hsdes.intel.com/resource/14013168346","14013168346")</f>
        <v>14013168346</v>
      </c>
      <c r="B804" s="7" t="s">
        <v>2327</v>
      </c>
      <c r="C804" s="7" t="s">
        <v>231</v>
      </c>
      <c r="D804" s="7" t="s">
        <v>3612</v>
      </c>
      <c r="E804" s="7" t="s">
        <v>3617</v>
      </c>
      <c r="F804" s="8" t="s">
        <v>3628</v>
      </c>
      <c r="H804" s="7" t="s">
        <v>3620</v>
      </c>
      <c r="I804" s="7" t="s">
        <v>3643</v>
      </c>
      <c r="L804" s="7" t="s">
        <v>64</v>
      </c>
      <c r="M804" s="7" t="s">
        <v>9</v>
      </c>
      <c r="N804" s="7" t="s">
        <v>232</v>
      </c>
      <c r="O804" s="7" t="s">
        <v>233</v>
      </c>
      <c r="P804" s="7" t="s">
        <v>233</v>
      </c>
      <c r="Q804" s="7" t="s">
        <v>2328</v>
      </c>
      <c r="R804" t="s">
        <v>3632</v>
      </c>
    </row>
    <row r="805" spans="1:18" x14ac:dyDescent="0.3">
      <c r="A805" s="7" t="str">
        <f>HYPERLINK("https://hsdes.intel.com/resource/14013168352","14013168352")</f>
        <v>14013168352</v>
      </c>
      <c r="B805" s="7" t="s">
        <v>2329</v>
      </c>
      <c r="C805" s="7" t="s">
        <v>231</v>
      </c>
      <c r="D805" s="7" t="s">
        <v>3612</v>
      </c>
      <c r="E805" s="7" t="s">
        <v>3617</v>
      </c>
      <c r="F805" s="8" t="s">
        <v>3628</v>
      </c>
      <c r="H805" s="7" t="s">
        <v>3620</v>
      </c>
      <c r="I805" s="7" t="s">
        <v>3643</v>
      </c>
      <c r="L805" s="7" t="s">
        <v>64</v>
      </c>
      <c r="M805" s="7" t="s">
        <v>9</v>
      </c>
      <c r="N805" s="7" t="s">
        <v>232</v>
      </c>
      <c r="O805" s="7" t="s">
        <v>252</v>
      </c>
      <c r="P805" s="7" t="s">
        <v>252</v>
      </c>
      <c r="Q805" s="7" t="s">
        <v>2330</v>
      </c>
      <c r="R805" t="s">
        <v>3632</v>
      </c>
    </row>
    <row r="806" spans="1:18" x14ac:dyDescent="0.3">
      <c r="A806" s="7" t="str">
        <f>HYPERLINK("https://hsdes.intel.com/resource/14013168358","14013168358")</f>
        <v>14013168358</v>
      </c>
      <c r="B806" s="7" t="s">
        <v>2331</v>
      </c>
      <c r="C806" s="7" t="s">
        <v>231</v>
      </c>
      <c r="D806" s="7" t="s">
        <v>3612</v>
      </c>
      <c r="E806" s="7" t="s">
        <v>3617</v>
      </c>
      <c r="F806" s="8" t="s">
        <v>3628</v>
      </c>
      <c r="H806" s="7" t="s">
        <v>3619</v>
      </c>
      <c r="I806" s="7" t="s">
        <v>3643</v>
      </c>
      <c r="L806" s="7" t="s">
        <v>64</v>
      </c>
      <c r="M806" s="7" t="s">
        <v>9</v>
      </c>
      <c r="N806" s="7" t="s">
        <v>232</v>
      </c>
      <c r="O806" s="7" t="s">
        <v>233</v>
      </c>
      <c r="P806" s="7" t="s">
        <v>233</v>
      </c>
      <c r="Q806" s="7" t="s">
        <v>2332</v>
      </c>
      <c r="R806" t="s">
        <v>3632</v>
      </c>
    </row>
    <row r="807" spans="1:18" x14ac:dyDescent="0.3">
      <c r="A807" s="7" t="str">
        <f>HYPERLINK("https://hsdes.intel.com/resource/14013168366","14013168366")</f>
        <v>14013168366</v>
      </c>
      <c r="B807" s="7" t="s">
        <v>2333</v>
      </c>
      <c r="C807" s="7" t="s">
        <v>231</v>
      </c>
      <c r="D807" s="7" t="s">
        <v>3612</v>
      </c>
      <c r="E807" s="7" t="s">
        <v>3617</v>
      </c>
      <c r="F807" s="8" t="s">
        <v>3628</v>
      </c>
      <c r="H807" s="7" t="s">
        <v>3619</v>
      </c>
      <c r="I807" s="7" t="s">
        <v>3649</v>
      </c>
      <c r="L807" s="7" t="s">
        <v>64</v>
      </c>
      <c r="M807" s="7" t="s">
        <v>9</v>
      </c>
      <c r="N807" s="7" t="s">
        <v>232</v>
      </c>
      <c r="O807" s="7" t="s">
        <v>233</v>
      </c>
      <c r="P807" s="7" t="s">
        <v>233</v>
      </c>
      <c r="Q807" s="7" t="s">
        <v>2334</v>
      </c>
      <c r="R807" t="s">
        <v>3632</v>
      </c>
    </row>
    <row r="808" spans="1:18" x14ac:dyDescent="0.3">
      <c r="A808" s="7" t="str">
        <f>HYPERLINK("https://hsdes.intel.com/resource/14013168370","14013168370")</f>
        <v>14013168370</v>
      </c>
      <c r="B808" s="7" t="s">
        <v>2335</v>
      </c>
      <c r="C808" s="7" t="s">
        <v>231</v>
      </c>
      <c r="D808" s="7" t="s">
        <v>3613</v>
      </c>
      <c r="E808" s="7" t="s">
        <v>3617</v>
      </c>
      <c r="F808" s="8" t="s">
        <v>3628</v>
      </c>
      <c r="H808" s="7" t="s">
        <v>3620</v>
      </c>
      <c r="I808" s="7" t="s">
        <v>3622</v>
      </c>
      <c r="J808" s="7" t="s">
        <v>3560</v>
      </c>
      <c r="L808" s="7" t="s">
        <v>64</v>
      </c>
      <c r="M808" s="7" t="s">
        <v>9</v>
      </c>
      <c r="N808" s="7" t="s">
        <v>232</v>
      </c>
      <c r="O808" s="7" t="s">
        <v>2336</v>
      </c>
      <c r="P808" s="7" t="s">
        <v>2336</v>
      </c>
      <c r="Q808" s="7" t="s">
        <v>2337</v>
      </c>
      <c r="R808" t="s">
        <v>3633</v>
      </c>
    </row>
    <row r="809" spans="1:18" x14ac:dyDescent="0.3">
      <c r="A809" s="7" t="str">
        <f>HYPERLINK("https://hsdes.intel.com/resource/14013168420","14013168420")</f>
        <v>14013168420</v>
      </c>
      <c r="B809" s="7" t="s">
        <v>2338</v>
      </c>
      <c r="C809" s="7" t="s">
        <v>231</v>
      </c>
      <c r="D809" s="7" t="s">
        <v>3612</v>
      </c>
      <c r="E809" s="7" t="s">
        <v>3617</v>
      </c>
      <c r="F809" s="8" t="s">
        <v>3628</v>
      </c>
      <c r="H809" s="7" t="s">
        <v>3620</v>
      </c>
      <c r="I809" s="7" t="s">
        <v>3622</v>
      </c>
      <c r="J809" s="7" t="s">
        <v>3547</v>
      </c>
      <c r="L809" s="7" t="s">
        <v>64</v>
      </c>
      <c r="M809" s="7" t="s">
        <v>9</v>
      </c>
      <c r="N809" s="7" t="s">
        <v>232</v>
      </c>
      <c r="O809" s="7" t="s">
        <v>233</v>
      </c>
      <c r="P809" s="7" t="s">
        <v>233</v>
      </c>
      <c r="Q809" s="7" t="s">
        <v>2339</v>
      </c>
      <c r="R809" t="s">
        <v>3632</v>
      </c>
    </row>
    <row r="810" spans="1:18" x14ac:dyDescent="0.3">
      <c r="A810" s="7" t="str">
        <f>HYPERLINK("https://hsdes.intel.com/resource/14013168467","14013168467")</f>
        <v>14013168467</v>
      </c>
      <c r="B810" s="7" t="s">
        <v>2340</v>
      </c>
      <c r="C810" s="7" t="s">
        <v>231</v>
      </c>
      <c r="D810" s="7" t="s">
        <v>3612</v>
      </c>
      <c r="E810" s="7" t="s">
        <v>3617</v>
      </c>
      <c r="F810" s="8" t="s">
        <v>3628</v>
      </c>
      <c r="H810" s="7" t="s">
        <v>3618</v>
      </c>
      <c r="I810" s="7" t="s">
        <v>3624</v>
      </c>
      <c r="J810" s="7" t="s">
        <v>3548</v>
      </c>
      <c r="L810" s="7" t="s">
        <v>64</v>
      </c>
      <c r="M810" s="7" t="s">
        <v>9</v>
      </c>
      <c r="N810" s="7" t="s">
        <v>232</v>
      </c>
      <c r="O810" s="7" t="s">
        <v>233</v>
      </c>
      <c r="P810" s="7" t="s">
        <v>233</v>
      </c>
      <c r="Q810" s="7" t="s">
        <v>2341</v>
      </c>
      <c r="R810" t="s">
        <v>3632</v>
      </c>
    </row>
    <row r="811" spans="1:18" x14ac:dyDescent="0.3">
      <c r="A811" s="7" t="str">
        <f>HYPERLINK("https://hsdes.intel.com/resource/14013168473","14013168473")</f>
        <v>14013168473</v>
      </c>
      <c r="B811" s="7" t="s">
        <v>2342</v>
      </c>
      <c r="C811" s="7" t="s">
        <v>231</v>
      </c>
      <c r="D811" s="7" t="s">
        <v>3612</v>
      </c>
      <c r="E811" s="7" t="s">
        <v>3617</v>
      </c>
      <c r="F811" s="8" t="s">
        <v>3628</v>
      </c>
      <c r="H811" s="7" t="s">
        <v>3620</v>
      </c>
      <c r="I811" s="7" t="s">
        <v>3622</v>
      </c>
      <c r="L811" s="7" t="s">
        <v>64</v>
      </c>
      <c r="M811" s="7" t="s">
        <v>9</v>
      </c>
      <c r="N811" s="7" t="s">
        <v>232</v>
      </c>
      <c r="O811" s="7" t="s">
        <v>233</v>
      </c>
      <c r="P811" s="7" t="s">
        <v>233</v>
      </c>
      <c r="Q811" s="7" t="s">
        <v>2343</v>
      </c>
      <c r="R811" t="s">
        <v>3631</v>
      </c>
    </row>
    <row r="812" spans="1:18" x14ac:dyDescent="0.3">
      <c r="A812" s="7" t="str">
        <f>HYPERLINK("https://hsdes.intel.com/resource/14013168646","14013168646")</f>
        <v>14013168646</v>
      </c>
      <c r="B812" s="7" t="s">
        <v>2344</v>
      </c>
      <c r="C812" s="7" t="s">
        <v>231</v>
      </c>
      <c r="D812" s="7" t="s">
        <v>3612</v>
      </c>
      <c r="E812" s="7" t="s">
        <v>3617</v>
      </c>
      <c r="F812" s="8" t="s">
        <v>3628</v>
      </c>
      <c r="H812" s="7" t="s">
        <v>3620</v>
      </c>
      <c r="I812" s="7" t="s">
        <v>3622</v>
      </c>
      <c r="L812" s="7" t="s">
        <v>64</v>
      </c>
      <c r="M812" s="7" t="s">
        <v>9</v>
      </c>
      <c r="N812" s="7" t="s">
        <v>232</v>
      </c>
      <c r="O812" s="7" t="s">
        <v>252</v>
      </c>
      <c r="P812" s="7" t="s">
        <v>233</v>
      </c>
      <c r="Q812" s="7" t="s">
        <v>2345</v>
      </c>
      <c r="R812" t="s">
        <v>3632</v>
      </c>
    </row>
    <row r="813" spans="1:18" x14ac:dyDescent="0.3">
      <c r="A813" s="7" t="str">
        <f>HYPERLINK("https://hsdes.intel.com/resource/14013168655","14013168655")</f>
        <v>14013168655</v>
      </c>
      <c r="B813" s="7" t="s">
        <v>2346</v>
      </c>
      <c r="C813" s="7" t="s">
        <v>231</v>
      </c>
      <c r="D813" s="7" t="s">
        <v>3613</v>
      </c>
      <c r="E813" s="7" t="s">
        <v>3617</v>
      </c>
      <c r="F813" s="8" t="s">
        <v>3628</v>
      </c>
      <c r="H813" s="7" t="s">
        <v>3620</v>
      </c>
      <c r="I813" s="7" t="s">
        <v>3622</v>
      </c>
      <c r="L813" s="7" t="s">
        <v>64</v>
      </c>
      <c r="M813" s="7" t="s">
        <v>9</v>
      </c>
      <c r="N813" s="7" t="s">
        <v>232</v>
      </c>
      <c r="O813" s="7" t="s">
        <v>233</v>
      </c>
      <c r="P813" s="7" t="s">
        <v>233</v>
      </c>
      <c r="Q813" s="7" t="s">
        <v>2347</v>
      </c>
      <c r="R813" t="s">
        <v>3631</v>
      </c>
    </row>
    <row r="814" spans="1:18" x14ac:dyDescent="0.3">
      <c r="A814" s="7" t="str">
        <f>HYPERLINK("https://hsdes.intel.com/resource/14013168683","14013168683")</f>
        <v>14013168683</v>
      </c>
      <c r="B814" s="7" t="s">
        <v>2348</v>
      </c>
      <c r="C814" s="7" t="s">
        <v>231</v>
      </c>
      <c r="D814" s="7" t="s">
        <v>3612</v>
      </c>
      <c r="E814" s="7" t="s">
        <v>3617</v>
      </c>
      <c r="F814" s="8" t="s">
        <v>3628</v>
      </c>
      <c r="H814" s="7" t="s">
        <v>3620</v>
      </c>
      <c r="I814" s="7" t="s">
        <v>3622</v>
      </c>
      <c r="L814" s="7" t="s">
        <v>64</v>
      </c>
      <c r="M814" s="7" t="s">
        <v>94</v>
      </c>
      <c r="N814" s="7" t="s">
        <v>232</v>
      </c>
      <c r="O814" s="7" t="s">
        <v>252</v>
      </c>
      <c r="P814" s="7" t="s">
        <v>252</v>
      </c>
      <c r="Q814" s="7" t="s">
        <v>2349</v>
      </c>
      <c r="R814" t="s">
        <v>3631</v>
      </c>
    </row>
    <row r="815" spans="1:18" x14ac:dyDescent="0.3">
      <c r="A815" s="7" t="str">
        <f>HYPERLINK("https://hsdes.intel.com/resource/14013168778","14013168778")</f>
        <v>14013168778</v>
      </c>
      <c r="B815" s="7" t="s">
        <v>2350</v>
      </c>
      <c r="C815" s="7" t="s">
        <v>231</v>
      </c>
      <c r="D815" s="7" t="s">
        <v>3612</v>
      </c>
      <c r="E815" s="7" t="s">
        <v>3617</v>
      </c>
      <c r="F815" s="8" t="s">
        <v>3628</v>
      </c>
      <c r="H815" s="7" t="s">
        <v>3620</v>
      </c>
      <c r="I815" s="7" t="s">
        <v>3622</v>
      </c>
      <c r="L815" s="7" t="s">
        <v>64</v>
      </c>
      <c r="M815" s="7" t="s">
        <v>9</v>
      </c>
      <c r="N815" s="7" t="s">
        <v>232</v>
      </c>
      <c r="O815" s="7" t="s">
        <v>233</v>
      </c>
      <c r="P815" s="7" t="s">
        <v>233</v>
      </c>
      <c r="Q815" s="7" t="s">
        <v>2351</v>
      </c>
      <c r="R815" t="s">
        <v>3631</v>
      </c>
    </row>
    <row r="816" spans="1:18" x14ac:dyDescent="0.3">
      <c r="A816" s="7" t="str">
        <f>HYPERLINK("https://hsdes.intel.com/resource/14013168780","14013168780")</f>
        <v>14013168780</v>
      </c>
      <c r="B816" s="7" t="s">
        <v>2352</v>
      </c>
      <c r="C816" s="7" t="s">
        <v>231</v>
      </c>
      <c r="D816" s="7" t="s">
        <v>3612</v>
      </c>
      <c r="E816" s="7" t="s">
        <v>3617</v>
      </c>
      <c r="F816" s="8" t="s">
        <v>3628</v>
      </c>
      <c r="H816" s="7" t="s">
        <v>3620</v>
      </c>
      <c r="I816" s="7" t="s">
        <v>3622</v>
      </c>
      <c r="L816" s="7" t="s">
        <v>64</v>
      </c>
      <c r="M816" s="7" t="s">
        <v>9</v>
      </c>
      <c r="N816" s="7" t="s">
        <v>232</v>
      </c>
      <c r="O816" s="7" t="s">
        <v>233</v>
      </c>
      <c r="P816" s="7" t="s">
        <v>233</v>
      </c>
      <c r="Q816" s="7" t="s">
        <v>2353</v>
      </c>
      <c r="R816" t="s">
        <v>3632</v>
      </c>
    </row>
    <row r="817" spans="1:18" x14ac:dyDescent="0.3">
      <c r="A817" s="7" t="str">
        <f>HYPERLINK("https://hsdes.intel.com/resource/14013168804","14013168804")</f>
        <v>14013168804</v>
      </c>
      <c r="B817" s="7" t="s">
        <v>2354</v>
      </c>
      <c r="C817" s="7" t="s">
        <v>231</v>
      </c>
      <c r="D817" s="7" t="s">
        <v>3612</v>
      </c>
      <c r="E817" s="7" t="s">
        <v>3617</v>
      </c>
      <c r="F817" s="8" t="s">
        <v>3628</v>
      </c>
      <c r="H817" s="7" t="s">
        <v>3620</v>
      </c>
      <c r="I817" s="7" t="s">
        <v>3622</v>
      </c>
      <c r="L817" s="7" t="s">
        <v>64</v>
      </c>
      <c r="M817" s="7" t="s">
        <v>9</v>
      </c>
      <c r="N817" s="7" t="s">
        <v>2355</v>
      </c>
      <c r="O817" s="7" t="s">
        <v>2356</v>
      </c>
      <c r="P817" s="7" t="s">
        <v>233</v>
      </c>
      <c r="Q817" s="7" t="s">
        <v>2357</v>
      </c>
      <c r="R817" t="s">
        <v>3633</v>
      </c>
    </row>
    <row r="818" spans="1:18" x14ac:dyDescent="0.3">
      <c r="A818" s="7" t="str">
        <f>HYPERLINK("https://hsdes.intel.com/resource/14013168849","14013168849")</f>
        <v>14013168849</v>
      </c>
      <c r="B818" s="7" t="s">
        <v>2358</v>
      </c>
      <c r="C818" s="7" t="s">
        <v>231</v>
      </c>
      <c r="D818" s="7" t="s">
        <v>3612</v>
      </c>
      <c r="E818" s="7" t="s">
        <v>3617</v>
      </c>
      <c r="F818" s="8" t="s">
        <v>3628</v>
      </c>
      <c r="H818" s="7" t="s">
        <v>3620</v>
      </c>
      <c r="I818" s="7" t="s">
        <v>3622</v>
      </c>
      <c r="J818" s="7" t="s">
        <v>3589</v>
      </c>
      <c r="L818" s="7" t="s">
        <v>64</v>
      </c>
      <c r="M818" s="7" t="s">
        <v>9</v>
      </c>
      <c r="N818" s="7" t="s">
        <v>232</v>
      </c>
      <c r="O818" s="7" t="s">
        <v>233</v>
      </c>
      <c r="P818" s="7" t="s">
        <v>281</v>
      </c>
      <c r="Q818" s="7" t="s">
        <v>2359</v>
      </c>
      <c r="R818" t="s">
        <v>3632</v>
      </c>
    </row>
    <row r="819" spans="1:18" x14ac:dyDescent="0.3">
      <c r="A819" s="7" t="str">
        <f>HYPERLINK("https://hsdes.intel.com/resource/14013168853","14013168853")</f>
        <v>14013168853</v>
      </c>
      <c r="B819" s="7" t="s">
        <v>2360</v>
      </c>
      <c r="C819" s="7" t="s">
        <v>231</v>
      </c>
      <c r="D819" s="7" t="s">
        <v>3612</v>
      </c>
      <c r="E819" s="7" t="s">
        <v>3617</v>
      </c>
      <c r="F819" s="8" t="s">
        <v>3628</v>
      </c>
      <c r="H819" s="7" t="s">
        <v>3620</v>
      </c>
      <c r="I819" s="7" t="s">
        <v>3622</v>
      </c>
      <c r="L819" s="7" t="s">
        <v>64</v>
      </c>
      <c r="M819" s="7" t="s">
        <v>9</v>
      </c>
      <c r="N819" s="7" t="s">
        <v>232</v>
      </c>
      <c r="O819" s="7" t="s">
        <v>233</v>
      </c>
      <c r="P819" s="7" t="s">
        <v>233</v>
      </c>
      <c r="Q819" s="7" t="s">
        <v>2361</v>
      </c>
      <c r="R819" t="s">
        <v>3632</v>
      </c>
    </row>
    <row r="820" spans="1:18" x14ac:dyDescent="0.3">
      <c r="A820" s="7" t="str">
        <f>HYPERLINK("https://hsdes.intel.com/resource/14013168857","14013168857")</f>
        <v>14013168857</v>
      </c>
      <c r="B820" s="7" t="s">
        <v>2362</v>
      </c>
      <c r="C820" s="7" t="s">
        <v>231</v>
      </c>
      <c r="D820" s="7" t="s">
        <v>3612</v>
      </c>
      <c r="E820" s="7" t="s">
        <v>3617</v>
      </c>
      <c r="F820" s="8" t="s">
        <v>3628</v>
      </c>
      <c r="H820" s="7" t="s">
        <v>3620</v>
      </c>
      <c r="I820" s="7" t="s">
        <v>3622</v>
      </c>
      <c r="L820" s="7" t="s">
        <v>64</v>
      </c>
      <c r="M820" s="7" t="s">
        <v>9</v>
      </c>
      <c r="N820" s="7" t="s">
        <v>232</v>
      </c>
      <c r="O820" s="7" t="s">
        <v>233</v>
      </c>
      <c r="P820" s="7" t="s">
        <v>281</v>
      </c>
      <c r="Q820" s="7" t="s">
        <v>2363</v>
      </c>
      <c r="R820" t="s">
        <v>3632</v>
      </c>
    </row>
    <row r="821" spans="1:18" x14ac:dyDescent="0.3">
      <c r="A821" s="7" t="str">
        <f>HYPERLINK("https://hsdes.intel.com/resource/14013168861","14013168861")</f>
        <v>14013168861</v>
      </c>
      <c r="B821" s="7" t="s">
        <v>2364</v>
      </c>
      <c r="C821" s="7" t="s">
        <v>231</v>
      </c>
      <c r="D821" s="7" t="s">
        <v>3612</v>
      </c>
      <c r="E821" s="7" t="s">
        <v>3617</v>
      </c>
      <c r="F821" s="8" t="s">
        <v>3628</v>
      </c>
      <c r="H821" s="7" t="s">
        <v>3620</v>
      </c>
      <c r="I821" s="7" t="s">
        <v>3622</v>
      </c>
      <c r="L821" s="7" t="s">
        <v>64</v>
      </c>
      <c r="M821" s="7" t="s">
        <v>9</v>
      </c>
      <c r="N821" s="7" t="s">
        <v>232</v>
      </c>
      <c r="O821" s="7" t="s">
        <v>233</v>
      </c>
      <c r="P821" s="7" t="s">
        <v>233</v>
      </c>
      <c r="Q821" s="7" t="s">
        <v>2365</v>
      </c>
      <c r="R821" t="s">
        <v>3631</v>
      </c>
    </row>
    <row r="822" spans="1:18" x14ac:dyDescent="0.3">
      <c r="A822" s="7" t="str">
        <f>HYPERLINK("https://hsdes.intel.com/resource/14013168995","14013168995")</f>
        <v>14013168995</v>
      </c>
      <c r="B822" s="7" t="s">
        <v>2366</v>
      </c>
      <c r="C822" s="7" t="s">
        <v>231</v>
      </c>
      <c r="D822" s="7" t="s">
        <v>3612</v>
      </c>
      <c r="E822" s="7" t="s">
        <v>3617</v>
      </c>
      <c r="F822" s="8" t="s">
        <v>3628</v>
      </c>
      <c r="H822" s="7" t="s">
        <v>3618</v>
      </c>
      <c r="I822" s="7" t="s">
        <v>3624</v>
      </c>
      <c r="J822" s="7" t="s">
        <v>3549</v>
      </c>
      <c r="L822" s="7" t="s">
        <v>64</v>
      </c>
      <c r="M822" s="7" t="s">
        <v>9</v>
      </c>
      <c r="N822" s="7" t="s">
        <v>232</v>
      </c>
      <c r="O822" s="7" t="s">
        <v>263</v>
      </c>
      <c r="P822" s="7" t="s">
        <v>264</v>
      </c>
      <c r="Q822" s="7" t="s">
        <v>2367</v>
      </c>
      <c r="R822" t="s">
        <v>3632</v>
      </c>
    </row>
    <row r="823" spans="1:18" x14ac:dyDescent="0.3">
      <c r="A823" s="7" t="str">
        <f>HYPERLINK("https://hsdes.intel.com/resource/14013169011","14013169011")</f>
        <v>14013169011</v>
      </c>
      <c r="B823" s="7" t="s">
        <v>2368</v>
      </c>
      <c r="C823" s="7" t="s">
        <v>231</v>
      </c>
      <c r="D823" s="7" t="s">
        <v>3612</v>
      </c>
      <c r="E823" s="7" t="s">
        <v>3617</v>
      </c>
      <c r="F823" s="8" t="s">
        <v>3628</v>
      </c>
      <c r="H823" s="7" t="s">
        <v>3620</v>
      </c>
      <c r="I823" s="7" t="s">
        <v>3622</v>
      </c>
      <c r="L823" s="7" t="s">
        <v>64</v>
      </c>
      <c r="M823" s="7" t="s">
        <v>9</v>
      </c>
      <c r="N823" s="7" t="s">
        <v>232</v>
      </c>
      <c r="O823" s="7" t="s">
        <v>233</v>
      </c>
      <c r="P823" s="7" t="s">
        <v>233</v>
      </c>
      <c r="Q823" s="7" t="s">
        <v>2369</v>
      </c>
      <c r="R823" t="s">
        <v>3632</v>
      </c>
    </row>
    <row r="824" spans="1:18" x14ac:dyDescent="0.3">
      <c r="A824" s="7" t="str">
        <f>HYPERLINK("https://hsdes.intel.com/resource/14013169014","14013169014")</f>
        <v>14013169014</v>
      </c>
      <c r="B824" s="7" t="s">
        <v>2370</v>
      </c>
      <c r="C824" s="7" t="s">
        <v>231</v>
      </c>
      <c r="D824" s="7" t="s">
        <v>3612</v>
      </c>
      <c r="E824" s="7" t="s">
        <v>3617</v>
      </c>
      <c r="F824" s="8" t="s">
        <v>3628</v>
      </c>
      <c r="H824" s="7" t="s">
        <v>3620</v>
      </c>
      <c r="I824" s="7" t="s">
        <v>3622</v>
      </c>
      <c r="J824" s="7" t="s">
        <v>3589</v>
      </c>
      <c r="L824" s="7" t="s">
        <v>64</v>
      </c>
      <c r="M824" s="7" t="s">
        <v>94</v>
      </c>
      <c r="N824" s="7" t="s">
        <v>2355</v>
      </c>
      <c r="O824" s="7" t="s">
        <v>233</v>
      </c>
      <c r="P824" s="7" t="s">
        <v>281</v>
      </c>
      <c r="Q824" s="7" t="s">
        <v>2371</v>
      </c>
      <c r="R824" t="s">
        <v>3633</v>
      </c>
    </row>
    <row r="825" spans="1:18" x14ac:dyDescent="0.3">
      <c r="A825" s="7" t="str">
        <f>HYPERLINK("https://hsdes.intel.com/resource/14013169069","14013169069")</f>
        <v>14013169069</v>
      </c>
      <c r="B825" s="7" t="s">
        <v>2372</v>
      </c>
      <c r="C825" s="7" t="s">
        <v>231</v>
      </c>
      <c r="D825" s="7" t="s">
        <v>3612</v>
      </c>
      <c r="E825" s="7" t="s">
        <v>3617</v>
      </c>
      <c r="F825" s="8" t="s">
        <v>3628</v>
      </c>
      <c r="H825" s="7" t="s">
        <v>3620</v>
      </c>
      <c r="I825" s="7" t="s">
        <v>3622</v>
      </c>
      <c r="J825" s="6" t="s">
        <v>3581</v>
      </c>
      <c r="L825" s="7" t="s">
        <v>64</v>
      </c>
      <c r="M825" s="7" t="s">
        <v>9</v>
      </c>
      <c r="N825" s="7" t="s">
        <v>2373</v>
      </c>
      <c r="O825" s="7" t="s">
        <v>233</v>
      </c>
      <c r="P825" s="7" t="s">
        <v>281</v>
      </c>
      <c r="Q825" s="7" t="s">
        <v>2374</v>
      </c>
      <c r="R825" t="s">
        <v>3631</v>
      </c>
    </row>
    <row r="826" spans="1:18" x14ac:dyDescent="0.3">
      <c r="A826" s="7" t="str">
        <f>HYPERLINK("https://hsdes.intel.com/resource/14013169083","14013169083")</f>
        <v>14013169083</v>
      </c>
      <c r="B826" s="7" t="s">
        <v>2375</v>
      </c>
      <c r="C826" s="7" t="s">
        <v>231</v>
      </c>
      <c r="D826" s="7" t="s">
        <v>3612</v>
      </c>
      <c r="E826" s="7" t="s">
        <v>3617</v>
      </c>
      <c r="F826" s="8" t="s">
        <v>3628</v>
      </c>
      <c r="H826" s="7" t="s">
        <v>3620</v>
      </c>
      <c r="I826" s="7" t="s">
        <v>3641</v>
      </c>
      <c r="L826" s="7" t="s">
        <v>64</v>
      </c>
      <c r="M826" s="7" t="s">
        <v>9</v>
      </c>
      <c r="N826" s="7" t="s">
        <v>232</v>
      </c>
      <c r="O826" s="7" t="s">
        <v>233</v>
      </c>
      <c r="P826" s="7" t="s">
        <v>233</v>
      </c>
      <c r="Q826" s="7" t="s">
        <v>2376</v>
      </c>
      <c r="R826" t="s">
        <v>3631</v>
      </c>
    </row>
    <row r="827" spans="1:18" x14ac:dyDescent="0.3">
      <c r="A827" s="7" t="str">
        <f>HYPERLINK("https://hsdes.intel.com/resource/14013169091","14013169091")</f>
        <v>14013169091</v>
      </c>
      <c r="B827" s="7" t="s">
        <v>2377</v>
      </c>
      <c r="C827" s="7" t="s">
        <v>231</v>
      </c>
      <c r="D827" s="7" t="s">
        <v>3612</v>
      </c>
      <c r="E827" s="7" t="s">
        <v>3617</v>
      </c>
      <c r="F827" s="8" t="s">
        <v>3628</v>
      </c>
      <c r="H827" s="7" t="s">
        <v>3620</v>
      </c>
      <c r="I827" s="7" t="s">
        <v>3641</v>
      </c>
      <c r="L827" s="7" t="s">
        <v>64</v>
      </c>
      <c r="M827" s="7" t="s">
        <v>9</v>
      </c>
      <c r="N827" s="7" t="s">
        <v>232</v>
      </c>
      <c r="O827" s="7" t="s">
        <v>233</v>
      </c>
      <c r="P827" s="7" t="s">
        <v>233</v>
      </c>
      <c r="Q827" s="7" t="s">
        <v>2378</v>
      </c>
      <c r="R827" t="s">
        <v>3631</v>
      </c>
    </row>
    <row r="828" spans="1:18" x14ac:dyDescent="0.3">
      <c r="A828" s="7" t="str">
        <f>HYPERLINK("https://hsdes.intel.com/resource/14013169094","14013169094")</f>
        <v>14013169094</v>
      </c>
      <c r="B828" s="7" t="s">
        <v>2379</v>
      </c>
      <c r="C828" s="7" t="s">
        <v>231</v>
      </c>
      <c r="D828" s="7" t="s">
        <v>3612</v>
      </c>
      <c r="E828" s="7" t="s">
        <v>3617</v>
      </c>
      <c r="F828" s="8" t="s">
        <v>3628</v>
      </c>
      <c r="H828" s="7" t="s">
        <v>3620</v>
      </c>
      <c r="I828" s="7" t="s">
        <v>3641</v>
      </c>
      <c r="L828" s="7" t="s">
        <v>64</v>
      </c>
      <c r="M828" s="7" t="s">
        <v>9</v>
      </c>
      <c r="N828" s="7" t="s">
        <v>232</v>
      </c>
      <c r="O828" s="7" t="s">
        <v>233</v>
      </c>
      <c r="P828" s="7" t="s">
        <v>233</v>
      </c>
      <c r="Q828" s="7" t="s">
        <v>2380</v>
      </c>
      <c r="R828" t="s">
        <v>3631</v>
      </c>
    </row>
    <row r="829" spans="1:18" x14ac:dyDescent="0.3">
      <c r="A829" s="7" t="str">
        <f>HYPERLINK("https://hsdes.intel.com/resource/14013169103","14013169103")</f>
        <v>14013169103</v>
      </c>
      <c r="B829" s="7" t="s">
        <v>2381</v>
      </c>
      <c r="C829" s="7" t="s">
        <v>231</v>
      </c>
      <c r="D829" s="7" t="s">
        <v>3612</v>
      </c>
      <c r="E829" s="7" t="s">
        <v>3617</v>
      </c>
      <c r="F829" s="8" t="s">
        <v>3628</v>
      </c>
      <c r="H829" s="7" t="s">
        <v>3620</v>
      </c>
      <c r="I829" s="7" t="s">
        <v>3641</v>
      </c>
      <c r="L829" s="7" t="s">
        <v>64</v>
      </c>
      <c r="M829" s="7" t="s">
        <v>9</v>
      </c>
      <c r="N829" s="7" t="s">
        <v>232</v>
      </c>
      <c r="O829" s="7" t="s">
        <v>233</v>
      </c>
      <c r="P829" s="7" t="s">
        <v>233</v>
      </c>
      <c r="Q829" s="7" t="s">
        <v>2382</v>
      </c>
      <c r="R829" t="s">
        <v>3632</v>
      </c>
    </row>
    <row r="830" spans="1:18" x14ac:dyDescent="0.3">
      <c r="A830" s="7" t="str">
        <f>HYPERLINK("https://hsdes.intel.com/resource/14013169135","14013169135")</f>
        <v>14013169135</v>
      </c>
      <c r="B830" s="7" t="s">
        <v>2383</v>
      </c>
      <c r="C830" s="7" t="s">
        <v>231</v>
      </c>
      <c r="D830" s="7" t="s">
        <v>3612</v>
      </c>
      <c r="E830" s="7" t="s">
        <v>3617</v>
      </c>
      <c r="F830" s="8" t="s">
        <v>3628</v>
      </c>
      <c r="H830" s="7" t="s">
        <v>3620</v>
      </c>
      <c r="I830" s="7" t="s">
        <v>3622</v>
      </c>
      <c r="L830" s="7" t="s">
        <v>64</v>
      </c>
      <c r="M830" s="7" t="s">
        <v>9</v>
      </c>
      <c r="N830" s="7" t="s">
        <v>232</v>
      </c>
      <c r="O830" s="7" t="s">
        <v>233</v>
      </c>
      <c r="P830" s="7" t="s">
        <v>233</v>
      </c>
      <c r="Q830" s="7" t="s">
        <v>2384</v>
      </c>
      <c r="R830" t="s">
        <v>3632</v>
      </c>
    </row>
    <row r="831" spans="1:18" x14ac:dyDescent="0.3">
      <c r="A831" s="7" t="str">
        <f>HYPERLINK("https://hsdes.intel.com/resource/14013169159","14013169159")</f>
        <v>14013169159</v>
      </c>
      <c r="B831" s="7" t="s">
        <v>2385</v>
      </c>
      <c r="C831" s="7" t="s">
        <v>2386</v>
      </c>
      <c r="D831" s="7" t="s">
        <v>3612</v>
      </c>
      <c r="E831" s="7" t="s">
        <v>3617</v>
      </c>
      <c r="F831" s="8" t="s">
        <v>3628</v>
      </c>
      <c r="H831" s="7" t="s">
        <v>3620</v>
      </c>
      <c r="I831" s="7" t="s">
        <v>3649</v>
      </c>
      <c r="L831" s="7" t="s">
        <v>30</v>
      </c>
      <c r="M831" s="7" t="s">
        <v>94</v>
      </c>
      <c r="N831" s="7" t="s">
        <v>25</v>
      </c>
      <c r="O831" s="7" t="s">
        <v>2387</v>
      </c>
      <c r="P831" s="7" t="s">
        <v>2387</v>
      </c>
      <c r="Q831" s="7" t="s">
        <v>2388</v>
      </c>
      <c r="R831" t="s">
        <v>3632</v>
      </c>
    </row>
    <row r="832" spans="1:18" x14ac:dyDescent="0.3">
      <c r="A832" s="7" t="str">
        <f>HYPERLINK("https://hsdes.intel.com/resource/14013172845","14013172845")</f>
        <v>14013172845</v>
      </c>
      <c r="B832" s="7" t="s">
        <v>2389</v>
      </c>
      <c r="C832" s="7" t="s">
        <v>133</v>
      </c>
      <c r="D832" s="7" t="s">
        <v>3612</v>
      </c>
      <c r="E832" s="7" t="s">
        <v>3617</v>
      </c>
      <c r="F832" s="8" t="s">
        <v>3628</v>
      </c>
      <c r="H832" s="7" t="s">
        <v>3620</v>
      </c>
      <c r="I832" s="7" t="s">
        <v>3649</v>
      </c>
      <c r="J832" s="7" t="s">
        <v>3650</v>
      </c>
      <c r="L832" s="7" t="s">
        <v>24</v>
      </c>
      <c r="M832" s="7" t="s">
        <v>9</v>
      </c>
      <c r="N832" s="7" t="s">
        <v>804</v>
      </c>
      <c r="O832" s="7" t="s">
        <v>2390</v>
      </c>
      <c r="P832" s="7" t="s">
        <v>2391</v>
      </c>
      <c r="Q832" s="7" t="s">
        <v>2392</v>
      </c>
      <c r="R832" t="s">
        <v>3632</v>
      </c>
    </row>
    <row r="833" spans="1:18" x14ac:dyDescent="0.3">
      <c r="A833" s="7" t="str">
        <f>HYPERLINK("https://hsdes.intel.com/resource/14013172847","14013172847")</f>
        <v>14013172847</v>
      </c>
      <c r="B833" s="7" t="s">
        <v>2393</v>
      </c>
      <c r="C833" s="7" t="s">
        <v>133</v>
      </c>
      <c r="D833" s="7" t="s">
        <v>3612</v>
      </c>
      <c r="E833" s="7" t="s">
        <v>3617</v>
      </c>
      <c r="F833" s="8" t="s">
        <v>3628</v>
      </c>
      <c r="H833" s="7" t="s">
        <v>3620</v>
      </c>
      <c r="I833" s="7" t="s">
        <v>3649</v>
      </c>
      <c r="L833" s="7" t="s">
        <v>24</v>
      </c>
      <c r="M833" s="7" t="s">
        <v>9</v>
      </c>
      <c r="N833" s="7" t="s">
        <v>39</v>
      </c>
      <c r="O833" s="7" t="s">
        <v>2394</v>
      </c>
      <c r="P833" s="7" t="s">
        <v>2395</v>
      </c>
      <c r="Q833" s="7" t="s">
        <v>2396</v>
      </c>
      <c r="R833" t="s">
        <v>3632</v>
      </c>
    </row>
    <row r="834" spans="1:18" x14ac:dyDescent="0.3">
      <c r="A834" s="7" t="str">
        <f>HYPERLINK("https://hsdes.intel.com/resource/14013172891","14013172891")</f>
        <v>14013172891</v>
      </c>
      <c r="B834" s="7" t="s">
        <v>2397</v>
      </c>
      <c r="C834" s="7" t="s">
        <v>133</v>
      </c>
      <c r="D834" s="7" t="s">
        <v>3612</v>
      </c>
      <c r="E834" s="7" t="s">
        <v>3617</v>
      </c>
      <c r="F834" s="8" t="s">
        <v>3628</v>
      </c>
      <c r="H834" s="7" t="s">
        <v>3620</v>
      </c>
      <c r="I834" s="7" t="s">
        <v>3641</v>
      </c>
      <c r="L834" s="7" t="s">
        <v>8</v>
      </c>
      <c r="M834" s="7" t="s">
        <v>9</v>
      </c>
      <c r="N834" s="7" t="s">
        <v>56</v>
      </c>
      <c r="O834" s="7" t="s">
        <v>334</v>
      </c>
      <c r="P834" s="7" t="s">
        <v>334</v>
      </c>
      <c r="Q834" s="7" t="s">
        <v>2398</v>
      </c>
      <c r="R834" t="s">
        <v>3632</v>
      </c>
    </row>
    <row r="835" spans="1:18" x14ac:dyDescent="0.3">
      <c r="A835" s="7" t="str">
        <f>HYPERLINK("https://hsdes.intel.com/resource/14013172897","14013172897")</f>
        <v>14013172897</v>
      </c>
      <c r="B835" s="7" t="s">
        <v>2399</v>
      </c>
      <c r="C835" s="7" t="s">
        <v>133</v>
      </c>
      <c r="D835" s="7" t="s">
        <v>3612</v>
      </c>
      <c r="E835" s="7" t="s">
        <v>3617</v>
      </c>
      <c r="F835" s="8" t="s">
        <v>3628</v>
      </c>
      <c r="H835" s="7" t="s">
        <v>3620</v>
      </c>
      <c r="I835" s="7" t="s">
        <v>3641</v>
      </c>
      <c r="L835" s="7" t="s">
        <v>8</v>
      </c>
      <c r="M835" s="7" t="s">
        <v>9</v>
      </c>
      <c r="N835" s="7" t="s">
        <v>56</v>
      </c>
      <c r="O835" s="7" t="s">
        <v>334</v>
      </c>
      <c r="P835" s="7" t="s">
        <v>334</v>
      </c>
      <c r="Q835" s="7" t="s">
        <v>2400</v>
      </c>
      <c r="R835" t="s">
        <v>3632</v>
      </c>
    </row>
    <row r="836" spans="1:18" x14ac:dyDescent="0.3">
      <c r="A836" s="7" t="str">
        <f>HYPERLINK("https://hsdes.intel.com/resource/14013172927","14013172927")</f>
        <v>14013172927</v>
      </c>
      <c r="B836" s="7" t="s">
        <v>2401</v>
      </c>
      <c r="C836" s="7" t="s">
        <v>7</v>
      </c>
      <c r="D836" s="7" t="s">
        <v>3612</v>
      </c>
      <c r="E836" s="7" t="s">
        <v>3617</v>
      </c>
      <c r="F836" s="8" t="s">
        <v>3628</v>
      </c>
      <c r="H836" s="7" t="s">
        <v>3620</v>
      </c>
      <c r="I836" s="7" t="s">
        <v>3624</v>
      </c>
      <c r="L836" s="7" t="s">
        <v>8</v>
      </c>
      <c r="M836" s="7" t="s">
        <v>9</v>
      </c>
      <c r="N836" s="7" t="s">
        <v>313</v>
      </c>
      <c r="O836" s="7" t="s">
        <v>314</v>
      </c>
      <c r="P836" s="7" t="s">
        <v>315</v>
      </c>
      <c r="Q836" s="7" t="s">
        <v>2402</v>
      </c>
      <c r="R836" t="s">
        <v>3631</v>
      </c>
    </row>
    <row r="837" spans="1:18" x14ac:dyDescent="0.3">
      <c r="A837" s="7" t="str">
        <f>HYPERLINK("https://hsdes.intel.com/resource/14013172936","14013172936")</f>
        <v>14013172936</v>
      </c>
      <c r="B837" s="7" t="s">
        <v>2403</v>
      </c>
      <c r="C837" s="7" t="s">
        <v>7</v>
      </c>
      <c r="D837" s="7" t="s">
        <v>3612</v>
      </c>
      <c r="E837" s="7" t="s">
        <v>3617</v>
      </c>
      <c r="F837" s="8" t="s">
        <v>3628</v>
      </c>
      <c r="H837" s="7" t="s">
        <v>3620</v>
      </c>
      <c r="I837" s="7" t="s">
        <v>3624</v>
      </c>
      <c r="L837" s="7" t="s">
        <v>8</v>
      </c>
      <c r="M837" s="7" t="s">
        <v>94</v>
      </c>
      <c r="N837" s="7" t="s">
        <v>313</v>
      </c>
      <c r="O837" s="7" t="s">
        <v>2404</v>
      </c>
      <c r="P837" s="7" t="s">
        <v>2404</v>
      </c>
      <c r="Q837" s="7" t="s">
        <v>2405</v>
      </c>
      <c r="R837" t="s">
        <v>3633</v>
      </c>
    </row>
    <row r="838" spans="1:18" x14ac:dyDescent="0.3">
      <c r="A838" s="7" t="str">
        <f>HYPERLINK("https://hsdes.intel.com/resource/14013172944","14013172944")</f>
        <v>14013172944</v>
      </c>
      <c r="B838" s="7" t="s">
        <v>2406</v>
      </c>
      <c r="C838" s="7" t="s">
        <v>7</v>
      </c>
      <c r="D838" s="7" t="s">
        <v>3612</v>
      </c>
      <c r="E838" s="7" t="s">
        <v>3617</v>
      </c>
      <c r="F838" s="8" t="s">
        <v>3628</v>
      </c>
      <c r="H838" s="7" t="s">
        <v>3618</v>
      </c>
      <c r="J838" s="7" t="s">
        <v>3531</v>
      </c>
      <c r="L838" s="7" t="s">
        <v>8</v>
      </c>
      <c r="M838" s="7" t="s">
        <v>9</v>
      </c>
      <c r="N838" s="7" t="s">
        <v>1565</v>
      </c>
      <c r="O838" s="7" t="s">
        <v>2407</v>
      </c>
      <c r="P838" s="7" t="s">
        <v>2407</v>
      </c>
      <c r="Q838" s="7" t="s">
        <v>2408</v>
      </c>
      <c r="R838" t="s">
        <v>3631</v>
      </c>
    </row>
    <row r="839" spans="1:18" x14ac:dyDescent="0.3">
      <c r="A839" s="7" t="str">
        <f>HYPERLINK("https://hsdes.intel.com/resource/14013173003","14013173003")</f>
        <v>14013173003</v>
      </c>
      <c r="B839" s="7" t="s">
        <v>2409</v>
      </c>
      <c r="C839" s="7" t="s">
        <v>7</v>
      </c>
      <c r="D839" s="7" t="s">
        <v>3612</v>
      </c>
      <c r="E839" s="7" t="s">
        <v>3617</v>
      </c>
      <c r="F839" s="8" t="s">
        <v>3628</v>
      </c>
      <c r="H839" s="7" t="s">
        <v>3620</v>
      </c>
      <c r="I839" s="7" t="s">
        <v>3624</v>
      </c>
      <c r="L839" s="7" t="s">
        <v>8</v>
      </c>
      <c r="M839" s="7" t="s">
        <v>9</v>
      </c>
      <c r="N839" s="7" t="s">
        <v>10</v>
      </c>
      <c r="O839" s="7" t="s">
        <v>2410</v>
      </c>
      <c r="P839" s="7" t="s">
        <v>1672</v>
      </c>
      <c r="Q839" s="7" t="s">
        <v>2411</v>
      </c>
      <c r="R839" t="s">
        <v>3631</v>
      </c>
    </row>
    <row r="840" spans="1:18" x14ac:dyDescent="0.3">
      <c r="A840" s="7" t="str">
        <f>HYPERLINK("https://hsdes.intel.com/resource/14013173005","14013173005")</f>
        <v>14013173005</v>
      </c>
      <c r="B840" s="7" t="s">
        <v>2412</v>
      </c>
      <c r="C840" s="7" t="s">
        <v>7</v>
      </c>
      <c r="D840" s="7" t="s">
        <v>3612</v>
      </c>
      <c r="E840" s="7" t="s">
        <v>3617</v>
      </c>
      <c r="F840" s="8" t="s">
        <v>3628</v>
      </c>
      <c r="H840" s="7" t="s">
        <v>3620</v>
      </c>
      <c r="I840" s="7" t="s">
        <v>3624</v>
      </c>
      <c r="L840" s="7" t="s">
        <v>8</v>
      </c>
      <c r="M840" s="7" t="s">
        <v>9</v>
      </c>
      <c r="N840" s="7" t="s">
        <v>10</v>
      </c>
      <c r="O840" s="7" t="s">
        <v>2413</v>
      </c>
      <c r="P840" s="7" t="s">
        <v>2414</v>
      </c>
      <c r="Q840" s="7" t="s">
        <v>2415</v>
      </c>
      <c r="R840" t="s">
        <v>3633</v>
      </c>
    </row>
    <row r="841" spans="1:18" ht="57.6" x14ac:dyDescent="0.3">
      <c r="A841" s="7" t="str">
        <f>HYPERLINK("https://hsdes.intel.com/resource/14013173007","14013173007")</f>
        <v>14013173007</v>
      </c>
      <c r="B841" s="7" t="s">
        <v>2416</v>
      </c>
      <c r="C841" s="7" t="s">
        <v>7</v>
      </c>
      <c r="D841" s="7" t="s">
        <v>3612</v>
      </c>
      <c r="E841" s="7" t="s">
        <v>3617</v>
      </c>
      <c r="F841" s="8" t="s">
        <v>3628</v>
      </c>
      <c r="H841" s="7" t="s">
        <v>3618</v>
      </c>
      <c r="J841" s="11" t="s">
        <v>3577</v>
      </c>
      <c r="L841" s="7" t="s">
        <v>8</v>
      </c>
      <c r="M841" s="7" t="s">
        <v>9</v>
      </c>
      <c r="N841" s="7" t="s">
        <v>10</v>
      </c>
      <c r="O841" s="7" t="s">
        <v>2417</v>
      </c>
      <c r="P841" s="7" t="s">
        <v>1672</v>
      </c>
      <c r="Q841" s="7" t="s">
        <v>2418</v>
      </c>
      <c r="R841" t="s">
        <v>3633</v>
      </c>
    </row>
    <row r="842" spans="1:18" x14ac:dyDescent="0.3">
      <c r="A842" s="7" t="str">
        <f>HYPERLINK("https://hsdes.intel.com/resource/14013173013","14013173013")</f>
        <v>14013173013</v>
      </c>
      <c r="B842" s="7" t="s">
        <v>2419</v>
      </c>
      <c r="C842" s="7" t="s">
        <v>7</v>
      </c>
      <c r="D842" s="7" t="s">
        <v>3612</v>
      </c>
      <c r="E842" s="7" t="s">
        <v>3617</v>
      </c>
      <c r="F842" s="8" t="s">
        <v>3628</v>
      </c>
      <c r="H842" s="7" t="s">
        <v>3618</v>
      </c>
      <c r="J842" s="7" t="s">
        <v>3531</v>
      </c>
      <c r="L842" s="7" t="s">
        <v>8</v>
      </c>
      <c r="M842" s="7" t="s">
        <v>9</v>
      </c>
      <c r="N842" s="7" t="s">
        <v>2420</v>
      </c>
      <c r="O842" s="7" t="s">
        <v>2421</v>
      </c>
      <c r="P842" s="7" t="s">
        <v>2421</v>
      </c>
      <c r="Q842" s="7" t="s">
        <v>2422</v>
      </c>
      <c r="R842" t="s">
        <v>3631</v>
      </c>
    </row>
    <row r="843" spans="1:18" x14ac:dyDescent="0.3">
      <c r="A843" s="7" t="str">
        <f>HYPERLINK("https://hsdes.intel.com/resource/14013173086","14013173086")</f>
        <v>14013173086</v>
      </c>
      <c r="B843" s="7" t="s">
        <v>2423</v>
      </c>
      <c r="C843" s="7" t="s">
        <v>524</v>
      </c>
      <c r="D843" s="7" t="s">
        <v>3612</v>
      </c>
      <c r="E843" s="7" t="s">
        <v>3617</v>
      </c>
      <c r="F843" s="8" t="s">
        <v>3628</v>
      </c>
      <c r="H843" s="7" t="s">
        <v>3618</v>
      </c>
      <c r="J843" s="7" t="s">
        <v>3531</v>
      </c>
      <c r="L843" s="7" t="s">
        <v>8</v>
      </c>
      <c r="M843" s="7" t="s">
        <v>9</v>
      </c>
      <c r="N843" s="7" t="s">
        <v>333</v>
      </c>
      <c r="O843" s="7" t="s">
        <v>2424</v>
      </c>
      <c r="P843" s="7" t="s">
        <v>2424</v>
      </c>
      <c r="Q843" s="7" t="s">
        <v>2425</v>
      </c>
      <c r="R843" t="s">
        <v>3632</v>
      </c>
    </row>
    <row r="844" spans="1:18" x14ac:dyDescent="0.3">
      <c r="A844" s="7" t="str">
        <f>HYPERLINK("https://hsdes.intel.com/resource/14013173089","14013173089")</f>
        <v>14013173089</v>
      </c>
      <c r="B844" s="7" t="s">
        <v>2426</v>
      </c>
      <c r="C844" s="7" t="s">
        <v>220</v>
      </c>
      <c r="D844" s="7" t="s">
        <v>3612</v>
      </c>
      <c r="E844" s="7" t="s">
        <v>3617</v>
      </c>
      <c r="F844" s="8" t="s">
        <v>3628</v>
      </c>
      <c r="H844" s="7" t="s">
        <v>3619</v>
      </c>
      <c r="I844" s="7" t="s">
        <v>3622</v>
      </c>
      <c r="L844" s="7" t="s">
        <v>8</v>
      </c>
      <c r="M844" s="7" t="s">
        <v>9</v>
      </c>
      <c r="N844" s="7" t="s">
        <v>56</v>
      </c>
      <c r="O844" s="7" t="s">
        <v>2427</v>
      </c>
      <c r="P844" s="7" t="s">
        <v>2428</v>
      </c>
      <c r="Q844" s="7" t="s">
        <v>2429</v>
      </c>
      <c r="R844" t="s">
        <v>3632</v>
      </c>
    </row>
    <row r="845" spans="1:18" x14ac:dyDescent="0.3">
      <c r="A845" s="7" t="str">
        <f>HYPERLINK("https://hsdes.intel.com/resource/14013173102","14013173102")</f>
        <v>14013173102</v>
      </c>
      <c r="B845" s="7" t="s">
        <v>2430</v>
      </c>
      <c r="C845" s="7" t="s">
        <v>55</v>
      </c>
      <c r="D845" s="7" t="s">
        <v>3612</v>
      </c>
      <c r="E845" s="7" t="s">
        <v>3617</v>
      </c>
      <c r="F845" s="8" t="s">
        <v>3628</v>
      </c>
      <c r="H845" s="7" t="s">
        <v>3619</v>
      </c>
      <c r="I845" s="7" t="s">
        <v>3622</v>
      </c>
      <c r="L845" s="7" t="s">
        <v>30</v>
      </c>
      <c r="M845" s="7" t="s">
        <v>94</v>
      </c>
      <c r="N845" s="7" t="s">
        <v>25</v>
      </c>
      <c r="O845" s="7" t="s">
        <v>480</v>
      </c>
      <c r="P845" s="7" t="s">
        <v>480</v>
      </c>
      <c r="Q845" s="7" t="s">
        <v>2431</v>
      </c>
      <c r="R845" t="s">
        <v>3632</v>
      </c>
    </row>
    <row r="846" spans="1:18" x14ac:dyDescent="0.3">
      <c r="A846" s="7" t="str">
        <f>HYPERLINK("https://hsdes.intel.com/resource/14013173126","14013173126")</f>
        <v>14013173126</v>
      </c>
      <c r="B846" s="7" t="s">
        <v>2432</v>
      </c>
      <c r="C846" s="7" t="s">
        <v>63</v>
      </c>
      <c r="D846" s="7" t="s">
        <v>3612</v>
      </c>
      <c r="E846" s="7" t="s">
        <v>3617</v>
      </c>
      <c r="F846" s="8" t="s">
        <v>3628</v>
      </c>
      <c r="H846" s="7" t="s">
        <v>3619</v>
      </c>
      <c r="I846" s="7" t="s">
        <v>3622</v>
      </c>
      <c r="L846" s="7" t="s">
        <v>64</v>
      </c>
      <c r="M846" s="7" t="s">
        <v>9</v>
      </c>
      <c r="N846" s="7" t="s">
        <v>56</v>
      </c>
      <c r="O846" s="7" t="s">
        <v>2433</v>
      </c>
      <c r="P846" s="7" t="s">
        <v>1060</v>
      </c>
      <c r="Q846" s="7" t="s">
        <v>2434</v>
      </c>
      <c r="R846" t="s">
        <v>3632</v>
      </c>
    </row>
    <row r="847" spans="1:18" x14ac:dyDescent="0.3">
      <c r="A847" s="7" t="str">
        <f>HYPERLINK("https://hsdes.intel.com/resource/14013173153","14013173153")</f>
        <v>14013173153</v>
      </c>
      <c r="B847" s="7" t="s">
        <v>2435</v>
      </c>
      <c r="C847" s="7" t="s">
        <v>133</v>
      </c>
      <c r="D847" s="7" t="s">
        <v>3612</v>
      </c>
      <c r="E847" s="7" t="s">
        <v>3617</v>
      </c>
      <c r="F847" s="8" t="s">
        <v>3628</v>
      </c>
      <c r="H847" s="7" t="s">
        <v>3620</v>
      </c>
      <c r="I847" s="7" t="s">
        <v>3524</v>
      </c>
      <c r="L847" s="7" t="s">
        <v>24</v>
      </c>
      <c r="M847" s="7" t="s">
        <v>9</v>
      </c>
      <c r="N847" s="7" t="s">
        <v>39</v>
      </c>
      <c r="O847" s="7" t="s">
        <v>48</v>
      </c>
      <c r="P847" s="7" t="s">
        <v>48</v>
      </c>
      <c r="Q847" s="7" t="s">
        <v>2436</v>
      </c>
      <c r="R847" t="s">
        <v>3632</v>
      </c>
    </row>
    <row r="848" spans="1:18" x14ac:dyDescent="0.3">
      <c r="A848" s="7" t="str">
        <f>HYPERLINK("https://hsdes.intel.com/resource/14013173168","14013173168")</f>
        <v>14013173168</v>
      </c>
      <c r="B848" s="7" t="s">
        <v>2437</v>
      </c>
      <c r="C848" s="7" t="s">
        <v>560</v>
      </c>
      <c r="D848" s="7" t="s">
        <v>3612</v>
      </c>
      <c r="E848" s="7" t="s">
        <v>3617</v>
      </c>
      <c r="F848" s="8" t="s">
        <v>3628</v>
      </c>
      <c r="H848" s="7" t="s">
        <v>3620</v>
      </c>
      <c r="I848" s="7" t="s">
        <v>3644</v>
      </c>
      <c r="L848" s="7" t="s">
        <v>8</v>
      </c>
      <c r="M848" s="7" t="s">
        <v>9</v>
      </c>
      <c r="N848" s="7" t="s">
        <v>39</v>
      </c>
      <c r="O848" s="7" t="s">
        <v>45</v>
      </c>
      <c r="P848" s="7" t="s">
        <v>45</v>
      </c>
      <c r="Q848" s="7" t="s">
        <v>2438</v>
      </c>
      <c r="R848" t="s">
        <v>3632</v>
      </c>
    </row>
    <row r="849" spans="1:18" x14ac:dyDescent="0.3">
      <c r="A849" s="7" t="str">
        <f>HYPERLINK("https://hsdes.intel.com/resource/14013173170","14013173170")</f>
        <v>14013173170</v>
      </c>
      <c r="B849" s="7" t="s">
        <v>2439</v>
      </c>
      <c r="C849" s="7" t="s">
        <v>2440</v>
      </c>
      <c r="D849" s="7" t="s">
        <v>3612</v>
      </c>
      <c r="E849" s="7" t="s">
        <v>3617</v>
      </c>
      <c r="F849" s="8" t="s">
        <v>3628</v>
      </c>
      <c r="H849" s="7" t="s">
        <v>3620</v>
      </c>
      <c r="I849" s="7" t="s">
        <v>3624</v>
      </c>
      <c r="L849" s="7" t="s">
        <v>8</v>
      </c>
      <c r="M849" s="7" t="s">
        <v>9</v>
      </c>
      <c r="N849" s="7" t="s">
        <v>56</v>
      </c>
      <c r="O849" s="7" t="s">
        <v>2441</v>
      </c>
      <c r="P849" s="7" t="s">
        <v>2428</v>
      </c>
      <c r="Q849" s="7" t="s">
        <v>2442</v>
      </c>
      <c r="R849" t="s">
        <v>3632</v>
      </c>
    </row>
    <row r="850" spans="1:18" x14ac:dyDescent="0.3">
      <c r="A850" s="7" t="str">
        <f>HYPERLINK("https://hsdes.intel.com/resource/14013173171","14013173171")</f>
        <v>14013173171</v>
      </c>
      <c r="B850" s="7" t="s">
        <v>2443</v>
      </c>
      <c r="C850" s="7" t="s">
        <v>133</v>
      </c>
      <c r="D850" s="7" t="s">
        <v>3612</v>
      </c>
      <c r="E850" s="7" t="s">
        <v>3617</v>
      </c>
      <c r="F850" s="8" t="s">
        <v>3628</v>
      </c>
      <c r="H850" s="7" t="s">
        <v>3620</v>
      </c>
      <c r="I850" s="7" t="s">
        <v>3524</v>
      </c>
      <c r="L850" s="7" t="s">
        <v>8</v>
      </c>
      <c r="M850" s="7" t="s">
        <v>9</v>
      </c>
      <c r="N850" s="7" t="s">
        <v>56</v>
      </c>
      <c r="O850" s="7" t="s">
        <v>2441</v>
      </c>
      <c r="P850" s="7" t="s">
        <v>2428</v>
      </c>
      <c r="Q850" s="7" t="s">
        <v>2444</v>
      </c>
      <c r="R850" t="s">
        <v>3632</v>
      </c>
    </row>
    <row r="851" spans="1:18" x14ac:dyDescent="0.3">
      <c r="A851" s="7" t="str">
        <f>HYPERLINK("https://hsdes.intel.com/resource/14013173207","14013173207")</f>
        <v>14013173207</v>
      </c>
      <c r="B851" s="7" t="s">
        <v>2445</v>
      </c>
      <c r="C851" s="7" t="s">
        <v>55</v>
      </c>
      <c r="D851" s="7" t="s">
        <v>3612</v>
      </c>
      <c r="E851" s="7" t="s">
        <v>3617</v>
      </c>
      <c r="F851" s="8" t="s">
        <v>3628</v>
      </c>
      <c r="H851" s="7" t="s">
        <v>3619</v>
      </c>
      <c r="I851" s="7" t="s">
        <v>3622</v>
      </c>
      <c r="L851" s="7" t="s">
        <v>30</v>
      </c>
      <c r="M851" s="7" t="s">
        <v>94</v>
      </c>
      <c r="N851" s="7" t="s">
        <v>1076</v>
      </c>
      <c r="O851" s="7" t="s">
        <v>1690</v>
      </c>
      <c r="P851" s="7" t="s">
        <v>1691</v>
      </c>
      <c r="Q851" s="7" t="s">
        <v>2446</v>
      </c>
      <c r="R851" t="s">
        <v>3632</v>
      </c>
    </row>
    <row r="852" spans="1:18" x14ac:dyDescent="0.3">
      <c r="A852" s="7" t="str">
        <f>HYPERLINK("https://hsdes.intel.com/resource/14013173241","14013173241")</f>
        <v>14013173241</v>
      </c>
      <c r="B852" s="7" t="s">
        <v>2447</v>
      </c>
      <c r="C852" s="7" t="s">
        <v>55</v>
      </c>
      <c r="D852" s="7" t="s">
        <v>3612</v>
      </c>
      <c r="E852" s="7" t="s">
        <v>3617</v>
      </c>
      <c r="F852" s="8" t="s">
        <v>3628</v>
      </c>
      <c r="H852" s="7" t="s">
        <v>3618</v>
      </c>
      <c r="J852" s="7" t="s">
        <v>3531</v>
      </c>
      <c r="L852" s="7" t="s">
        <v>8</v>
      </c>
      <c r="M852" s="7" t="s">
        <v>2213</v>
      </c>
      <c r="N852" s="7" t="s">
        <v>39</v>
      </c>
      <c r="O852" s="7" t="s">
        <v>2448</v>
      </c>
      <c r="P852" s="7" t="s">
        <v>2449</v>
      </c>
      <c r="Q852" s="7" t="s">
        <v>2450</v>
      </c>
      <c r="R852" t="s">
        <v>3632</v>
      </c>
    </row>
    <row r="853" spans="1:18" x14ac:dyDescent="0.3">
      <c r="A853" s="7" t="str">
        <f>HYPERLINK("https://hsdes.intel.com/resource/14013173246","14013173246")</f>
        <v>14013173246</v>
      </c>
      <c r="B853" s="7" t="s">
        <v>2451</v>
      </c>
      <c r="C853" s="7" t="s">
        <v>55</v>
      </c>
      <c r="D853" s="7" t="s">
        <v>3612</v>
      </c>
      <c r="E853" s="7" t="s">
        <v>3617</v>
      </c>
      <c r="F853" s="8" t="s">
        <v>3628</v>
      </c>
      <c r="H853" s="7" t="s">
        <v>3618</v>
      </c>
      <c r="J853" s="7" t="s">
        <v>3531</v>
      </c>
      <c r="L853" s="7" t="s">
        <v>8</v>
      </c>
      <c r="M853" s="7" t="s">
        <v>2213</v>
      </c>
      <c r="N853" s="7" t="s">
        <v>39</v>
      </c>
      <c r="O853" s="7" t="s">
        <v>2448</v>
      </c>
      <c r="P853" s="7" t="s">
        <v>2449</v>
      </c>
      <c r="Q853" s="7" t="s">
        <v>2452</v>
      </c>
      <c r="R853" t="s">
        <v>3632</v>
      </c>
    </row>
    <row r="854" spans="1:18" x14ac:dyDescent="0.3">
      <c r="A854" s="7" t="str">
        <f>HYPERLINK("https://hsdes.intel.com/resource/14013173261","14013173261")</f>
        <v>14013173261</v>
      </c>
      <c r="B854" s="7" t="s">
        <v>2453</v>
      </c>
      <c r="C854" s="7" t="s">
        <v>121</v>
      </c>
      <c r="D854" s="7" t="s">
        <v>3612</v>
      </c>
      <c r="E854" s="7" t="s">
        <v>3617</v>
      </c>
      <c r="F854" s="8" t="s">
        <v>3628</v>
      </c>
      <c r="H854" s="7" t="s">
        <v>3619</v>
      </c>
      <c r="I854" s="7" t="s">
        <v>3622</v>
      </c>
      <c r="L854" s="7" t="s">
        <v>142</v>
      </c>
      <c r="M854" s="7" t="s">
        <v>9</v>
      </c>
      <c r="N854" s="7" t="s">
        <v>2454</v>
      </c>
      <c r="O854" s="7" t="s">
        <v>2455</v>
      </c>
      <c r="P854" s="7" t="s">
        <v>2456</v>
      </c>
      <c r="Q854" s="7" t="s">
        <v>2457</v>
      </c>
      <c r="R854" t="s">
        <v>3632</v>
      </c>
    </row>
    <row r="855" spans="1:18" x14ac:dyDescent="0.3">
      <c r="A855" s="7" t="str">
        <f>HYPERLINK("https://hsdes.intel.com/resource/14013173264","14013173264")</f>
        <v>14013173264</v>
      </c>
      <c r="B855" s="7" t="s">
        <v>2458</v>
      </c>
      <c r="C855" s="7" t="s">
        <v>121</v>
      </c>
      <c r="D855" s="7" t="s">
        <v>3612</v>
      </c>
      <c r="E855" s="7" t="s">
        <v>3617</v>
      </c>
      <c r="F855" s="8" t="s">
        <v>3628</v>
      </c>
      <c r="H855" s="7" t="s">
        <v>3620</v>
      </c>
      <c r="I855" s="7" t="s">
        <v>3649</v>
      </c>
      <c r="L855" s="7" t="s">
        <v>142</v>
      </c>
      <c r="M855" s="7" t="s">
        <v>9</v>
      </c>
      <c r="N855" s="7" t="s">
        <v>2459</v>
      </c>
      <c r="O855" s="7" t="s">
        <v>2460</v>
      </c>
      <c r="P855" s="7" t="s">
        <v>2460</v>
      </c>
      <c r="Q855" s="7" t="s">
        <v>2461</v>
      </c>
      <c r="R855" t="s">
        <v>3632</v>
      </c>
    </row>
    <row r="856" spans="1:18" x14ac:dyDescent="0.3">
      <c r="A856" s="7" t="str">
        <f>HYPERLINK("https://hsdes.intel.com/resource/14013173272","14013173272")</f>
        <v>14013173272</v>
      </c>
      <c r="B856" s="7" t="s">
        <v>2462</v>
      </c>
      <c r="C856" s="7" t="s">
        <v>121</v>
      </c>
      <c r="D856" s="7" t="s">
        <v>3612</v>
      </c>
      <c r="E856" s="7" t="s">
        <v>3617</v>
      </c>
      <c r="F856" s="8" t="s">
        <v>3628</v>
      </c>
      <c r="H856" s="16" t="s">
        <v>3619</v>
      </c>
      <c r="I856" s="7" t="s">
        <v>3622</v>
      </c>
      <c r="L856" s="7" t="s">
        <v>142</v>
      </c>
      <c r="M856" s="7" t="s">
        <v>9</v>
      </c>
      <c r="N856" s="7" t="s">
        <v>2463</v>
      </c>
      <c r="O856" s="7" t="s">
        <v>2455</v>
      </c>
      <c r="P856" s="7" t="s">
        <v>2455</v>
      </c>
      <c r="Q856" s="7" t="s">
        <v>2464</v>
      </c>
      <c r="R856" t="s">
        <v>3632</v>
      </c>
    </row>
    <row r="857" spans="1:18" x14ac:dyDescent="0.3">
      <c r="A857" s="7" t="str">
        <f>HYPERLINK("https://hsdes.intel.com/resource/14013173276","14013173276")</f>
        <v>14013173276</v>
      </c>
      <c r="B857" s="7" t="s">
        <v>2465</v>
      </c>
      <c r="C857" s="7" t="s">
        <v>121</v>
      </c>
      <c r="D857" s="7" t="s">
        <v>3612</v>
      </c>
      <c r="E857" s="7" t="s">
        <v>3617</v>
      </c>
      <c r="F857" s="8" t="s">
        <v>3628</v>
      </c>
      <c r="H857" s="16" t="s">
        <v>3619</v>
      </c>
      <c r="I857" s="7" t="s">
        <v>3622</v>
      </c>
      <c r="L857" s="7" t="s">
        <v>142</v>
      </c>
      <c r="M857" s="7" t="s">
        <v>9</v>
      </c>
      <c r="N857" s="7" t="s">
        <v>2454</v>
      </c>
      <c r="O857" s="7" t="s">
        <v>2455</v>
      </c>
      <c r="P857" s="7" t="s">
        <v>2455</v>
      </c>
      <c r="Q857" s="7" t="s">
        <v>2466</v>
      </c>
      <c r="R857" t="s">
        <v>3632</v>
      </c>
    </row>
    <row r="858" spans="1:18" x14ac:dyDescent="0.3">
      <c r="A858" s="7" t="str">
        <f>HYPERLINK("https://hsdes.intel.com/resource/14013173292","14013173292")</f>
        <v>14013173292</v>
      </c>
      <c r="B858" s="7" t="s">
        <v>2467</v>
      </c>
      <c r="C858" s="7" t="s">
        <v>121</v>
      </c>
      <c r="D858" s="7" t="s">
        <v>3612</v>
      </c>
      <c r="E858" s="7" t="s">
        <v>3617</v>
      </c>
      <c r="F858" s="8" t="s">
        <v>3628</v>
      </c>
      <c r="H858" s="16" t="s">
        <v>3619</v>
      </c>
      <c r="I858" s="7" t="s">
        <v>3622</v>
      </c>
      <c r="L858" s="7" t="s">
        <v>142</v>
      </c>
      <c r="M858" s="7" t="s">
        <v>9</v>
      </c>
      <c r="N858" s="7" t="s">
        <v>2468</v>
      </c>
      <c r="O858" s="7" t="s">
        <v>2455</v>
      </c>
      <c r="P858" s="7" t="s">
        <v>2455</v>
      </c>
      <c r="Q858" s="7" t="s">
        <v>2469</v>
      </c>
      <c r="R858" t="s">
        <v>3633</v>
      </c>
    </row>
    <row r="859" spans="1:18" x14ac:dyDescent="0.3">
      <c r="A859" s="7" t="str">
        <f>HYPERLINK("https://hsdes.intel.com/resource/14013173956","14013173956")</f>
        <v>14013173956</v>
      </c>
      <c r="B859" s="7" t="s">
        <v>2470</v>
      </c>
      <c r="C859" s="7" t="s">
        <v>225</v>
      </c>
      <c r="D859" s="7" t="s">
        <v>3612</v>
      </c>
      <c r="E859" s="7" t="s">
        <v>3617</v>
      </c>
      <c r="F859" s="8" t="s">
        <v>3628</v>
      </c>
      <c r="H859" s="7" t="s">
        <v>3620</v>
      </c>
      <c r="I859" s="7" t="s">
        <v>3643</v>
      </c>
      <c r="L859" s="7" t="s">
        <v>100</v>
      </c>
      <c r="M859" s="7" t="s">
        <v>94</v>
      </c>
      <c r="N859" s="7" t="s">
        <v>226</v>
      </c>
      <c r="O859" s="7" t="s">
        <v>2471</v>
      </c>
      <c r="P859" s="7" t="s">
        <v>2472</v>
      </c>
      <c r="Q859" s="7" t="s">
        <v>2473</v>
      </c>
      <c r="R859" t="s">
        <v>3632</v>
      </c>
    </row>
    <row r="860" spans="1:18" x14ac:dyDescent="0.3">
      <c r="A860" s="7" t="str">
        <f>HYPERLINK("https://hsdes.intel.com/resource/14013173962","14013173962")</f>
        <v>14013173962</v>
      </c>
      <c r="B860" s="7" t="s">
        <v>2474</v>
      </c>
      <c r="C860" s="7" t="s">
        <v>161</v>
      </c>
      <c r="D860" s="7" t="s">
        <v>3612</v>
      </c>
      <c r="E860" s="7" t="s">
        <v>3617</v>
      </c>
      <c r="F860" s="8" t="s">
        <v>3628</v>
      </c>
      <c r="H860" s="7" t="s">
        <v>3619</v>
      </c>
      <c r="I860" s="7" t="s">
        <v>3524</v>
      </c>
      <c r="L860" s="7" t="s">
        <v>100</v>
      </c>
      <c r="M860" s="7" t="s">
        <v>94</v>
      </c>
      <c r="N860" s="7" t="s">
        <v>226</v>
      </c>
      <c r="O860" s="7" t="s">
        <v>143</v>
      </c>
      <c r="P860" s="7" t="s">
        <v>2475</v>
      </c>
      <c r="Q860" s="7" t="s">
        <v>2476</v>
      </c>
      <c r="R860" t="s">
        <v>3632</v>
      </c>
    </row>
    <row r="861" spans="1:18" x14ac:dyDescent="0.3">
      <c r="A861" s="7" t="str">
        <f>HYPERLINK("https://hsdes.intel.com/resource/14013173972","14013173972")</f>
        <v>14013173972</v>
      </c>
      <c r="B861" s="7" t="s">
        <v>2477</v>
      </c>
      <c r="C861" s="7" t="s">
        <v>225</v>
      </c>
      <c r="D861" s="7" t="s">
        <v>3612</v>
      </c>
      <c r="E861" s="7" t="s">
        <v>3617</v>
      </c>
      <c r="F861" s="8" t="s">
        <v>3628</v>
      </c>
      <c r="H861" s="7" t="s">
        <v>3619</v>
      </c>
      <c r="I861" s="7" t="s">
        <v>3622</v>
      </c>
      <c r="L861" s="7" t="s">
        <v>100</v>
      </c>
      <c r="M861" s="7" t="s">
        <v>94</v>
      </c>
      <c r="N861" s="7" t="s">
        <v>39</v>
      </c>
      <c r="O861" s="7" t="s">
        <v>2478</v>
      </c>
      <c r="P861" s="7" t="s">
        <v>2475</v>
      </c>
      <c r="Q861" s="7" t="s">
        <v>2479</v>
      </c>
      <c r="R861" t="s">
        <v>3631</v>
      </c>
    </row>
    <row r="862" spans="1:18" x14ac:dyDescent="0.3">
      <c r="A862" s="7" t="str">
        <f>HYPERLINK("https://hsdes.intel.com/resource/14013173981","14013173981")</f>
        <v>14013173981</v>
      </c>
      <c r="B862" s="7" t="s">
        <v>2480</v>
      </c>
      <c r="C862" s="7" t="s">
        <v>225</v>
      </c>
      <c r="D862" s="7" t="s">
        <v>3612</v>
      </c>
      <c r="E862" s="7" t="s">
        <v>3617</v>
      </c>
      <c r="F862" s="8" t="s">
        <v>3628</v>
      </c>
      <c r="H862" s="7" t="s">
        <v>3619</v>
      </c>
      <c r="I862" s="7" t="s">
        <v>3622</v>
      </c>
      <c r="L862" s="7" t="s">
        <v>100</v>
      </c>
      <c r="M862" s="7" t="s">
        <v>94</v>
      </c>
      <c r="N862" s="7" t="s">
        <v>10</v>
      </c>
      <c r="O862" s="7" t="s">
        <v>2475</v>
      </c>
      <c r="P862" s="7" t="s">
        <v>2475</v>
      </c>
      <c r="Q862" s="7" t="s">
        <v>2481</v>
      </c>
      <c r="R862" t="s">
        <v>3632</v>
      </c>
    </row>
    <row r="863" spans="1:18" x14ac:dyDescent="0.3">
      <c r="A863" s="7" t="str">
        <f>HYPERLINK("https://hsdes.intel.com/resource/14013173986","14013173986")</f>
        <v>14013173986</v>
      </c>
      <c r="B863" s="7" t="s">
        <v>2482</v>
      </c>
      <c r="C863" s="7" t="s">
        <v>121</v>
      </c>
      <c r="D863" s="7" t="s">
        <v>3612</v>
      </c>
      <c r="E863" s="7" t="s">
        <v>3617</v>
      </c>
      <c r="F863" s="8" t="s">
        <v>3628</v>
      </c>
      <c r="H863" s="7" t="s">
        <v>3619</v>
      </c>
      <c r="I863" s="7" t="s">
        <v>3622</v>
      </c>
      <c r="L863" s="7" t="s">
        <v>100</v>
      </c>
      <c r="M863" s="7" t="s">
        <v>94</v>
      </c>
      <c r="N863" s="7" t="s">
        <v>39</v>
      </c>
      <c r="O863" s="7" t="s">
        <v>2483</v>
      </c>
      <c r="P863" s="7" t="s">
        <v>2484</v>
      </c>
      <c r="Q863" s="7" t="s">
        <v>2485</v>
      </c>
      <c r="R863" t="s">
        <v>3631</v>
      </c>
    </row>
    <row r="864" spans="1:18" x14ac:dyDescent="0.3">
      <c r="A864" s="7" t="str">
        <f>HYPERLINK("https://hsdes.intel.com/resource/14013174002","14013174002")</f>
        <v>14013174002</v>
      </c>
      <c r="B864" s="7" t="s">
        <v>2486</v>
      </c>
      <c r="C864" s="7" t="s">
        <v>161</v>
      </c>
      <c r="D864" s="7" t="s">
        <v>3612</v>
      </c>
      <c r="E864" s="7" t="s">
        <v>3617</v>
      </c>
      <c r="F864" s="8" t="s">
        <v>3628</v>
      </c>
      <c r="H864" s="7" t="s">
        <v>3619</v>
      </c>
      <c r="I864" s="7" t="s">
        <v>3524</v>
      </c>
      <c r="L864" s="7" t="s">
        <v>100</v>
      </c>
      <c r="M864" s="7" t="s">
        <v>94</v>
      </c>
      <c r="N864" s="7" t="s">
        <v>39</v>
      </c>
      <c r="O864" s="7" t="s">
        <v>2487</v>
      </c>
      <c r="P864" s="7" t="s">
        <v>2487</v>
      </c>
      <c r="Q864" s="7" t="s">
        <v>2488</v>
      </c>
      <c r="R864" t="s">
        <v>3631</v>
      </c>
    </row>
    <row r="865" spans="1:20" x14ac:dyDescent="0.3">
      <c r="A865" s="9" t="str">
        <f>HYPERLINK("https://hsdes.intel.com/resource/14013174004","14013174004")</f>
        <v>14013174004</v>
      </c>
      <c r="B865" s="7" t="s">
        <v>2489</v>
      </c>
      <c r="C865" s="7" t="s">
        <v>99</v>
      </c>
      <c r="D865" s="7" t="s">
        <v>3612</v>
      </c>
      <c r="E865" s="7" t="s">
        <v>3617</v>
      </c>
      <c r="F865" s="8" t="s">
        <v>3628</v>
      </c>
      <c r="H865" s="7" t="s">
        <v>3620</v>
      </c>
      <c r="I865" s="7" t="s">
        <v>3634</v>
      </c>
      <c r="L865" s="7" t="s">
        <v>100</v>
      </c>
      <c r="M865" s="7" t="s">
        <v>94</v>
      </c>
      <c r="N865" s="7" t="s">
        <v>56</v>
      </c>
      <c r="O865" s="7" t="s">
        <v>2490</v>
      </c>
      <c r="P865" s="7" t="s">
        <v>2491</v>
      </c>
      <c r="Q865" s="7" t="s">
        <v>2492</v>
      </c>
      <c r="R865" t="s">
        <v>3631</v>
      </c>
      <c r="S865" s="22"/>
    </row>
    <row r="866" spans="1:20" x14ac:dyDescent="0.3">
      <c r="A866" s="7" t="str">
        <f>HYPERLINK("https://hsdes.intel.com/resource/14013174007","14013174007")</f>
        <v>14013174007</v>
      </c>
      <c r="B866" s="7" t="s">
        <v>2493</v>
      </c>
      <c r="C866" s="7" t="s">
        <v>161</v>
      </c>
      <c r="D866" s="7" t="s">
        <v>3612</v>
      </c>
      <c r="E866" s="7" t="s">
        <v>3617</v>
      </c>
      <c r="F866" s="8" t="s">
        <v>3628</v>
      </c>
      <c r="H866" s="7" t="s">
        <v>3619</v>
      </c>
      <c r="I866" s="7" t="s">
        <v>3524</v>
      </c>
      <c r="L866" s="7" t="s">
        <v>100</v>
      </c>
      <c r="M866" s="7" t="s">
        <v>94</v>
      </c>
      <c r="N866" s="7" t="s">
        <v>134</v>
      </c>
      <c r="O866" s="7" t="s">
        <v>2494</v>
      </c>
      <c r="P866" s="7" t="s">
        <v>2495</v>
      </c>
      <c r="Q866" s="7" t="s">
        <v>2496</v>
      </c>
      <c r="R866" t="s">
        <v>3632</v>
      </c>
    </row>
    <row r="867" spans="1:20" x14ac:dyDescent="0.3">
      <c r="A867" s="7" t="str">
        <f>HYPERLINK("https://hsdes.intel.com/resource/14013174027","14013174027")</f>
        <v>14013174027</v>
      </c>
      <c r="B867" s="7" t="s">
        <v>2497</v>
      </c>
      <c r="C867" s="7" t="s">
        <v>161</v>
      </c>
      <c r="D867" s="7" t="s">
        <v>3612</v>
      </c>
      <c r="E867" s="7" t="s">
        <v>3617</v>
      </c>
      <c r="F867" s="8" t="s">
        <v>3628</v>
      </c>
      <c r="H867" s="7" t="s">
        <v>3619</v>
      </c>
      <c r="I867" s="7" t="s">
        <v>3524</v>
      </c>
      <c r="L867" s="7" t="s">
        <v>100</v>
      </c>
      <c r="M867" s="7" t="s">
        <v>94</v>
      </c>
      <c r="N867" s="7" t="s">
        <v>39</v>
      </c>
      <c r="O867" s="7" t="s">
        <v>2487</v>
      </c>
      <c r="P867" s="7" t="s">
        <v>2487</v>
      </c>
      <c r="Q867" s="7" t="s">
        <v>2498</v>
      </c>
      <c r="R867" t="s">
        <v>3632</v>
      </c>
    </row>
    <row r="868" spans="1:20" x14ac:dyDescent="0.3">
      <c r="A868" s="7" t="str">
        <f>HYPERLINK("https://hsdes.intel.com/resource/14013174046","14013174046")</f>
        <v>14013174046</v>
      </c>
      <c r="B868" s="7" t="s">
        <v>2499</v>
      </c>
      <c r="C868" s="7" t="s">
        <v>161</v>
      </c>
      <c r="D868" s="7" t="s">
        <v>3612</v>
      </c>
      <c r="E868" s="7" t="s">
        <v>3617</v>
      </c>
      <c r="F868" s="8" t="s">
        <v>3628</v>
      </c>
      <c r="H868" s="7" t="s">
        <v>3619</v>
      </c>
      <c r="I868" s="7" t="s">
        <v>3524</v>
      </c>
      <c r="L868" s="7" t="s">
        <v>100</v>
      </c>
      <c r="M868" s="7" t="s">
        <v>94</v>
      </c>
      <c r="N868" s="7" t="s">
        <v>39</v>
      </c>
      <c r="O868" s="7" t="s">
        <v>2487</v>
      </c>
      <c r="P868" s="7" t="s">
        <v>2487</v>
      </c>
      <c r="Q868" s="7" t="s">
        <v>2500</v>
      </c>
      <c r="R868" t="s">
        <v>3632</v>
      </c>
    </row>
    <row r="869" spans="1:20" x14ac:dyDescent="0.3">
      <c r="A869" s="7" t="str">
        <f>HYPERLINK("https://hsdes.intel.com/resource/14013174087","14013174087")</f>
        <v>14013174087</v>
      </c>
      <c r="B869" s="7" t="s">
        <v>2501</v>
      </c>
      <c r="C869" s="7" t="s">
        <v>225</v>
      </c>
      <c r="D869" s="7" t="s">
        <v>3612</v>
      </c>
      <c r="E869" s="7" t="s">
        <v>3617</v>
      </c>
      <c r="F869" s="8" t="s">
        <v>3628</v>
      </c>
      <c r="H869" s="7" t="s">
        <v>3620</v>
      </c>
      <c r="I869" s="7" t="s">
        <v>3643</v>
      </c>
      <c r="L869" s="7" t="s">
        <v>100</v>
      </c>
      <c r="M869" s="7" t="s">
        <v>94</v>
      </c>
      <c r="N869" s="7" t="s">
        <v>226</v>
      </c>
      <c r="O869" s="7" t="s">
        <v>2220</v>
      </c>
      <c r="P869" s="7" t="s">
        <v>2475</v>
      </c>
      <c r="Q869" s="7" t="s">
        <v>2502</v>
      </c>
      <c r="R869" t="s">
        <v>3632</v>
      </c>
    </row>
    <row r="870" spans="1:20" x14ac:dyDescent="0.3">
      <c r="A870" s="7" t="str">
        <f>HYPERLINK("https://hsdes.intel.com/resource/14013174091","14013174091")</f>
        <v>14013174091</v>
      </c>
      <c r="B870" s="7" t="s">
        <v>2503</v>
      </c>
      <c r="C870" s="7" t="s">
        <v>225</v>
      </c>
      <c r="D870" s="7" t="s">
        <v>3612</v>
      </c>
      <c r="E870" s="7" t="s">
        <v>3617</v>
      </c>
      <c r="F870" s="8" t="s">
        <v>3628</v>
      </c>
      <c r="H870" s="7" t="s">
        <v>3619</v>
      </c>
      <c r="I870" s="7" t="s">
        <v>3622</v>
      </c>
      <c r="L870" s="7" t="s">
        <v>100</v>
      </c>
      <c r="M870" s="7" t="s">
        <v>94</v>
      </c>
      <c r="N870" s="7" t="s">
        <v>226</v>
      </c>
      <c r="O870" s="7" t="s">
        <v>2504</v>
      </c>
      <c r="P870" s="7" t="s">
        <v>2505</v>
      </c>
      <c r="Q870" s="7" t="s">
        <v>2506</v>
      </c>
      <c r="R870" t="s">
        <v>3632</v>
      </c>
    </row>
    <row r="871" spans="1:20" x14ac:dyDescent="0.3">
      <c r="A871" s="7" t="str">
        <f>HYPERLINK("https://hsdes.intel.com/resource/14013174094","14013174094")</f>
        <v>14013174094</v>
      </c>
      <c r="B871" s="7" t="s">
        <v>2507</v>
      </c>
      <c r="C871" s="7" t="s">
        <v>225</v>
      </c>
      <c r="D871" s="7" t="s">
        <v>3612</v>
      </c>
      <c r="E871" s="7" t="s">
        <v>3617</v>
      </c>
      <c r="F871" s="8" t="s">
        <v>3628</v>
      </c>
      <c r="H871" s="7" t="s">
        <v>3619</v>
      </c>
      <c r="I871" s="7" t="s">
        <v>3622</v>
      </c>
      <c r="L871" s="7" t="s">
        <v>100</v>
      </c>
      <c r="M871" s="7" t="s">
        <v>94</v>
      </c>
      <c r="N871" s="7" t="s">
        <v>25</v>
      </c>
      <c r="O871" s="7" t="s">
        <v>2508</v>
      </c>
      <c r="P871" s="7" t="s">
        <v>2505</v>
      </c>
      <c r="Q871" s="7" t="s">
        <v>2509</v>
      </c>
      <c r="R871" t="s">
        <v>3632</v>
      </c>
    </row>
    <row r="872" spans="1:20" x14ac:dyDescent="0.3">
      <c r="A872" s="7" t="str">
        <f>HYPERLINK("https://hsdes.intel.com/resource/14013174108","14013174108")</f>
        <v>14013174108</v>
      </c>
      <c r="B872" s="7" t="s">
        <v>2510</v>
      </c>
      <c r="C872" s="7" t="s">
        <v>121</v>
      </c>
      <c r="D872" s="7" t="s">
        <v>3613</v>
      </c>
      <c r="E872" s="7" t="s">
        <v>3617</v>
      </c>
      <c r="F872" s="8" t="s">
        <v>3628</v>
      </c>
      <c r="H872" s="7" t="s">
        <v>3618</v>
      </c>
      <c r="J872" s="7" t="s">
        <v>3530</v>
      </c>
      <c r="L872" s="7" t="s">
        <v>30</v>
      </c>
      <c r="M872" s="7" t="s">
        <v>9</v>
      </c>
      <c r="N872" s="7" t="s">
        <v>226</v>
      </c>
      <c r="O872" s="7" t="s">
        <v>337</v>
      </c>
      <c r="P872" s="7" t="s">
        <v>361</v>
      </c>
      <c r="Q872" s="7" t="s">
        <v>2511</v>
      </c>
      <c r="R872" t="s">
        <v>3632</v>
      </c>
    </row>
    <row r="873" spans="1:20" x14ac:dyDescent="0.3">
      <c r="A873" s="7" t="str">
        <f>HYPERLINK("https://hsdes.intel.com/resource/14013174147","14013174147")</f>
        <v>14013174147</v>
      </c>
      <c r="B873" s="7" t="s">
        <v>2512</v>
      </c>
      <c r="C873" s="7" t="s">
        <v>121</v>
      </c>
      <c r="D873" s="7" t="s">
        <v>3613</v>
      </c>
      <c r="E873" s="7" t="s">
        <v>3617</v>
      </c>
      <c r="F873" s="8" t="s">
        <v>3628</v>
      </c>
      <c r="H873" s="7" t="s">
        <v>3619</v>
      </c>
      <c r="I873" s="7" t="s">
        <v>3622</v>
      </c>
      <c r="L873" s="7" t="s">
        <v>30</v>
      </c>
      <c r="M873" s="7" t="s">
        <v>9</v>
      </c>
      <c r="N873" s="7" t="s">
        <v>226</v>
      </c>
      <c r="O873" s="7" t="s">
        <v>2513</v>
      </c>
      <c r="P873" s="7" t="s">
        <v>361</v>
      </c>
      <c r="Q873" s="7" t="s">
        <v>2514</v>
      </c>
      <c r="R873" t="s">
        <v>3632</v>
      </c>
    </row>
    <row r="874" spans="1:20" x14ac:dyDescent="0.3">
      <c r="A874" s="7" t="str">
        <f>HYPERLINK("https://hsdes.intel.com/resource/14013174186","14013174186")</f>
        <v>14013174186</v>
      </c>
      <c r="B874" s="7" t="s">
        <v>2515</v>
      </c>
      <c r="C874" s="7" t="s">
        <v>112</v>
      </c>
      <c r="D874" s="7" t="s">
        <v>3613</v>
      </c>
      <c r="E874" s="7" t="s">
        <v>3617</v>
      </c>
      <c r="F874" s="8" t="s">
        <v>3628</v>
      </c>
      <c r="H874" s="7" t="s">
        <v>3619</v>
      </c>
      <c r="I874" s="7" t="s">
        <v>3622</v>
      </c>
      <c r="L874" s="7" t="s">
        <v>30</v>
      </c>
      <c r="M874" s="7" t="s">
        <v>94</v>
      </c>
      <c r="N874" s="7" t="s">
        <v>56</v>
      </c>
      <c r="O874" s="7" t="s">
        <v>337</v>
      </c>
      <c r="P874" s="7" t="s">
        <v>2516</v>
      </c>
      <c r="Q874" s="7" t="s">
        <v>2517</v>
      </c>
      <c r="R874" t="s">
        <v>3633</v>
      </c>
    </row>
    <row r="875" spans="1:20" x14ac:dyDescent="0.3">
      <c r="A875" s="7" t="str">
        <f>HYPERLINK("https://hsdes.intel.com/resource/14013174262","14013174262")</f>
        <v>14013174262</v>
      </c>
      <c r="B875" s="7" t="s">
        <v>2518</v>
      </c>
      <c r="C875" s="7" t="s">
        <v>225</v>
      </c>
      <c r="D875" s="7" t="s">
        <v>3612</v>
      </c>
      <c r="E875" s="7" t="s">
        <v>3617</v>
      </c>
      <c r="F875" s="8" t="s">
        <v>3628</v>
      </c>
      <c r="H875" s="7" t="s">
        <v>3619</v>
      </c>
      <c r="I875" s="7" t="s">
        <v>3622</v>
      </c>
      <c r="L875" s="7" t="s">
        <v>100</v>
      </c>
      <c r="M875" s="7" t="s">
        <v>94</v>
      </c>
      <c r="N875" s="7" t="s">
        <v>226</v>
      </c>
      <c r="O875" s="7" t="s">
        <v>2519</v>
      </c>
      <c r="P875" s="7" t="s">
        <v>2520</v>
      </c>
      <c r="Q875" s="7" t="s">
        <v>2521</v>
      </c>
      <c r="R875" t="s">
        <v>3633</v>
      </c>
    </row>
    <row r="876" spans="1:20" x14ac:dyDescent="0.3">
      <c r="A876" s="7" t="str">
        <f>HYPERLINK("https://hsdes.intel.com/resource/14013174288","14013174288")</f>
        <v>14013174288</v>
      </c>
      <c r="B876" s="7" t="s">
        <v>2522</v>
      </c>
      <c r="C876" s="7" t="s">
        <v>2523</v>
      </c>
      <c r="D876" s="7" t="s">
        <v>3612</v>
      </c>
      <c r="E876" s="7" t="s">
        <v>3617</v>
      </c>
      <c r="F876" s="8" t="s">
        <v>3628</v>
      </c>
      <c r="H876" s="7" t="s">
        <v>3620</v>
      </c>
      <c r="I876" s="7" t="s">
        <v>3624</v>
      </c>
      <c r="L876" s="7" t="s">
        <v>100</v>
      </c>
      <c r="M876" s="7" t="s">
        <v>94</v>
      </c>
      <c r="N876" s="7" t="s">
        <v>226</v>
      </c>
      <c r="O876" s="7" t="s">
        <v>2524</v>
      </c>
      <c r="P876" s="7" t="s">
        <v>2525</v>
      </c>
      <c r="Q876" s="7" t="s">
        <v>2526</v>
      </c>
      <c r="R876" t="s">
        <v>3632</v>
      </c>
    </row>
    <row r="877" spans="1:20" x14ac:dyDescent="0.3">
      <c r="A877" s="7" t="str">
        <f>HYPERLINK("https://hsdes.intel.com/resource/14013174349","14013174349")</f>
        <v>14013174349</v>
      </c>
      <c r="B877" s="7" t="s">
        <v>2527</v>
      </c>
      <c r="C877" s="7" t="s">
        <v>99</v>
      </c>
      <c r="D877" s="7" t="s">
        <v>3612</v>
      </c>
      <c r="E877" s="7" t="s">
        <v>3617</v>
      </c>
      <c r="F877" s="8" t="s">
        <v>3628</v>
      </c>
      <c r="H877" s="7" t="s">
        <v>3620</v>
      </c>
      <c r="I877" s="7" t="s">
        <v>3645</v>
      </c>
      <c r="L877" s="7" t="s">
        <v>100</v>
      </c>
      <c r="M877" s="7" t="s">
        <v>94</v>
      </c>
      <c r="N877" s="7" t="s">
        <v>56</v>
      </c>
      <c r="O877" s="7" t="s">
        <v>2528</v>
      </c>
      <c r="P877" s="7" t="s">
        <v>16</v>
      </c>
      <c r="Q877" s="7" t="s">
        <v>2529</v>
      </c>
      <c r="R877" t="s">
        <v>3632</v>
      </c>
      <c r="T877" s="22">
        <v>44818</v>
      </c>
    </row>
    <row r="878" spans="1:20" x14ac:dyDescent="0.3">
      <c r="A878" s="7" t="str">
        <f>HYPERLINK("https://hsdes.intel.com/resource/14013174392","14013174392")</f>
        <v>14013174392</v>
      </c>
      <c r="B878" s="7" t="s">
        <v>2530</v>
      </c>
      <c r="C878" s="7" t="s">
        <v>99</v>
      </c>
      <c r="D878" s="7" t="s">
        <v>3612</v>
      </c>
      <c r="E878" s="7" t="s">
        <v>3617</v>
      </c>
      <c r="F878" s="8" t="s">
        <v>3628</v>
      </c>
      <c r="H878" s="7" t="s">
        <v>3620</v>
      </c>
      <c r="I878" s="7" t="s">
        <v>3634</v>
      </c>
      <c r="L878" s="7" t="s">
        <v>100</v>
      </c>
      <c r="M878" s="7" t="s">
        <v>94</v>
      </c>
      <c r="N878" s="7" t="s">
        <v>56</v>
      </c>
      <c r="O878" s="7" t="s">
        <v>2531</v>
      </c>
      <c r="P878" s="7" t="s">
        <v>2532</v>
      </c>
      <c r="Q878" s="7" t="s">
        <v>2533</v>
      </c>
      <c r="R878" t="s">
        <v>3631</v>
      </c>
      <c r="S878" s="22"/>
    </row>
    <row r="879" spans="1:20" x14ac:dyDescent="0.3">
      <c r="A879" s="7" t="str">
        <f>HYPERLINK("https://hsdes.intel.com/resource/14013174396","14013174396")</f>
        <v>14013174396</v>
      </c>
      <c r="B879" s="7" t="s">
        <v>2534</v>
      </c>
      <c r="C879" s="7" t="s">
        <v>2535</v>
      </c>
      <c r="D879" s="7" t="s">
        <v>3612</v>
      </c>
      <c r="E879" s="7" t="s">
        <v>3617</v>
      </c>
      <c r="F879" s="8" t="s">
        <v>3628</v>
      </c>
      <c r="H879" s="7" t="s">
        <v>3620</v>
      </c>
      <c r="I879" s="7" t="s">
        <v>3634</v>
      </c>
      <c r="L879" s="7" t="s">
        <v>100</v>
      </c>
      <c r="M879" s="7" t="s">
        <v>94</v>
      </c>
      <c r="N879" s="7" t="s">
        <v>39</v>
      </c>
      <c r="O879" s="7" t="s">
        <v>913</v>
      </c>
      <c r="P879" s="7" t="s">
        <v>2536</v>
      </c>
      <c r="Q879" s="7" t="s">
        <v>2537</v>
      </c>
      <c r="R879" t="s">
        <v>3631</v>
      </c>
    </row>
    <row r="880" spans="1:20" x14ac:dyDescent="0.3">
      <c r="A880" s="7" t="str">
        <f>HYPERLINK("https://hsdes.intel.com/resource/14013174406","14013174406")</f>
        <v>14013174406</v>
      </c>
      <c r="B880" s="7" t="s">
        <v>2538</v>
      </c>
      <c r="C880" s="7" t="s">
        <v>225</v>
      </c>
      <c r="D880" s="7" t="s">
        <v>3612</v>
      </c>
      <c r="E880" s="7" t="s">
        <v>3617</v>
      </c>
      <c r="F880" s="8" t="s">
        <v>3628</v>
      </c>
      <c r="H880" s="7" t="s">
        <v>3620</v>
      </c>
      <c r="I880" s="7" t="s">
        <v>3622</v>
      </c>
      <c r="L880" s="7" t="s">
        <v>100</v>
      </c>
      <c r="M880" s="7" t="s">
        <v>94</v>
      </c>
      <c r="N880" s="7" t="s">
        <v>226</v>
      </c>
      <c r="O880" s="7" t="s">
        <v>2539</v>
      </c>
      <c r="P880" s="7" t="s">
        <v>2475</v>
      </c>
      <c r="Q880" s="7" t="s">
        <v>2540</v>
      </c>
      <c r="R880" t="s">
        <v>3631</v>
      </c>
    </row>
    <row r="881" spans="1:19" x14ac:dyDescent="0.3">
      <c r="A881" s="7" t="str">
        <f>HYPERLINK("https://hsdes.intel.com/resource/14013174424","14013174424")</f>
        <v>14013174424</v>
      </c>
      <c r="B881" s="7" t="s">
        <v>2541</v>
      </c>
      <c r="C881" s="7" t="s">
        <v>2542</v>
      </c>
      <c r="D881" s="7" t="s">
        <v>3612</v>
      </c>
      <c r="E881" s="7" t="s">
        <v>3617</v>
      </c>
      <c r="F881" s="8" t="s">
        <v>3628</v>
      </c>
      <c r="H881" s="7" t="s">
        <v>3620</v>
      </c>
      <c r="I881" s="7" t="s">
        <v>3634</v>
      </c>
      <c r="L881" s="7" t="s">
        <v>100</v>
      </c>
      <c r="M881" s="7" t="s">
        <v>94</v>
      </c>
      <c r="N881" s="7" t="s">
        <v>39</v>
      </c>
      <c r="O881" s="7" t="s">
        <v>2543</v>
      </c>
      <c r="P881" s="7" t="s">
        <v>2543</v>
      </c>
      <c r="Q881" s="7" t="s">
        <v>2544</v>
      </c>
      <c r="R881" t="s">
        <v>3631</v>
      </c>
    </row>
    <row r="882" spans="1:19" x14ac:dyDescent="0.3">
      <c r="A882" s="7" t="str">
        <f>HYPERLINK("https://hsdes.intel.com/resource/14013174432","14013174432")</f>
        <v>14013174432</v>
      </c>
      <c r="B882" s="7" t="s">
        <v>2545</v>
      </c>
      <c r="C882" s="7" t="s">
        <v>2542</v>
      </c>
      <c r="D882" s="7" t="s">
        <v>3612</v>
      </c>
      <c r="E882" s="7" t="s">
        <v>3617</v>
      </c>
      <c r="F882" s="8" t="s">
        <v>3628</v>
      </c>
      <c r="H882" s="7" t="s">
        <v>3620</v>
      </c>
      <c r="I882" s="7" t="s">
        <v>3634</v>
      </c>
      <c r="L882" s="7" t="s">
        <v>100</v>
      </c>
      <c r="M882" s="7" t="s">
        <v>94</v>
      </c>
      <c r="N882" s="7" t="s">
        <v>39</v>
      </c>
      <c r="O882" s="7" t="s">
        <v>2543</v>
      </c>
      <c r="P882" s="7" t="s">
        <v>2543</v>
      </c>
      <c r="Q882" s="7" t="s">
        <v>2546</v>
      </c>
      <c r="R882" t="s">
        <v>3631</v>
      </c>
    </row>
    <row r="883" spans="1:19" x14ac:dyDescent="0.3">
      <c r="A883" s="7" t="str">
        <f>HYPERLINK("https://hsdes.intel.com/resource/14013174439","14013174439")</f>
        <v>14013174439</v>
      </c>
      <c r="B883" s="7" t="s">
        <v>2547</v>
      </c>
      <c r="C883" s="7" t="s">
        <v>2542</v>
      </c>
      <c r="D883" s="7" t="s">
        <v>3612</v>
      </c>
      <c r="E883" s="7" t="s">
        <v>3617</v>
      </c>
      <c r="F883" s="8" t="s">
        <v>3628</v>
      </c>
      <c r="H883" s="7" t="s">
        <v>3620</v>
      </c>
      <c r="I883" s="7" t="s">
        <v>3634</v>
      </c>
      <c r="L883" s="7" t="s">
        <v>100</v>
      </c>
      <c r="M883" s="7" t="s">
        <v>94</v>
      </c>
      <c r="N883" s="7" t="s">
        <v>39</v>
      </c>
      <c r="O883" s="7" t="s">
        <v>2543</v>
      </c>
      <c r="P883" s="7" t="s">
        <v>2543</v>
      </c>
      <c r="Q883" s="7" t="s">
        <v>2548</v>
      </c>
      <c r="R883" t="s">
        <v>3633</v>
      </c>
    </row>
    <row r="884" spans="1:19" x14ac:dyDescent="0.3">
      <c r="A884" s="7" t="str">
        <f>HYPERLINK("https://hsdes.intel.com/resource/14013174442","14013174442")</f>
        <v>14013174442</v>
      </c>
      <c r="B884" s="7" t="s">
        <v>2549</v>
      </c>
      <c r="C884" s="7" t="s">
        <v>225</v>
      </c>
      <c r="D884" s="7" t="s">
        <v>3612</v>
      </c>
      <c r="E884" s="7" t="s">
        <v>3617</v>
      </c>
      <c r="F884" s="8" t="s">
        <v>3628</v>
      </c>
      <c r="H884" s="7" t="s">
        <v>3620</v>
      </c>
      <c r="I884" s="7" t="s">
        <v>3622</v>
      </c>
      <c r="L884" s="7" t="s">
        <v>100</v>
      </c>
      <c r="M884" s="7" t="s">
        <v>94</v>
      </c>
      <c r="N884" s="7" t="s">
        <v>10</v>
      </c>
      <c r="O884" s="7" t="s">
        <v>2550</v>
      </c>
      <c r="P884" s="7" t="s">
        <v>2472</v>
      </c>
      <c r="Q884" s="7" t="s">
        <v>2551</v>
      </c>
      <c r="R884" t="s">
        <v>3632</v>
      </c>
    </row>
    <row r="885" spans="1:19" x14ac:dyDescent="0.3">
      <c r="A885" s="7" t="str">
        <f>HYPERLINK("https://hsdes.intel.com/resource/14013174486","14013174486")</f>
        <v>14013174486</v>
      </c>
      <c r="B885" s="7" t="s">
        <v>2552</v>
      </c>
      <c r="C885" s="7" t="s">
        <v>161</v>
      </c>
      <c r="D885" s="7" t="s">
        <v>3612</v>
      </c>
      <c r="E885" s="7" t="s">
        <v>3617</v>
      </c>
      <c r="F885" s="8" t="s">
        <v>3628</v>
      </c>
      <c r="H885" s="7" t="s">
        <v>3619</v>
      </c>
      <c r="I885" s="7" t="s">
        <v>3524</v>
      </c>
      <c r="L885" s="7" t="s">
        <v>100</v>
      </c>
      <c r="M885" s="7" t="s">
        <v>94</v>
      </c>
      <c r="N885" s="7" t="s">
        <v>39</v>
      </c>
      <c r="O885" s="7" t="s">
        <v>1968</v>
      </c>
      <c r="P885" s="7" t="s">
        <v>2553</v>
      </c>
      <c r="Q885" s="7" t="s">
        <v>2554</v>
      </c>
      <c r="R885" t="s">
        <v>3632</v>
      </c>
    </row>
    <row r="886" spans="1:19" x14ac:dyDescent="0.3">
      <c r="A886" s="7" t="str">
        <f>HYPERLINK("https://hsdes.intel.com/resource/14013174491","14013174491")</f>
        <v>14013174491</v>
      </c>
      <c r="B886" s="7" t="s">
        <v>2555</v>
      </c>
      <c r="C886" s="7" t="s">
        <v>161</v>
      </c>
      <c r="D886" s="7" t="s">
        <v>3612</v>
      </c>
      <c r="E886" s="7" t="s">
        <v>3617</v>
      </c>
      <c r="F886" s="8" t="s">
        <v>3628</v>
      </c>
      <c r="H886" s="7" t="s">
        <v>3619</v>
      </c>
      <c r="I886" s="7" t="s">
        <v>3524</v>
      </c>
      <c r="L886" s="7" t="s">
        <v>100</v>
      </c>
      <c r="M886" s="7" t="s">
        <v>94</v>
      </c>
      <c r="N886" s="7" t="s">
        <v>39</v>
      </c>
      <c r="O886" s="7" t="s">
        <v>2556</v>
      </c>
      <c r="P886" s="7" t="s">
        <v>2553</v>
      </c>
      <c r="Q886" s="7" t="s">
        <v>2557</v>
      </c>
      <c r="R886" t="s">
        <v>3632</v>
      </c>
    </row>
    <row r="887" spans="1:19" x14ac:dyDescent="0.3">
      <c r="A887" s="7" t="str">
        <f>HYPERLINK("https://hsdes.intel.com/resource/14013174555","14013174555")</f>
        <v>14013174555</v>
      </c>
      <c r="B887" s="7" t="s">
        <v>2558</v>
      </c>
      <c r="C887" s="7" t="s">
        <v>2535</v>
      </c>
      <c r="D887" s="7" t="s">
        <v>3612</v>
      </c>
      <c r="E887" s="7" t="s">
        <v>3617</v>
      </c>
      <c r="F887" s="8" t="s">
        <v>3628</v>
      </c>
      <c r="H887" s="7" t="s">
        <v>3620</v>
      </c>
      <c r="I887" s="7" t="s">
        <v>3634</v>
      </c>
      <c r="L887" s="7" t="s">
        <v>100</v>
      </c>
      <c r="M887" s="7" t="s">
        <v>94</v>
      </c>
      <c r="N887" s="7" t="s">
        <v>39</v>
      </c>
      <c r="O887" s="7" t="s">
        <v>1968</v>
      </c>
      <c r="P887" s="7" t="s">
        <v>1969</v>
      </c>
      <c r="Q887" s="7" t="s">
        <v>2559</v>
      </c>
      <c r="R887" t="s">
        <v>3632</v>
      </c>
    </row>
    <row r="888" spans="1:19" x14ac:dyDescent="0.3">
      <c r="A888" s="7" t="str">
        <f>HYPERLINK("https://hsdes.intel.com/resource/14013174569","14013174569")</f>
        <v>14013174569</v>
      </c>
      <c r="B888" s="7" t="s">
        <v>2560</v>
      </c>
      <c r="C888" s="7" t="s">
        <v>161</v>
      </c>
      <c r="D888" s="7" t="s">
        <v>3612</v>
      </c>
      <c r="E888" s="7" t="s">
        <v>3617</v>
      </c>
      <c r="F888" s="8" t="s">
        <v>3628</v>
      </c>
      <c r="H888" s="7" t="s">
        <v>3620</v>
      </c>
      <c r="I888" s="7" t="s">
        <v>3643</v>
      </c>
      <c r="L888" s="7" t="s">
        <v>100</v>
      </c>
      <c r="M888" s="7" t="s">
        <v>94</v>
      </c>
      <c r="N888" s="7" t="s">
        <v>39</v>
      </c>
      <c r="O888" s="7" t="s">
        <v>227</v>
      </c>
      <c r="P888" s="7" t="s">
        <v>227</v>
      </c>
      <c r="Q888" s="7" t="s">
        <v>2561</v>
      </c>
      <c r="R888" t="s">
        <v>3632</v>
      </c>
    </row>
    <row r="889" spans="1:19" x14ac:dyDescent="0.3">
      <c r="A889" s="7" t="str">
        <f>HYPERLINK("https://hsdes.intel.com/resource/14013174609","14013174609")</f>
        <v>14013174609</v>
      </c>
      <c r="B889" s="7" t="s">
        <v>2562</v>
      </c>
      <c r="C889" s="7" t="s">
        <v>99</v>
      </c>
      <c r="D889" s="7" t="s">
        <v>3612</v>
      </c>
      <c r="E889" s="7" t="s">
        <v>3617</v>
      </c>
      <c r="F889" s="8" t="s">
        <v>3628</v>
      </c>
      <c r="H889" s="7" t="s">
        <v>3620</v>
      </c>
      <c r="I889" s="7" t="s">
        <v>3634</v>
      </c>
      <c r="L889" s="7" t="s">
        <v>100</v>
      </c>
      <c r="M889" s="7" t="s">
        <v>94</v>
      </c>
      <c r="N889" s="7" t="s">
        <v>56</v>
      </c>
      <c r="O889" s="7" t="s">
        <v>2563</v>
      </c>
      <c r="P889" s="7" t="s">
        <v>16</v>
      </c>
      <c r="Q889" s="7" t="s">
        <v>2564</v>
      </c>
      <c r="R889" t="s">
        <v>3631</v>
      </c>
      <c r="S889" s="22"/>
    </row>
    <row r="890" spans="1:19" x14ac:dyDescent="0.3">
      <c r="A890" s="7" t="str">
        <f>HYPERLINK("https://hsdes.intel.com/resource/14013174650","14013174650")</f>
        <v>14013174650</v>
      </c>
      <c r="B890" s="7" t="s">
        <v>2565</v>
      </c>
      <c r="C890" s="7" t="s">
        <v>161</v>
      </c>
      <c r="D890" s="7" t="s">
        <v>3612</v>
      </c>
      <c r="E890" s="7" t="s">
        <v>3617</v>
      </c>
      <c r="F890" s="8" t="s">
        <v>3628</v>
      </c>
      <c r="H890" s="7" t="s">
        <v>3620</v>
      </c>
      <c r="I890" s="7" t="s">
        <v>3640</v>
      </c>
      <c r="L890" s="7" t="s">
        <v>100</v>
      </c>
      <c r="M890" s="7" t="s">
        <v>94</v>
      </c>
      <c r="N890" s="7" t="s">
        <v>39</v>
      </c>
      <c r="O890" s="7" t="s">
        <v>727</v>
      </c>
      <c r="P890" s="7" t="s">
        <v>2566</v>
      </c>
      <c r="Q890" s="7" t="s">
        <v>2567</v>
      </c>
      <c r="R890" t="s">
        <v>3632</v>
      </c>
    </row>
    <row r="891" spans="1:19" x14ac:dyDescent="0.3">
      <c r="A891" s="7" t="str">
        <f>HYPERLINK("https://hsdes.intel.com/resource/14013174656","14013174656")</f>
        <v>14013174656</v>
      </c>
      <c r="B891" s="7" t="s">
        <v>2568</v>
      </c>
      <c r="C891" s="7" t="s">
        <v>161</v>
      </c>
      <c r="D891" s="7" t="s">
        <v>3612</v>
      </c>
      <c r="E891" s="7" t="s">
        <v>3617</v>
      </c>
      <c r="F891" s="8" t="s">
        <v>3628</v>
      </c>
      <c r="H891" s="7" t="s">
        <v>3620</v>
      </c>
      <c r="I891" s="7" t="s">
        <v>3640</v>
      </c>
      <c r="L891" s="7" t="s">
        <v>100</v>
      </c>
      <c r="M891" s="7" t="s">
        <v>94</v>
      </c>
      <c r="N891" s="7" t="s">
        <v>25</v>
      </c>
      <c r="O891" s="7" t="s">
        <v>781</v>
      </c>
      <c r="P891" s="7" t="s">
        <v>781</v>
      </c>
      <c r="Q891" s="7" t="s">
        <v>2569</v>
      </c>
      <c r="R891" t="s">
        <v>3632</v>
      </c>
    </row>
    <row r="892" spans="1:19" x14ac:dyDescent="0.3">
      <c r="A892" s="7" t="str">
        <f>HYPERLINK("https://hsdes.intel.com/resource/14013174674","14013174674")</f>
        <v>14013174674</v>
      </c>
      <c r="B892" s="7" t="s">
        <v>2570</v>
      </c>
      <c r="C892" s="7" t="s">
        <v>161</v>
      </c>
      <c r="D892" s="7" t="s">
        <v>3612</v>
      </c>
      <c r="E892" s="7" t="s">
        <v>3617</v>
      </c>
      <c r="F892" s="8" t="s">
        <v>3628</v>
      </c>
      <c r="H892" s="7" t="s">
        <v>3620</v>
      </c>
      <c r="I892" s="7" t="s">
        <v>3640</v>
      </c>
      <c r="L892" s="7" t="s">
        <v>100</v>
      </c>
      <c r="M892" s="7" t="s">
        <v>94</v>
      </c>
      <c r="N892" s="7" t="s">
        <v>39</v>
      </c>
      <c r="O892" s="7" t="s">
        <v>2571</v>
      </c>
      <c r="P892" s="7" t="s">
        <v>2414</v>
      </c>
      <c r="Q892" s="7" t="s">
        <v>2572</v>
      </c>
      <c r="R892" t="s">
        <v>3632</v>
      </c>
    </row>
    <row r="893" spans="1:19" x14ac:dyDescent="0.3">
      <c r="A893" s="7" t="str">
        <f>HYPERLINK("https://hsdes.intel.com/resource/14013174680","14013174680")</f>
        <v>14013174680</v>
      </c>
      <c r="B893" s="7" t="s">
        <v>2573</v>
      </c>
      <c r="C893" s="7" t="s">
        <v>161</v>
      </c>
      <c r="D893" s="7" t="s">
        <v>3612</v>
      </c>
      <c r="E893" s="7" t="s">
        <v>3617</v>
      </c>
      <c r="F893" s="8" t="s">
        <v>3628</v>
      </c>
      <c r="H893" s="7" t="s">
        <v>3620</v>
      </c>
      <c r="I893" s="7" t="s">
        <v>3640</v>
      </c>
      <c r="L893" s="7" t="s">
        <v>100</v>
      </c>
      <c r="M893" s="7" t="s">
        <v>94</v>
      </c>
      <c r="N893" s="7" t="s">
        <v>39</v>
      </c>
      <c r="O893" s="7" t="s">
        <v>2571</v>
      </c>
      <c r="P893" s="7" t="s">
        <v>2414</v>
      </c>
      <c r="Q893" s="7" t="s">
        <v>2574</v>
      </c>
      <c r="R893" t="s">
        <v>3632</v>
      </c>
    </row>
    <row r="894" spans="1:19" x14ac:dyDescent="0.3">
      <c r="A894" s="7" t="str">
        <f>HYPERLINK("https://hsdes.intel.com/resource/14013174724","14013174724")</f>
        <v>14013174724</v>
      </c>
      <c r="B894" s="7" t="s">
        <v>2575</v>
      </c>
      <c r="C894" s="7" t="s">
        <v>161</v>
      </c>
      <c r="D894" s="7" t="s">
        <v>3612</v>
      </c>
      <c r="E894" s="7" t="s">
        <v>3617</v>
      </c>
      <c r="F894" s="8" t="s">
        <v>3628</v>
      </c>
      <c r="H894" s="7" t="s">
        <v>3619</v>
      </c>
      <c r="I894" s="7" t="s">
        <v>3642</v>
      </c>
      <c r="L894" s="7" t="s">
        <v>100</v>
      </c>
      <c r="M894" s="7" t="s">
        <v>94</v>
      </c>
      <c r="N894" s="7" t="s">
        <v>25</v>
      </c>
      <c r="O894" s="7" t="s">
        <v>2487</v>
      </c>
      <c r="P894" s="7" t="s">
        <v>2487</v>
      </c>
      <c r="Q894" s="7" t="s">
        <v>2576</v>
      </c>
      <c r="R894" t="s">
        <v>3632</v>
      </c>
    </row>
    <row r="895" spans="1:19" x14ac:dyDescent="0.3">
      <c r="A895" s="7" t="str">
        <f>HYPERLINK("https://hsdes.intel.com/resource/14013174729","14013174729")</f>
        <v>14013174729</v>
      </c>
      <c r="B895" s="7" t="s">
        <v>2577</v>
      </c>
      <c r="C895" s="7" t="s">
        <v>161</v>
      </c>
      <c r="D895" s="7" t="s">
        <v>3612</v>
      </c>
      <c r="E895" s="7" t="s">
        <v>3617</v>
      </c>
      <c r="F895" s="8" t="s">
        <v>3628</v>
      </c>
      <c r="H895" s="7" t="s">
        <v>3619</v>
      </c>
      <c r="I895" s="7" t="s">
        <v>3643</v>
      </c>
      <c r="L895" s="7" t="s">
        <v>100</v>
      </c>
      <c r="M895" s="7" t="s">
        <v>94</v>
      </c>
      <c r="N895" s="7" t="s">
        <v>39</v>
      </c>
      <c r="O895" s="7" t="s">
        <v>2487</v>
      </c>
      <c r="P895" s="7" t="s">
        <v>2487</v>
      </c>
      <c r="Q895" s="7" t="s">
        <v>2578</v>
      </c>
      <c r="R895" t="s">
        <v>3631</v>
      </c>
    </row>
    <row r="896" spans="1:19" x14ac:dyDescent="0.3">
      <c r="A896" s="7" t="str">
        <f>HYPERLINK("https://hsdes.intel.com/resource/14013174739","14013174739")</f>
        <v>14013174739</v>
      </c>
      <c r="B896" s="7" t="s">
        <v>2579</v>
      </c>
      <c r="C896" s="7" t="s">
        <v>161</v>
      </c>
      <c r="D896" s="7" t="s">
        <v>3612</v>
      </c>
      <c r="E896" s="7" t="s">
        <v>3617</v>
      </c>
      <c r="F896" s="8" t="s">
        <v>3628</v>
      </c>
      <c r="H896" s="7" t="s">
        <v>3620</v>
      </c>
      <c r="I896" s="7" t="s">
        <v>3643</v>
      </c>
      <c r="L896" s="7" t="s">
        <v>100</v>
      </c>
      <c r="M896" s="7" t="s">
        <v>94</v>
      </c>
      <c r="N896" s="7" t="s">
        <v>39</v>
      </c>
      <c r="O896" s="7" t="s">
        <v>781</v>
      </c>
      <c r="P896" s="7" t="s">
        <v>781</v>
      </c>
      <c r="Q896" s="7" t="s">
        <v>2580</v>
      </c>
      <c r="R896" t="s">
        <v>3631</v>
      </c>
    </row>
    <row r="897" spans="1:20" x14ac:dyDescent="0.3">
      <c r="A897" s="7" t="str">
        <f>HYPERLINK("https://hsdes.intel.com/resource/14013174791","14013174791")</f>
        <v>14013174791</v>
      </c>
      <c r="B897" s="7" t="s">
        <v>2581</v>
      </c>
      <c r="C897" s="7" t="s">
        <v>2542</v>
      </c>
      <c r="D897" s="7" t="s">
        <v>3612</v>
      </c>
      <c r="E897" s="7" t="s">
        <v>3617</v>
      </c>
      <c r="F897" s="8" t="s">
        <v>3628</v>
      </c>
      <c r="H897" s="7" t="s">
        <v>3619</v>
      </c>
      <c r="I897" s="7" t="s">
        <v>3645</v>
      </c>
      <c r="L897" s="7" t="s">
        <v>100</v>
      </c>
      <c r="M897" s="7" t="s">
        <v>94</v>
      </c>
      <c r="N897" s="7" t="s">
        <v>39</v>
      </c>
      <c r="O897" s="7" t="s">
        <v>2582</v>
      </c>
      <c r="P897" s="7" t="s">
        <v>2582</v>
      </c>
      <c r="Q897" s="7" t="s">
        <v>2583</v>
      </c>
      <c r="R897" t="s">
        <v>3632</v>
      </c>
      <c r="T897" s="22">
        <v>44818</v>
      </c>
    </row>
    <row r="898" spans="1:20" x14ac:dyDescent="0.3">
      <c r="A898" s="7" t="str">
        <f>HYPERLINK("https://hsdes.intel.com/resource/14013174800","14013174800")</f>
        <v>14013174800</v>
      </c>
      <c r="B898" s="7" t="s">
        <v>2584</v>
      </c>
      <c r="C898" s="7" t="s">
        <v>99</v>
      </c>
      <c r="D898" s="7" t="s">
        <v>3612</v>
      </c>
      <c r="E898" s="7" t="s">
        <v>3617</v>
      </c>
      <c r="F898" s="8" t="s">
        <v>3628</v>
      </c>
      <c r="H898" s="16" t="s">
        <v>3619</v>
      </c>
      <c r="I898" s="7" t="s">
        <v>3645</v>
      </c>
      <c r="L898" s="7" t="s">
        <v>100</v>
      </c>
      <c r="M898" s="7" t="s">
        <v>94</v>
      </c>
      <c r="N898" s="7" t="s">
        <v>56</v>
      </c>
      <c r="O898" s="7" t="s">
        <v>2585</v>
      </c>
      <c r="P898" s="7" t="s">
        <v>2586</v>
      </c>
      <c r="Q898" s="7" t="s">
        <v>2587</v>
      </c>
      <c r="R898" t="s">
        <v>3632</v>
      </c>
      <c r="T898" s="22">
        <v>44818</v>
      </c>
    </row>
    <row r="899" spans="1:20" x14ac:dyDescent="0.3">
      <c r="A899" s="7" t="str">
        <f>HYPERLINK("https://hsdes.intel.com/resource/14013174821","14013174821")</f>
        <v>14013174821</v>
      </c>
      <c r="B899" s="7" t="s">
        <v>2588</v>
      </c>
      <c r="C899" s="7" t="s">
        <v>161</v>
      </c>
      <c r="D899" s="7" t="s">
        <v>3612</v>
      </c>
      <c r="E899" s="7" t="s">
        <v>3617</v>
      </c>
      <c r="F899" s="8" t="s">
        <v>3628</v>
      </c>
      <c r="H899" s="7" t="s">
        <v>3620</v>
      </c>
      <c r="I899" s="7" t="s">
        <v>3641</v>
      </c>
      <c r="L899" s="7" t="s">
        <v>100</v>
      </c>
      <c r="M899" s="7" t="s">
        <v>94</v>
      </c>
      <c r="N899" s="7" t="s">
        <v>56</v>
      </c>
      <c r="O899" s="7" t="s">
        <v>2589</v>
      </c>
      <c r="P899" s="7" t="s">
        <v>2590</v>
      </c>
      <c r="Q899" s="7" t="s">
        <v>2591</v>
      </c>
      <c r="R899" t="s">
        <v>3632</v>
      </c>
    </row>
    <row r="900" spans="1:20" x14ac:dyDescent="0.3">
      <c r="A900" s="7" t="str">
        <f>HYPERLINK("https://hsdes.intel.com/resource/14013174825","14013174825")</f>
        <v>14013174825</v>
      </c>
      <c r="B900" s="7" t="s">
        <v>2592</v>
      </c>
      <c r="C900" s="7" t="s">
        <v>161</v>
      </c>
      <c r="D900" s="7" t="s">
        <v>3612</v>
      </c>
      <c r="E900" s="7" t="s">
        <v>3617</v>
      </c>
      <c r="F900" s="8" t="s">
        <v>3628</v>
      </c>
      <c r="H900" s="7" t="s">
        <v>3620</v>
      </c>
      <c r="I900" s="7" t="s">
        <v>3641</v>
      </c>
      <c r="L900" s="7" t="s">
        <v>100</v>
      </c>
      <c r="M900" s="7" t="s">
        <v>94</v>
      </c>
      <c r="N900" s="7" t="s">
        <v>56</v>
      </c>
      <c r="O900" s="7" t="s">
        <v>2593</v>
      </c>
      <c r="P900" s="7" t="s">
        <v>2594</v>
      </c>
      <c r="Q900" s="7" t="s">
        <v>2595</v>
      </c>
      <c r="R900" t="s">
        <v>3632</v>
      </c>
    </row>
    <row r="901" spans="1:20" x14ac:dyDescent="0.3">
      <c r="A901" s="7" t="str">
        <f>HYPERLINK("https://hsdes.intel.com/resource/14013174827","14013174827")</f>
        <v>14013174827</v>
      </c>
      <c r="B901" s="7" t="s">
        <v>2596</v>
      </c>
      <c r="C901" s="7" t="s">
        <v>161</v>
      </c>
      <c r="D901" s="7" t="s">
        <v>3612</v>
      </c>
      <c r="E901" s="7" t="s">
        <v>3617</v>
      </c>
      <c r="F901" s="8" t="s">
        <v>3628</v>
      </c>
      <c r="H901" s="7" t="s">
        <v>3620</v>
      </c>
      <c r="I901" s="7" t="s">
        <v>3641</v>
      </c>
      <c r="L901" s="7" t="s">
        <v>100</v>
      </c>
      <c r="M901" s="7" t="s">
        <v>94</v>
      </c>
      <c r="N901" s="7" t="s">
        <v>56</v>
      </c>
      <c r="O901" s="7" t="s">
        <v>2593</v>
      </c>
      <c r="P901" s="7" t="s">
        <v>2594</v>
      </c>
      <c r="Q901" s="7" t="s">
        <v>2597</v>
      </c>
      <c r="R901" t="s">
        <v>3632</v>
      </c>
    </row>
    <row r="902" spans="1:20" x14ac:dyDescent="0.3">
      <c r="A902" s="7" t="str">
        <f>HYPERLINK("https://hsdes.intel.com/resource/14013174829","14013174829")</f>
        <v>14013174829</v>
      </c>
      <c r="B902" s="7" t="s">
        <v>2598</v>
      </c>
      <c r="C902" s="7" t="s">
        <v>161</v>
      </c>
      <c r="D902" s="7" t="s">
        <v>3612</v>
      </c>
      <c r="E902" s="7" t="s">
        <v>3617</v>
      </c>
      <c r="F902" s="8" t="s">
        <v>3628</v>
      </c>
      <c r="H902" s="7" t="s">
        <v>3620</v>
      </c>
      <c r="I902" s="7" t="s">
        <v>3641</v>
      </c>
      <c r="L902" s="7" t="s">
        <v>100</v>
      </c>
      <c r="M902" s="7" t="s">
        <v>94</v>
      </c>
      <c r="N902" s="7" t="s">
        <v>39</v>
      </c>
      <c r="O902" s="7" t="s">
        <v>2599</v>
      </c>
      <c r="P902" s="7" t="s">
        <v>2600</v>
      </c>
      <c r="Q902" s="7" t="s">
        <v>2601</v>
      </c>
      <c r="R902" t="s">
        <v>3632</v>
      </c>
    </row>
    <row r="903" spans="1:20" x14ac:dyDescent="0.3">
      <c r="A903" s="7" t="str">
        <f>HYPERLINK("https://hsdes.intel.com/resource/14013174831","14013174831")</f>
        <v>14013174831</v>
      </c>
      <c r="B903" s="7" t="s">
        <v>2602</v>
      </c>
      <c r="C903" s="7" t="s">
        <v>161</v>
      </c>
      <c r="D903" s="7" t="s">
        <v>3612</v>
      </c>
      <c r="E903" s="7" t="s">
        <v>3617</v>
      </c>
      <c r="F903" s="8" t="s">
        <v>3628</v>
      </c>
      <c r="H903" s="7" t="s">
        <v>3620</v>
      </c>
      <c r="I903" s="7" t="s">
        <v>3641</v>
      </c>
      <c r="L903" s="7" t="s">
        <v>100</v>
      </c>
      <c r="M903" s="7" t="s">
        <v>94</v>
      </c>
      <c r="N903" s="7" t="s">
        <v>39</v>
      </c>
      <c r="O903" s="7" t="s">
        <v>2589</v>
      </c>
      <c r="P903" s="7" t="s">
        <v>2590</v>
      </c>
      <c r="Q903" s="7" t="s">
        <v>2603</v>
      </c>
      <c r="R903" t="s">
        <v>3632</v>
      </c>
    </row>
    <row r="904" spans="1:20" x14ac:dyDescent="0.3">
      <c r="A904" s="7" t="str">
        <f>HYPERLINK("https://hsdes.intel.com/resource/14013174835","14013174835")</f>
        <v>14013174835</v>
      </c>
      <c r="B904" s="7" t="s">
        <v>2604</v>
      </c>
      <c r="C904" s="7" t="s">
        <v>161</v>
      </c>
      <c r="D904" s="7" t="s">
        <v>3612</v>
      </c>
      <c r="E904" s="7" t="s">
        <v>3617</v>
      </c>
      <c r="F904" s="8" t="s">
        <v>3628</v>
      </c>
      <c r="H904" s="7" t="s">
        <v>3620</v>
      </c>
      <c r="I904" s="7" t="s">
        <v>3641</v>
      </c>
      <c r="L904" s="7" t="s">
        <v>100</v>
      </c>
      <c r="M904" s="7" t="s">
        <v>94</v>
      </c>
      <c r="N904" s="7" t="s">
        <v>39</v>
      </c>
      <c r="O904" s="7" t="s">
        <v>2593</v>
      </c>
      <c r="P904" s="7" t="s">
        <v>2594</v>
      </c>
      <c r="Q904" s="7" t="s">
        <v>2605</v>
      </c>
      <c r="R904" t="s">
        <v>3632</v>
      </c>
    </row>
    <row r="905" spans="1:20" x14ac:dyDescent="0.3">
      <c r="A905" s="7" t="str">
        <f>HYPERLINK("https://hsdes.intel.com/resource/14013174839","14013174839")</f>
        <v>14013174839</v>
      </c>
      <c r="B905" s="7" t="s">
        <v>2606</v>
      </c>
      <c r="C905" s="7" t="s">
        <v>161</v>
      </c>
      <c r="D905" s="7" t="s">
        <v>3612</v>
      </c>
      <c r="E905" s="7" t="s">
        <v>3617</v>
      </c>
      <c r="F905" s="8" t="s">
        <v>3628</v>
      </c>
      <c r="H905" s="7" t="s">
        <v>3620</v>
      </c>
      <c r="I905" s="7" t="s">
        <v>3641</v>
      </c>
      <c r="L905" s="7" t="s">
        <v>100</v>
      </c>
      <c r="M905" s="7" t="s">
        <v>94</v>
      </c>
      <c r="N905" s="7" t="s">
        <v>39</v>
      </c>
      <c r="O905" s="7" t="s">
        <v>2593</v>
      </c>
      <c r="P905" s="7" t="s">
        <v>2594</v>
      </c>
      <c r="Q905" s="7" t="s">
        <v>2607</v>
      </c>
      <c r="R905" t="s">
        <v>3632</v>
      </c>
    </row>
    <row r="906" spans="1:20" x14ac:dyDescent="0.3">
      <c r="A906" s="7" t="str">
        <f>HYPERLINK("https://hsdes.intel.com/resource/14013174841","14013174841")</f>
        <v>14013174841</v>
      </c>
      <c r="B906" s="7" t="s">
        <v>2608</v>
      </c>
      <c r="C906" s="7" t="s">
        <v>2609</v>
      </c>
      <c r="D906" s="7" t="s">
        <v>3612</v>
      </c>
      <c r="E906" s="7" t="s">
        <v>3617</v>
      </c>
      <c r="F906" s="8" t="s">
        <v>3628</v>
      </c>
      <c r="H906" s="7" t="s">
        <v>3620</v>
      </c>
      <c r="I906" s="7" t="s">
        <v>3524</v>
      </c>
      <c r="L906" s="7" t="s">
        <v>100</v>
      </c>
      <c r="M906" s="7" t="s">
        <v>94</v>
      </c>
      <c r="N906" s="7" t="s">
        <v>39</v>
      </c>
      <c r="O906" s="7" t="s">
        <v>2610</v>
      </c>
      <c r="P906" s="7" t="s">
        <v>2610</v>
      </c>
      <c r="Q906" s="7" t="s">
        <v>2611</v>
      </c>
      <c r="R906" t="s">
        <v>3632</v>
      </c>
    </row>
    <row r="907" spans="1:20" x14ac:dyDescent="0.3">
      <c r="A907" s="7" t="str">
        <f>HYPERLINK("https://hsdes.intel.com/resource/14013174843","14013174843")</f>
        <v>14013174843</v>
      </c>
      <c r="B907" s="7" t="s">
        <v>2612</v>
      </c>
      <c r="C907" s="7" t="s">
        <v>2609</v>
      </c>
      <c r="D907" s="7" t="s">
        <v>3612</v>
      </c>
      <c r="E907" s="7" t="s">
        <v>3617</v>
      </c>
      <c r="F907" s="8" t="s">
        <v>3628</v>
      </c>
      <c r="H907" s="7" t="s">
        <v>3619</v>
      </c>
      <c r="I907" s="7" t="s">
        <v>3649</v>
      </c>
      <c r="L907" s="7" t="s">
        <v>100</v>
      </c>
      <c r="M907" s="7" t="s">
        <v>94</v>
      </c>
      <c r="N907" s="7" t="s">
        <v>39</v>
      </c>
      <c r="O907" s="7" t="s">
        <v>2613</v>
      </c>
      <c r="P907" s="7" t="s">
        <v>2610</v>
      </c>
      <c r="Q907" s="7" t="s">
        <v>2614</v>
      </c>
      <c r="R907" t="s">
        <v>3632</v>
      </c>
    </row>
    <row r="908" spans="1:20" x14ac:dyDescent="0.3">
      <c r="A908" s="7" t="str">
        <f>HYPERLINK("https://hsdes.intel.com/resource/14013174856","14013174856")</f>
        <v>14013174856</v>
      </c>
      <c r="B908" s="7" t="s">
        <v>2615</v>
      </c>
      <c r="C908" s="7" t="s">
        <v>225</v>
      </c>
      <c r="D908" s="7" t="s">
        <v>3612</v>
      </c>
      <c r="E908" s="7" t="s">
        <v>3617</v>
      </c>
      <c r="F908" s="8" t="s">
        <v>3628</v>
      </c>
      <c r="H908" s="7" t="s">
        <v>3620</v>
      </c>
      <c r="I908" s="7" t="s">
        <v>3622</v>
      </c>
      <c r="L908" s="7" t="s">
        <v>100</v>
      </c>
      <c r="M908" s="7" t="s">
        <v>9</v>
      </c>
      <c r="N908" s="7" t="s">
        <v>226</v>
      </c>
      <c r="O908" s="7" t="s">
        <v>2616</v>
      </c>
      <c r="P908" s="7" t="s">
        <v>2475</v>
      </c>
      <c r="Q908" s="7" t="s">
        <v>2617</v>
      </c>
      <c r="R908" t="s">
        <v>3632</v>
      </c>
    </row>
    <row r="909" spans="1:20" x14ac:dyDescent="0.3">
      <c r="A909" s="7" t="str">
        <f>HYPERLINK("https://hsdes.intel.com/resource/14013175199","14013175199")</f>
        <v>14013175199</v>
      </c>
      <c r="B909" s="7" t="s">
        <v>2618</v>
      </c>
      <c r="C909" s="7" t="s">
        <v>225</v>
      </c>
      <c r="D909" s="7" t="s">
        <v>3612</v>
      </c>
      <c r="E909" s="7" t="s">
        <v>3617</v>
      </c>
      <c r="F909" s="8" t="s">
        <v>3628</v>
      </c>
      <c r="H909" s="7" t="s">
        <v>3618</v>
      </c>
      <c r="J909" s="7" t="s">
        <v>3569</v>
      </c>
      <c r="L909" s="7" t="s">
        <v>100</v>
      </c>
      <c r="M909" s="7" t="s">
        <v>94</v>
      </c>
      <c r="N909" s="7" t="s">
        <v>226</v>
      </c>
      <c r="O909" s="7" t="s">
        <v>2619</v>
      </c>
      <c r="P909" s="7" t="s">
        <v>2475</v>
      </c>
      <c r="Q909" s="7" t="s">
        <v>2620</v>
      </c>
      <c r="R909" t="s">
        <v>3631</v>
      </c>
    </row>
    <row r="910" spans="1:20" x14ac:dyDescent="0.3">
      <c r="A910" s="7" t="str">
        <f>HYPERLINK("https://hsdes.intel.com/resource/14013175301","14013175301")</f>
        <v>14013175301</v>
      </c>
      <c r="B910" s="7" t="s">
        <v>2621</v>
      </c>
      <c r="C910" s="7" t="s">
        <v>2523</v>
      </c>
      <c r="D910" s="7" t="s">
        <v>3612</v>
      </c>
      <c r="E910" s="7" t="s">
        <v>3617</v>
      </c>
      <c r="F910" s="8" t="s">
        <v>3628</v>
      </c>
      <c r="H910" s="7" t="s">
        <v>3620</v>
      </c>
      <c r="I910" s="7" t="s">
        <v>3640</v>
      </c>
      <c r="L910" s="7" t="s">
        <v>100</v>
      </c>
      <c r="M910" s="7" t="s">
        <v>94</v>
      </c>
      <c r="N910" s="7" t="s">
        <v>226</v>
      </c>
      <c r="O910" s="7" t="s">
        <v>2622</v>
      </c>
      <c r="P910" s="7" t="s">
        <v>2623</v>
      </c>
      <c r="Q910" s="7" t="s">
        <v>2624</v>
      </c>
      <c r="R910" t="s">
        <v>3631</v>
      </c>
    </row>
    <row r="911" spans="1:20" x14ac:dyDescent="0.3">
      <c r="A911" s="7" t="str">
        <f>HYPERLINK("https://hsdes.intel.com/resource/14013175303","14013175303")</f>
        <v>14013175303</v>
      </c>
      <c r="B911" s="7" t="s">
        <v>2625</v>
      </c>
      <c r="C911" s="7" t="s">
        <v>2523</v>
      </c>
      <c r="D911" s="7" t="s">
        <v>3612</v>
      </c>
      <c r="E911" s="7" t="s">
        <v>3617</v>
      </c>
      <c r="F911" s="8" t="s">
        <v>3628</v>
      </c>
      <c r="H911" s="7" t="s">
        <v>3620</v>
      </c>
      <c r="I911" s="7" t="s">
        <v>3640</v>
      </c>
      <c r="L911" s="7" t="s">
        <v>100</v>
      </c>
      <c r="M911" s="7" t="s">
        <v>94</v>
      </c>
      <c r="N911" s="7" t="s">
        <v>226</v>
      </c>
      <c r="O911" s="7" t="s">
        <v>2626</v>
      </c>
      <c r="P911" s="7" t="s">
        <v>2623</v>
      </c>
      <c r="Q911" s="7" t="s">
        <v>2627</v>
      </c>
      <c r="R911" t="s">
        <v>3632</v>
      </c>
    </row>
    <row r="912" spans="1:20" x14ac:dyDescent="0.3">
      <c r="A912" s="7" t="str">
        <f>HYPERLINK("https://hsdes.intel.com/resource/14013175419","14013175419")</f>
        <v>14013175419</v>
      </c>
      <c r="B912" s="7" t="s">
        <v>2628</v>
      </c>
      <c r="C912" s="7" t="s">
        <v>161</v>
      </c>
      <c r="D912" s="7" t="s">
        <v>3612</v>
      </c>
      <c r="E912" s="7" t="s">
        <v>3617</v>
      </c>
      <c r="F912" s="8" t="s">
        <v>3628</v>
      </c>
      <c r="H912" s="7" t="s">
        <v>3620</v>
      </c>
      <c r="I912" s="7" t="s">
        <v>3643</v>
      </c>
      <c r="L912" s="7" t="s">
        <v>100</v>
      </c>
      <c r="M912" s="7" t="s">
        <v>94</v>
      </c>
      <c r="N912" s="7" t="s">
        <v>39</v>
      </c>
      <c r="O912" s="7" t="s">
        <v>781</v>
      </c>
      <c r="P912" s="7" t="s">
        <v>781</v>
      </c>
      <c r="Q912" s="7" t="s">
        <v>2629</v>
      </c>
      <c r="R912" t="s">
        <v>3631</v>
      </c>
    </row>
    <row r="913" spans="1:20" x14ac:dyDescent="0.3">
      <c r="A913" s="7" t="str">
        <f>HYPERLINK("https://hsdes.intel.com/resource/14013175425","14013175425")</f>
        <v>14013175425</v>
      </c>
      <c r="B913" s="7" t="s">
        <v>2630</v>
      </c>
      <c r="C913" s="7" t="s">
        <v>2542</v>
      </c>
      <c r="D913" s="7" t="s">
        <v>3612</v>
      </c>
      <c r="E913" s="7" t="s">
        <v>3617</v>
      </c>
      <c r="F913" s="8" t="s">
        <v>3628</v>
      </c>
      <c r="H913" s="16" t="s">
        <v>3620</v>
      </c>
      <c r="I913" s="7" t="s">
        <v>3645</v>
      </c>
      <c r="L913" s="7" t="s">
        <v>100</v>
      </c>
      <c r="M913" s="7" t="s">
        <v>94</v>
      </c>
      <c r="N913" s="7" t="s">
        <v>39</v>
      </c>
      <c r="O913" s="7" t="s">
        <v>2582</v>
      </c>
      <c r="P913" s="7" t="s">
        <v>2582</v>
      </c>
      <c r="Q913" s="7" t="s">
        <v>2631</v>
      </c>
      <c r="R913" t="s">
        <v>3632</v>
      </c>
      <c r="T913" s="22">
        <v>44818</v>
      </c>
    </row>
    <row r="914" spans="1:20" x14ac:dyDescent="0.3">
      <c r="A914" s="7" t="str">
        <f>HYPERLINK("https://hsdes.intel.com/resource/14013175611","14013175611")</f>
        <v>14013175611</v>
      </c>
      <c r="B914" s="7" t="s">
        <v>2632</v>
      </c>
      <c r="C914" s="7" t="s">
        <v>121</v>
      </c>
      <c r="D914" s="7" t="s">
        <v>3612</v>
      </c>
      <c r="E914" s="7" t="s">
        <v>3617</v>
      </c>
      <c r="F914" s="8" t="s">
        <v>3628</v>
      </c>
      <c r="H914" s="7" t="s">
        <v>3619</v>
      </c>
      <c r="I914" s="7" t="s">
        <v>3622</v>
      </c>
      <c r="L914" s="7" t="s">
        <v>142</v>
      </c>
      <c r="M914" s="7" t="s">
        <v>9</v>
      </c>
      <c r="N914" s="7" t="s">
        <v>39</v>
      </c>
      <c r="O914" s="7" t="s">
        <v>217</v>
      </c>
      <c r="P914" s="7" t="s">
        <v>217</v>
      </c>
      <c r="Q914" s="7" t="s">
        <v>2633</v>
      </c>
      <c r="R914" t="s">
        <v>3632</v>
      </c>
    </row>
    <row r="915" spans="1:20" x14ac:dyDescent="0.3">
      <c r="A915" s="7" t="str">
        <f>HYPERLINK("https://hsdes.intel.com/resource/14013175622","14013175622")</f>
        <v>14013175622</v>
      </c>
      <c r="B915" s="7" t="s">
        <v>2634</v>
      </c>
      <c r="C915" s="7" t="s">
        <v>63</v>
      </c>
      <c r="D915" s="7" t="s">
        <v>3612</v>
      </c>
      <c r="E915" s="7" t="s">
        <v>3617</v>
      </c>
      <c r="F915" s="8" t="s">
        <v>3628</v>
      </c>
      <c r="H915" s="7" t="s">
        <v>3619</v>
      </c>
      <c r="I915" s="7" t="s">
        <v>3622</v>
      </c>
      <c r="L915" s="7" t="s">
        <v>64</v>
      </c>
      <c r="M915" s="7" t="s">
        <v>9</v>
      </c>
      <c r="N915" s="7" t="s">
        <v>56</v>
      </c>
      <c r="O915" s="7" t="s">
        <v>2635</v>
      </c>
      <c r="P915" s="7" t="s">
        <v>2636</v>
      </c>
      <c r="Q915" s="7" t="s">
        <v>2637</v>
      </c>
      <c r="R915" t="s">
        <v>3632</v>
      </c>
    </row>
    <row r="916" spans="1:20" x14ac:dyDescent="0.3">
      <c r="A916" s="7" t="str">
        <f>HYPERLINK("https://hsdes.intel.com/resource/14013175625","14013175625")</f>
        <v>14013175625</v>
      </c>
      <c r="B916" s="7" t="s">
        <v>2638</v>
      </c>
      <c r="C916" s="7" t="s">
        <v>133</v>
      </c>
      <c r="D916" s="7" t="s">
        <v>3612</v>
      </c>
      <c r="E916" s="7" t="s">
        <v>3617</v>
      </c>
      <c r="F916" s="8" t="s">
        <v>3628</v>
      </c>
      <c r="H916" s="7" t="s">
        <v>3620</v>
      </c>
      <c r="I916" s="7" t="s">
        <v>3640</v>
      </c>
      <c r="L916" s="7" t="s">
        <v>24</v>
      </c>
      <c r="M916" s="7" t="s">
        <v>9</v>
      </c>
      <c r="N916" s="7" t="s">
        <v>39</v>
      </c>
      <c r="O916" s="7" t="s">
        <v>48</v>
      </c>
      <c r="P916" s="7" t="s">
        <v>48</v>
      </c>
      <c r="Q916" s="7" t="s">
        <v>2639</v>
      </c>
      <c r="R916" t="s">
        <v>3632</v>
      </c>
    </row>
    <row r="917" spans="1:20" x14ac:dyDescent="0.3">
      <c r="A917" s="7" t="str">
        <f>HYPERLINK("https://hsdes.intel.com/resource/14013175631","14013175631")</f>
        <v>14013175631</v>
      </c>
      <c r="B917" s="7" t="s">
        <v>2640</v>
      </c>
      <c r="C917" s="7" t="s">
        <v>133</v>
      </c>
      <c r="D917" s="7" t="s">
        <v>3612</v>
      </c>
      <c r="E917" s="7" t="s">
        <v>3617</v>
      </c>
      <c r="F917" s="8" t="s">
        <v>3628</v>
      </c>
      <c r="H917" s="7" t="s">
        <v>3620</v>
      </c>
      <c r="I917" s="7" t="s">
        <v>3640</v>
      </c>
      <c r="L917" s="7" t="s">
        <v>24</v>
      </c>
      <c r="M917" s="7" t="s">
        <v>9</v>
      </c>
      <c r="N917" s="7" t="s">
        <v>483</v>
      </c>
      <c r="O917" s="7" t="s">
        <v>137</v>
      </c>
      <c r="P917" s="7" t="s">
        <v>137</v>
      </c>
      <c r="Q917" s="7" t="s">
        <v>2641</v>
      </c>
      <c r="R917" t="s">
        <v>3631</v>
      </c>
    </row>
    <row r="918" spans="1:20" x14ac:dyDescent="0.3">
      <c r="A918" s="7" t="str">
        <f>HYPERLINK("https://hsdes.intel.com/resource/14013175635","14013175635")</f>
        <v>14013175635</v>
      </c>
      <c r="B918" s="7" t="s">
        <v>2642</v>
      </c>
      <c r="C918" s="7" t="s">
        <v>212</v>
      </c>
      <c r="D918" s="7" t="s">
        <v>3612</v>
      </c>
      <c r="E918" s="7" t="s">
        <v>3617</v>
      </c>
      <c r="F918" s="8" t="s">
        <v>3628</v>
      </c>
      <c r="H918" s="7" t="s">
        <v>3620</v>
      </c>
      <c r="I918" s="7" t="s">
        <v>3645</v>
      </c>
      <c r="L918" s="7" t="s">
        <v>24</v>
      </c>
      <c r="M918" s="7" t="s">
        <v>9</v>
      </c>
      <c r="N918" s="7" t="s">
        <v>39</v>
      </c>
      <c r="O918" s="7" t="s">
        <v>137</v>
      </c>
      <c r="P918" s="7" t="s">
        <v>137</v>
      </c>
      <c r="Q918" s="7" t="s">
        <v>2643</v>
      </c>
      <c r="R918" t="s">
        <v>3632</v>
      </c>
      <c r="T918" s="22">
        <v>44819</v>
      </c>
    </row>
    <row r="919" spans="1:20" x14ac:dyDescent="0.3">
      <c r="A919" s="7" t="str">
        <f>HYPERLINK("https://hsdes.intel.com/resource/14013175664","14013175664")</f>
        <v>14013175664</v>
      </c>
      <c r="B919" s="7" t="s">
        <v>2644</v>
      </c>
      <c r="C919" s="7" t="s">
        <v>23</v>
      </c>
      <c r="D919" s="7" t="s">
        <v>3612</v>
      </c>
      <c r="E919" s="7" t="s">
        <v>3617</v>
      </c>
      <c r="F919" s="8" t="s">
        <v>3628</v>
      </c>
      <c r="H919" s="7" t="s">
        <v>3620</v>
      </c>
      <c r="I919" s="7" t="s">
        <v>3640</v>
      </c>
      <c r="L919" s="7" t="s">
        <v>24</v>
      </c>
      <c r="M919" s="7" t="s">
        <v>94</v>
      </c>
      <c r="N919" s="7" t="s">
        <v>39</v>
      </c>
      <c r="O919" s="7" t="s">
        <v>45</v>
      </c>
      <c r="P919" s="7" t="s">
        <v>45</v>
      </c>
      <c r="Q919" s="7" t="s">
        <v>2645</v>
      </c>
      <c r="R919" t="s">
        <v>3632</v>
      </c>
    </row>
    <row r="920" spans="1:20" x14ac:dyDescent="0.3">
      <c r="A920" s="7" t="str">
        <f>HYPERLINK("https://hsdes.intel.com/resource/14013175666","14013175666")</f>
        <v>14013175666</v>
      </c>
      <c r="B920" s="7" t="s">
        <v>2646</v>
      </c>
      <c r="C920" s="7" t="s">
        <v>121</v>
      </c>
      <c r="D920" s="7" t="s">
        <v>3613</v>
      </c>
      <c r="E920" s="7" t="s">
        <v>3617</v>
      </c>
      <c r="F920" s="8" t="s">
        <v>3628</v>
      </c>
      <c r="H920" s="7" t="s">
        <v>3619</v>
      </c>
      <c r="I920" s="7" t="s">
        <v>3622</v>
      </c>
      <c r="L920" s="7" t="s">
        <v>142</v>
      </c>
      <c r="M920" s="7" t="s">
        <v>9</v>
      </c>
      <c r="N920" s="7" t="s">
        <v>56</v>
      </c>
      <c r="O920" s="7" t="s">
        <v>48</v>
      </c>
      <c r="P920" s="7" t="s">
        <v>48</v>
      </c>
      <c r="Q920" s="7" t="s">
        <v>2647</v>
      </c>
      <c r="R920" t="s">
        <v>3632</v>
      </c>
    </row>
    <row r="921" spans="1:20" x14ac:dyDescent="0.3">
      <c r="A921" s="7" t="str">
        <f>HYPERLINK("https://hsdes.intel.com/resource/14013175673","14013175673")</f>
        <v>14013175673</v>
      </c>
      <c r="B921" s="7" t="s">
        <v>2648</v>
      </c>
      <c r="C921" s="7" t="s">
        <v>63</v>
      </c>
      <c r="D921" s="7" t="s">
        <v>3612</v>
      </c>
      <c r="E921" s="7" t="s">
        <v>3617</v>
      </c>
      <c r="F921" s="8" t="s">
        <v>3628</v>
      </c>
      <c r="H921" s="7" t="s">
        <v>3619</v>
      </c>
      <c r="I921" s="7" t="s">
        <v>3622</v>
      </c>
      <c r="L921" s="7" t="s">
        <v>64</v>
      </c>
      <c r="M921" s="7" t="s">
        <v>9</v>
      </c>
      <c r="N921" s="7" t="s">
        <v>56</v>
      </c>
      <c r="O921" s="7" t="s">
        <v>2649</v>
      </c>
      <c r="P921" s="7" t="s">
        <v>207</v>
      </c>
      <c r="Q921" s="7" t="s">
        <v>2650</v>
      </c>
      <c r="R921" t="s">
        <v>3632</v>
      </c>
    </row>
    <row r="922" spans="1:20" x14ac:dyDescent="0.3">
      <c r="A922" s="7" t="str">
        <f>HYPERLINK("https://hsdes.intel.com/resource/14013175709","14013175709")</f>
        <v>14013175709</v>
      </c>
      <c r="B922" s="7" t="s">
        <v>2651</v>
      </c>
      <c r="C922" s="7" t="s">
        <v>877</v>
      </c>
      <c r="D922" s="7" t="s">
        <v>3612</v>
      </c>
      <c r="E922" s="7" t="s">
        <v>3617</v>
      </c>
      <c r="F922" s="8" t="s">
        <v>3628</v>
      </c>
      <c r="H922" s="7" t="s">
        <v>3619</v>
      </c>
      <c r="I922" s="7" t="s">
        <v>3644</v>
      </c>
      <c r="L922" s="7" t="s">
        <v>142</v>
      </c>
      <c r="M922" s="7" t="s">
        <v>9</v>
      </c>
      <c r="N922" s="7" t="s">
        <v>56</v>
      </c>
      <c r="O922" s="7" t="s">
        <v>867</v>
      </c>
      <c r="P922" s="7" t="s">
        <v>682</v>
      </c>
      <c r="Q922" s="7" t="s">
        <v>2652</v>
      </c>
      <c r="R922" t="s">
        <v>3632</v>
      </c>
    </row>
    <row r="923" spans="1:20" x14ac:dyDescent="0.3">
      <c r="A923" s="7" t="str">
        <f>HYPERLINK("https://hsdes.intel.com/resource/14013175715","14013175715")</f>
        <v>14013175715</v>
      </c>
      <c r="B923" s="7" t="s">
        <v>2653</v>
      </c>
      <c r="C923" s="7" t="s">
        <v>121</v>
      </c>
      <c r="D923" s="7" t="s">
        <v>3613</v>
      </c>
      <c r="E923" s="7" t="s">
        <v>3617</v>
      </c>
      <c r="F923" s="8" t="s">
        <v>3628</v>
      </c>
      <c r="H923" s="7" t="s">
        <v>3619</v>
      </c>
      <c r="I923" s="7" t="s">
        <v>3622</v>
      </c>
      <c r="L923" s="7" t="s">
        <v>30</v>
      </c>
      <c r="M923" s="7" t="s">
        <v>9</v>
      </c>
      <c r="N923" s="7" t="s">
        <v>122</v>
      </c>
      <c r="O923" s="7" t="s">
        <v>2654</v>
      </c>
      <c r="P923" s="7" t="s">
        <v>2654</v>
      </c>
      <c r="Q923" s="7" t="s">
        <v>2655</v>
      </c>
      <c r="R923" t="s">
        <v>3632</v>
      </c>
    </row>
    <row r="924" spans="1:20" x14ac:dyDescent="0.3">
      <c r="A924" s="7" t="str">
        <f>HYPERLINK("https://hsdes.intel.com/resource/14013175718","14013175718")</f>
        <v>14013175718</v>
      </c>
      <c r="B924" s="7" t="s">
        <v>2656</v>
      </c>
      <c r="C924" s="7" t="s">
        <v>121</v>
      </c>
      <c r="D924" s="7" t="s">
        <v>3613</v>
      </c>
      <c r="E924" s="7" t="s">
        <v>3617</v>
      </c>
      <c r="F924" s="8" t="s">
        <v>3628</v>
      </c>
      <c r="H924" s="7" t="s">
        <v>3619</v>
      </c>
      <c r="I924" s="7" t="s">
        <v>3622</v>
      </c>
      <c r="L924" s="7" t="s">
        <v>30</v>
      </c>
      <c r="M924" s="7" t="s">
        <v>9</v>
      </c>
      <c r="N924" s="7" t="s">
        <v>122</v>
      </c>
      <c r="O924" s="7" t="s">
        <v>2657</v>
      </c>
      <c r="P924" s="7" t="s">
        <v>45</v>
      </c>
      <c r="Q924" s="7" t="s">
        <v>2658</v>
      </c>
      <c r="R924" t="s">
        <v>3632</v>
      </c>
    </row>
    <row r="925" spans="1:20" x14ac:dyDescent="0.3">
      <c r="A925" s="7" t="str">
        <f>HYPERLINK("https://hsdes.intel.com/resource/14013175721","14013175721")</f>
        <v>14013175721</v>
      </c>
      <c r="B925" s="7" t="s">
        <v>2659</v>
      </c>
      <c r="C925" s="7" t="s">
        <v>845</v>
      </c>
      <c r="D925" s="7" t="s">
        <v>3613</v>
      </c>
      <c r="E925" s="7" t="s">
        <v>3617</v>
      </c>
      <c r="F925" s="8" t="s">
        <v>3628</v>
      </c>
      <c r="H925" s="7" t="s">
        <v>3619</v>
      </c>
      <c r="I925" s="7" t="s">
        <v>3622</v>
      </c>
      <c r="L925" s="7" t="s">
        <v>142</v>
      </c>
      <c r="M925" s="7" t="s">
        <v>9</v>
      </c>
      <c r="N925" s="7" t="s">
        <v>56</v>
      </c>
      <c r="O925" s="7" t="s">
        <v>991</v>
      </c>
      <c r="P925" s="7" t="s">
        <v>991</v>
      </c>
      <c r="Q925" s="7" t="s">
        <v>2660</v>
      </c>
      <c r="R925" t="s">
        <v>3632</v>
      </c>
    </row>
    <row r="926" spans="1:20" x14ac:dyDescent="0.3">
      <c r="A926" s="7" t="str">
        <f>HYPERLINK("https://hsdes.intel.com/resource/14013175734","14013175734")</f>
        <v>14013175734</v>
      </c>
      <c r="B926" s="7" t="s">
        <v>2661</v>
      </c>
      <c r="C926" s="7" t="s">
        <v>2662</v>
      </c>
      <c r="D926" s="7" t="s">
        <v>3613</v>
      </c>
      <c r="E926" s="7" t="s">
        <v>3617</v>
      </c>
      <c r="F926" s="8" t="s">
        <v>3628</v>
      </c>
      <c r="H926" s="7" t="s">
        <v>3619</v>
      </c>
      <c r="I926" s="7" t="s">
        <v>3641</v>
      </c>
      <c r="L926" s="7" t="s">
        <v>30</v>
      </c>
      <c r="M926" s="7" t="s">
        <v>9</v>
      </c>
      <c r="N926" s="7" t="s">
        <v>122</v>
      </c>
      <c r="O926" s="7" t="s">
        <v>2663</v>
      </c>
      <c r="P926" s="7" t="s">
        <v>2664</v>
      </c>
      <c r="Q926" s="7" t="s">
        <v>2665</v>
      </c>
      <c r="R926" t="s">
        <v>3632</v>
      </c>
    </row>
    <row r="927" spans="1:20" x14ac:dyDescent="0.3">
      <c r="A927" s="7" t="str">
        <f>HYPERLINK("https://hsdes.intel.com/resource/14013175746","14013175746")</f>
        <v>14013175746</v>
      </c>
      <c r="B927" s="7" t="s">
        <v>2666</v>
      </c>
      <c r="C927" s="7" t="s">
        <v>112</v>
      </c>
      <c r="D927" s="7" t="s">
        <v>3613</v>
      </c>
      <c r="E927" s="7" t="s">
        <v>3617</v>
      </c>
      <c r="F927" s="8" t="s">
        <v>3628</v>
      </c>
      <c r="H927" s="7" t="s">
        <v>3619</v>
      </c>
      <c r="I927" s="7" t="s">
        <v>3622</v>
      </c>
      <c r="L927" s="7" t="s">
        <v>30</v>
      </c>
      <c r="M927" s="7" t="s">
        <v>94</v>
      </c>
      <c r="N927" s="7" t="s">
        <v>56</v>
      </c>
      <c r="O927" s="7" t="s">
        <v>2667</v>
      </c>
      <c r="P927" s="7" t="s">
        <v>300</v>
      </c>
      <c r="Q927" s="7" t="s">
        <v>2668</v>
      </c>
      <c r="R927" t="s">
        <v>3631</v>
      </c>
    </row>
    <row r="928" spans="1:20" x14ac:dyDescent="0.3">
      <c r="A928" s="7" t="str">
        <f>HYPERLINK("https://hsdes.intel.com/resource/14013175756","14013175756")</f>
        <v>14013175756</v>
      </c>
      <c r="B928" s="7" t="s">
        <v>2669</v>
      </c>
      <c r="C928" s="7" t="s">
        <v>341</v>
      </c>
      <c r="D928" s="7" t="s">
        <v>3612</v>
      </c>
      <c r="E928" s="7" t="s">
        <v>3617</v>
      </c>
      <c r="F928" s="8" t="s">
        <v>3628</v>
      </c>
      <c r="H928" s="7" t="s">
        <v>3619</v>
      </c>
      <c r="I928" s="7" t="s">
        <v>3622</v>
      </c>
      <c r="L928" s="7" t="s">
        <v>64</v>
      </c>
      <c r="M928" s="7" t="s">
        <v>9</v>
      </c>
      <c r="N928" s="7" t="s">
        <v>56</v>
      </c>
      <c r="O928" s="7" t="s">
        <v>2670</v>
      </c>
      <c r="P928" s="7" t="s">
        <v>2671</v>
      </c>
      <c r="Q928" s="7" t="s">
        <v>2672</v>
      </c>
      <c r="R928" t="s">
        <v>3633</v>
      </c>
    </row>
    <row r="929" spans="1:19" x14ac:dyDescent="0.3">
      <c r="A929" s="7" t="str">
        <f>HYPERLINK("https://hsdes.intel.com/resource/14013175764","14013175764")</f>
        <v>14013175764</v>
      </c>
      <c r="B929" s="7" t="s">
        <v>2673</v>
      </c>
      <c r="C929" s="7" t="s">
        <v>99</v>
      </c>
      <c r="D929" s="7" t="s">
        <v>3612</v>
      </c>
      <c r="E929" s="7" t="s">
        <v>3617</v>
      </c>
      <c r="F929" s="8" t="s">
        <v>3628</v>
      </c>
      <c r="H929" s="7" t="s">
        <v>3620</v>
      </c>
      <c r="I929" s="7" t="s">
        <v>3634</v>
      </c>
      <c r="J929" s="7" t="s">
        <v>3635</v>
      </c>
      <c r="L929" s="7" t="s">
        <v>100</v>
      </c>
      <c r="M929" s="7" t="s">
        <v>9</v>
      </c>
      <c r="N929" s="7" t="s">
        <v>56</v>
      </c>
      <c r="O929" s="7" t="s">
        <v>2674</v>
      </c>
      <c r="P929" s="7" t="s">
        <v>16</v>
      </c>
      <c r="Q929" s="7" t="s">
        <v>2675</v>
      </c>
      <c r="R929" t="s">
        <v>3633</v>
      </c>
      <c r="S929" s="22"/>
    </row>
    <row r="930" spans="1:19" x14ac:dyDescent="0.3">
      <c r="A930" s="7" t="str">
        <f>HYPERLINK("https://hsdes.intel.com/resource/14013175768","14013175768")</f>
        <v>14013175768</v>
      </c>
      <c r="B930" s="7" t="s">
        <v>2676</v>
      </c>
      <c r="C930" s="7" t="s">
        <v>7</v>
      </c>
      <c r="D930" s="7" t="s">
        <v>3612</v>
      </c>
      <c r="E930" s="7" t="s">
        <v>3617</v>
      </c>
      <c r="F930" s="8" t="s">
        <v>3628</v>
      </c>
      <c r="H930" s="7" t="s">
        <v>3620</v>
      </c>
      <c r="I930" s="7" t="s">
        <v>3624</v>
      </c>
      <c r="L930" s="7" t="s">
        <v>8</v>
      </c>
      <c r="M930" s="7" t="s">
        <v>9</v>
      </c>
      <c r="N930" s="7" t="s">
        <v>10</v>
      </c>
      <c r="O930" s="7" t="s">
        <v>2677</v>
      </c>
      <c r="P930" s="7" t="s">
        <v>2677</v>
      </c>
      <c r="Q930" s="7" t="s">
        <v>2678</v>
      </c>
      <c r="R930" t="s">
        <v>3631</v>
      </c>
    </row>
    <row r="931" spans="1:19" x14ac:dyDescent="0.3">
      <c r="A931" s="7" t="str">
        <f>HYPERLINK("https://hsdes.intel.com/resource/14013175770","14013175770")</f>
        <v>14013175770</v>
      </c>
      <c r="B931" s="7" t="s">
        <v>2679</v>
      </c>
      <c r="C931" s="7" t="s">
        <v>7</v>
      </c>
      <c r="D931" s="7" t="s">
        <v>3612</v>
      </c>
      <c r="E931" s="7" t="s">
        <v>3617</v>
      </c>
      <c r="F931" s="8" t="s">
        <v>3628</v>
      </c>
      <c r="H931" s="7" t="s">
        <v>3620</v>
      </c>
      <c r="I931" s="7" t="s">
        <v>3640</v>
      </c>
      <c r="L931" s="7" t="s">
        <v>8</v>
      </c>
      <c r="M931" s="7" t="s">
        <v>9</v>
      </c>
      <c r="N931" s="7" t="s">
        <v>10</v>
      </c>
      <c r="O931" s="7" t="s">
        <v>928</v>
      </c>
      <c r="P931" s="7" t="s">
        <v>2680</v>
      </c>
      <c r="Q931" s="7" t="s">
        <v>2681</v>
      </c>
      <c r="R931" t="s">
        <v>3633</v>
      </c>
    </row>
    <row r="932" spans="1:19" x14ac:dyDescent="0.3">
      <c r="A932" s="7" t="str">
        <f>HYPERLINK("https://hsdes.intel.com/resource/14013175775","14013175775")</f>
        <v>14013175775</v>
      </c>
      <c r="B932" s="7" t="s">
        <v>2682</v>
      </c>
      <c r="C932" s="7" t="s">
        <v>7</v>
      </c>
      <c r="D932" s="7" t="s">
        <v>3612</v>
      </c>
      <c r="E932" s="7" t="s">
        <v>3617</v>
      </c>
      <c r="F932" s="8" t="s">
        <v>3628</v>
      </c>
      <c r="H932" s="7" t="s">
        <v>3620</v>
      </c>
      <c r="I932" s="7" t="s">
        <v>3624</v>
      </c>
      <c r="L932" s="7" t="s">
        <v>8</v>
      </c>
      <c r="M932" s="7" t="s">
        <v>9</v>
      </c>
      <c r="N932" s="7" t="s">
        <v>10</v>
      </c>
      <c r="O932" s="7" t="s">
        <v>2677</v>
      </c>
      <c r="P932" s="7" t="s">
        <v>1100</v>
      </c>
      <c r="Q932" s="7" t="s">
        <v>2683</v>
      </c>
      <c r="R932" t="s">
        <v>3632</v>
      </c>
    </row>
    <row r="933" spans="1:19" x14ac:dyDescent="0.3">
      <c r="A933" s="7" t="str">
        <f>HYPERLINK("https://hsdes.intel.com/resource/14013175782","14013175782")</f>
        <v>14013175782</v>
      </c>
      <c r="B933" s="7" t="s">
        <v>2684</v>
      </c>
      <c r="C933" s="7" t="s">
        <v>845</v>
      </c>
      <c r="D933" s="7" t="s">
        <v>3613</v>
      </c>
      <c r="E933" s="7" t="s">
        <v>3617</v>
      </c>
      <c r="F933" s="8" t="s">
        <v>3628</v>
      </c>
      <c r="H933" s="7" t="s">
        <v>3619</v>
      </c>
      <c r="I933" s="7" t="s">
        <v>3622</v>
      </c>
      <c r="L933" s="7" t="s">
        <v>30</v>
      </c>
      <c r="M933" s="7" t="s">
        <v>9</v>
      </c>
      <c r="N933" s="7" t="s">
        <v>122</v>
      </c>
      <c r="O933" s="7" t="s">
        <v>2685</v>
      </c>
      <c r="P933" s="7" t="s">
        <v>2686</v>
      </c>
      <c r="Q933" s="7" t="s">
        <v>2687</v>
      </c>
      <c r="R933" t="s">
        <v>3632</v>
      </c>
    </row>
    <row r="934" spans="1:19" x14ac:dyDescent="0.3">
      <c r="A934" s="7" t="str">
        <f>HYPERLINK("https://hsdes.intel.com/resource/14013175832","14013175832")</f>
        <v>14013175832</v>
      </c>
      <c r="B934" s="7" t="s">
        <v>2688</v>
      </c>
      <c r="C934" s="7" t="s">
        <v>161</v>
      </c>
      <c r="D934" s="7" t="s">
        <v>3612</v>
      </c>
      <c r="E934" s="7" t="s">
        <v>3617</v>
      </c>
      <c r="F934" s="8" t="s">
        <v>3628</v>
      </c>
      <c r="H934" s="7" t="s">
        <v>3618</v>
      </c>
      <c r="J934" s="7" t="s">
        <v>3537</v>
      </c>
      <c r="L934" s="7" t="s">
        <v>100</v>
      </c>
      <c r="M934" s="7" t="s">
        <v>94</v>
      </c>
      <c r="N934" s="7" t="s">
        <v>39</v>
      </c>
      <c r="O934" s="7" t="s">
        <v>227</v>
      </c>
      <c r="P934" s="7" t="s">
        <v>227</v>
      </c>
      <c r="Q934" s="7" t="s">
        <v>2689</v>
      </c>
      <c r="R934" t="s">
        <v>3632</v>
      </c>
    </row>
    <row r="935" spans="1:19" x14ac:dyDescent="0.3">
      <c r="A935" s="7" t="str">
        <f>HYPERLINK("https://hsdes.intel.com/resource/14013175838","14013175838")</f>
        <v>14013175838</v>
      </c>
      <c r="B935" s="7" t="s">
        <v>2690</v>
      </c>
      <c r="C935" s="7" t="s">
        <v>845</v>
      </c>
      <c r="D935" s="7" t="s">
        <v>3612</v>
      </c>
      <c r="E935" s="7" t="s">
        <v>3617</v>
      </c>
      <c r="F935" s="8" t="s">
        <v>3628</v>
      </c>
      <c r="H935" s="7" t="s">
        <v>3619</v>
      </c>
      <c r="I935" s="7" t="s">
        <v>3622</v>
      </c>
      <c r="L935" s="7" t="s">
        <v>142</v>
      </c>
      <c r="M935" s="7" t="s">
        <v>9</v>
      </c>
      <c r="N935" s="7" t="s">
        <v>56</v>
      </c>
      <c r="O935" s="7" t="s">
        <v>2691</v>
      </c>
      <c r="P935" s="7" t="s">
        <v>2692</v>
      </c>
      <c r="Q935" s="7" t="s">
        <v>2693</v>
      </c>
      <c r="R935" t="s">
        <v>3632</v>
      </c>
    </row>
    <row r="936" spans="1:19" x14ac:dyDescent="0.3">
      <c r="A936" s="7" t="str">
        <f>HYPERLINK("https://hsdes.intel.com/resource/14013175842","14013175842")</f>
        <v>14013175842</v>
      </c>
      <c r="B936" s="7" t="s">
        <v>2694</v>
      </c>
      <c r="C936" s="7" t="s">
        <v>175</v>
      </c>
      <c r="D936" s="7" t="s">
        <v>3612</v>
      </c>
      <c r="E936" s="7" t="s">
        <v>3617</v>
      </c>
      <c r="F936" s="8" t="s">
        <v>3628</v>
      </c>
      <c r="H936" s="7" t="s">
        <v>3618</v>
      </c>
      <c r="J936" s="7" t="s">
        <v>3569</v>
      </c>
      <c r="L936" s="7" t="s">
        <v>38</v>
      </c>
      <c r="M936" s="7" t="s">
        <v>94</v>
      </c>
      <c r="N936" s="7" t="s">
        <v>122</v>
      </c>
      <c r="O936" s="7" t="s">
        <v>2695</v>
      </c>
      <c r="P936" s="7" t="s">
        <v>2696</v>
      </c>
      <c r="Q936" s="7" t="s">
        <v>2697</v>
      </c>
      <c r="R936" t="s">
        <v>3633</v>
      </c>
    </row>
    <row r="937" spans="1:19" x14ac:dyDescent="0.3">
      <c r="A937" s="7" t="str">
        <f>HYPERLINK("https://hsdes.intel.com/resource/14013175866","14013175866")</f>
        <v>14013175866</v>
      </c>
      <c r="B937" s="7" t="s">
        <v>2698</v>
      </c>
      <c r="C937" s="7" t="s">
        <v>7</v>
      </c>
      <c r="D937" s="7" t="s">
        <v>3613</v>
      </c>
      <c r="E937" s="7" t="s">
        <v>3617</v>
      </c>
      <c r="F937" s="8" t="s">
        <v>3628</v>
      </c>
      <c r="H937" s="7" t="s">
        <v>3620</v>
      </c>
      <c r="I937" s="7" t="s">
        <v>3624</v>
      </c>
      <c r="L937" s="7" t="s">
        <v>8</v>
      </c>
      <c r="M937" s="7" t="s">
        <v>9</v>
      </c>
      <c r="N937" s="7" t="s">
        <v>10</v>
      </c>
      <c r="O937" s="7" t="s">
        <v>2699</v>
      </c>
      <c r="P937" s="7" t="s">
        <v>319</v>
      </c>
      <c r="Q937" s="7" t="s">
        <v>2700</v>
      </c>
      <c r="R937" t="s">
        <v>3631</v>
      </c>
    </row>
    <row r="938" spans="1:19" x14ac:dyDescent="0.3">
      <c r="A938" s="7" t="str">
        <f>HYPERLINK("https://hsdes.intel.com/resource/14013175871","14013175871")</f>
        <v>14013175871</v>
      </c>
      <c r="B938" s="7" t="s">
        <v>2701</v>
      </c>
      <c r="C938" s="7" t="s">
        <v>63</v>
      </c>
      <c r="D938" s="7" t="s">
        <v>3612</v>
      </c>
      <c r="E938" s="7" t="s">
        <v>3617</v>
      </c>
      <c r="F938" s="8" t="s">
        <v>3628</v>
      </c>
      <c r="H938" s="7" t="s">
        <v>3619</v>
      </c>
      <c r="I938" s="7" t="s">
        <v>3622</v>
      </c>
      <c r="L938" s="7" t="s">
        <v>64</v>
      </c>
      <c r="M938" s="7" t="s">
        <v>9</v>
      </c>
      <c r="N938" s="7" t="s">
        <v>1063</v>
      </c>
      <c r="O938" s="7" t="s">
        <v>108</v>
      </c>
      <c r="P938" s="7" t="s">
        <v>109</v>
      </c>
      <c r="Q938" s="7" t="s">
        <v>2702</v>
      </c>
      <c r="R938" t="s">
        <v>3631</v>
      </c>
    </row>
    <row r="939" spans="1:19" x14ac:dyDescent="0.3">
      <c r="A939" s="7" t="str">
        <f>HYPERLINK("https://hsdes.intel.com/resource/14013175888","14013175888")</f>
        <v>14013175888</v>
      </c>
      <c r="B939" s="7" t="s">
        <v>2703</v>
      </c>
      <c r="C939" s="7" t="s">
        <v>129</v>
      </c>
      <c r="D939" s="7" t="s">
        <v>3613</v>
      </c>
      <c r="E939" s="7" t="s">
        <v>3617</v>
      </c>
      <c r="F939" s="8" t="s">
        <v>3628</v>
      </c>
      <c r="H939" s="7" t="s">
        <v>3618</v>
      </c>
      <c r="J939" s="7" t="s">
        <v>3570</v>
      </c>
      <c r="L939" s="7" t="s">
        <v>30</v>
      </c>
      <c r="M939" s="7" t="s">
        <v>9</v>
      </c>
      <c r="N939" s="7" t="s">
        <v>122</v>
      </c>
      <c r="O939" s="7" t="s">
        <v>2704</v>
      </c>
      <c r="P939" s="7" t="s">
        <v>2705</v>
      </c>
      <c r="Q939" s="7" t="s">
        <v>2706</v>
      </c>
      <c r="R939" t="s">
        <v>3631</v>
      </c>
    </row>
    <row r="940" spans="1:19" x14ac:dyDescent="0.3">
      <c r="A940" s="7" t="str">
        <f>HYPERLINK("https://hsdes.intel.com/resource/14013175911","14013175911")</f>
        <v>14013175911</v>
      </c>
      <c r="B940" s="7" t="s">
        <v>2707</v>
      </c>
      <c r="C940" s="7" t="s">
        <v>341</v>
      </c>
      <c r="D940" s="7" t="s">
        <v>3612</v>
      </c>
      <c r="E940" s="7" t="s">
        <v>3617</v>
      </c>
      <c r="F940" s="8" t="s">
        <v>3628</v>
      </c>
      <c r="H940" s="7" t="s">
        <v>3619</v>
      </c>
      <c r="I940" s="7" t="s">
        <v>3622</v>
      </c>
      <c r="L940" s="7" t="s">
        <v>64</v>
      </c>
      <c r="M940" s="7" t="s">
        <v>94</v>
      </c>
      <c r="N940" s="7" t="s">
        <v>56</v>
      </c>
      <c r="O940" s="7" t="s">
        <v>2708</v>
      </c>
      <c r="P940" s="7" t="s">
        <v>2709</v>
      </c>
      <c r="Q940" s="7" t="s">
        <v>2710</v>
      </c>
      <c r="R940" t="s">
        <v>3632</v>
      </c>
    </row>
    <row r="941" spans="1:19" x14ac:dyDescent="0.3">
      <c r="A941" s="7" t="str">
        <f>HYPERLINK("https://hsdes.intel.com/resource/14013175921","14013175921")</f>
        <v>14013175921</v>
      </c>
      <c r="B941" s="7" t="s">
        <v>2711</v>
      </c>
      <c r="C941" s="7" t="s">
        <v>161</v>
      </c>
      <c r="D941" s="7" t="s">
        <v>3612</v>
      </c>
      <c r="E941" s="7" t="s">
        <v>3617</v>
      </c>
      <c r="F941" s="8" t="s">
        <v>3628</v>
      </c>
      <c r="H941" s="7" t="s">
        <v>3618</v>
      </c>
      <c r="J941" s="6" t="s">
        <v>3528</v>
      </c>
      <c r="L941" s="7" t="s">
        <v>38</v>
      </c>
      <c r="M941" s="7" t="s">
        <v>94</v>
      </c>
      <c r="N941" s="7" t="s">
        <v>56</v>
      </c>
      <c r="O941" s="7" t="s">
        <v>2712</v>
      </c>
      <c r="P941" s="7" t="s">
        <v>2713</v>
      </c>
      <c r="Q941" s="7" t="s">
        <v>2714</v>
      </c>
      <c r="R941" t="s">
        <v>3632</v>
      </c>
    </row>
    <row r="942" spans="1:19" x14ac:dyDescent="0.3">
      <c r="A942" s="7" t="str">
        <f>HYPERLINK("https://hsdes.intel.com/resource/14013175930","14013175930")</f>
        <v>14013175930</v>
      </c>
      <c r="B942" s="7" t="s">
        <v>2715</v>
      </c>
      <c r="C942" s="7" t="s">
        <v>1666</v>
      </c>
      <c r="D942" s="7" t="s">
        <v>3612</v>
      </c>
      <c r="E942" s="7" t="s">
        <v>3617</v>
      </c>
      <c r="F942" s="8" t="s">
        <v>3628</v>
      </c>
      <c r="H942" s="7" t="s">
        <v>3619</v>
      </c>
      <c r="I942" s="7" t="s">
        <v>3622</v>
      </c>
      <c r="L942" s="7" t="s">
        <v>30</v>
      </c>
      <c r="M942" s="7" t="s">
        <v>2213</v>
      </c>
      <c r="N942" s="7" t="s">
        <v>56</v>
      </c>
      <c r="O942" s="7" t="s">
        <v>2716</v>
      </c>
      <c r="P942" s="7" t="s">
        <v>2717</v>
      </c>
      <c r="Q942" s="7" t="s">
        <v>2718</v>
      </c>
      <c r="R942" t="s">
        <v>3633</v>
      </c>
    </row>
    <row r="943" spans="1:19" x14ac:dyDescent="0.3">
      <c r="A943" s="7" t="str">
        <f>HYPERLINK("https://hsdes.intel.com/resource/14013175942","14013175942")</f>
        <v>14013175942</v>
      </c>
      <c r="B943" s="7" t="s">
        <v>2719</v>
      </c>
      <c r="C943" s="7" t="s">
        <v>121</v>
      </c>
      <c r="D943" s="7" t="s">
        <v>3613</v>
      </c>
      <c r="E943" s="7" t="s">
        <v>3617</v>
      </c>
      <c r="F943" s="8" t="s">
        <v>3628</v>
      </c>
      <c r="H943" s="7" t="s">
        <v>3619</v>
      </c>
      <c r="I943" s="7" t="s">
        <v>3644</v>
      </c>
      <c r="L943" s="7" t="s">
        <v>30</v>
      </c>
      <c r="M943" s="7" t="s">
        <v>9</v>
      </c>
      <c r="N943" s="7" t="s">
        <v>56</v>
      </c>
      <c r="O943" s="7" t="s">
        <v>2720</v>
      </c>
      <c r="P943" s="7" t="s">
        <v>48</v>
      </c>
      <c r="Q943" s="7" t="s">
        <v>2721</v>
      </c>
      <c r="R943" t="s">
        <v>3632</v>
      </c>
    </row>
    <row r="944" spans="1:19" x14ac:dyDescent="0.3">
      <c r="A944" s="7" t="str">
        <f>HYPERLINK("https://hsdes.intel.com/resource/14013175946","14013175946")</f>
        <v>14013175946</v>
      </c>
      <c r="B944" s="7" t="s">
        <v>2722</v>
      </c>
      <c r="C944" s="7" t="s">
        <v>341</v>
      </c>
      <c r="D944" s="7" t="s">
        <v>3612</v>
      </c>
      <c r="E944" s="7" t="s">
        <v>3617</v>
      </c>
      <c r="F944" s="8" t="s">
        <v>3628</v>
      </c>
      <c r="H944" s="7" t="s">
        <v>3619</v>
      </c>
      <c r="I944" s="7" t="s">
        <v>3622</v>
      </c>
      <c r="L944" s="7" t="s">
        <v>64</v>
      </c>
      <c r="M944" s="7" t="s">
        <v>9</v>
      </c>
      <c r="N944" s="7" t="s">
        <v>56</v>
      </c>
      <c r="O944" s="7" t="s">
        <v>2723</v>
      </c>
      <c r="P944" s="7" t="s">
        <v>300</v>
      </c>
      <c r="Q944" s="7" t="s">
        <v>2724</v>
      </c>
      <c r="R944" t="s">
        <v>3631</v>
      </c>
    </row>
    <row r="945" spans="1:20" x14ac:dyDescent="0.3">
      <c r="A945" s="7" t="str">
        <f>HYPERLINK("https://hsdes.intel.com/resource/14013175948","14013175948")</f>
        <v>14013175948</v>
      </c>
      <c r="B945" s="7" t="s">
        <v>2725</v>
      </c>
      <c r="C945" s="7" t="s">
        <v>99</v>
      </c>
      <c r="D945" s="7" t="s">
        <v>3612</v>
      </c>
      <c r="E945" s="7" t="s">
        <v>3617</v>
      </c>
      <c r="F945" s="8" t="s">
        <v>3628</v>
      </c>
      <c r="H945" s="7" t="s">
        <v>3620</v>
      </c>
      <c r="I945" s="7" t="s">
        <v>3654</v>
      </c>
      <c r="J945" s="7" t="s">
        <v>3526</v>
      </c>
      <c r="L945" s="7" t="s">
        <v>100</v>
      </c>
      <c r="M945" s="7" t="s">
        <v>94</v>
      </c>
      <c r="N945" s="7" t="s">
        <v>2726</v>
      </c>
      <c r="O945" s="7" t="s">
        <v>2727</v>
      </c>
      <c r="P945" s="7" t="s">
        <v>16</v>
      </c>
      <c r="Q945" s="7" t="s">
        <v>2728</v>
      </c>
      <c r="R945" t="s">
        <v>3632</v>
      </c>
    </row>
    <row r="946" spans="1:20" x14ac:dyDescent="0.3">
      <c r="A946" s="7" t="str">
        <f>HYPERLINK("https://hsdes.intel.com/resource/14013175953","14013175953")</f>
        <v>14013175953</v>
      </c>
      <c r="B946" s="7" t="s">
        <v>2729</v>
      </c>
      <c r="C946" s="7" t="s">
        <v>99</v>
      </c>
      <c r="D946" s="7" t="s">
        <v>3612</v>
      </c>
      <c r="E946" s="7" t="s">
        <v>3617</v>
      </c>
      <c r="F946" s="8" t="s">
        <v>3628</v>
      </c>
      <c r="H946" s="7" t="s">
        <v>3620</v>
      </c>
      <c r="I946" s="7" t="s">
        <v>3634</v>
      </c>
      <c r="L946" s="7" t="s">
        <v>100</v>
      </c>
      <c r="M946" s="7" t="s">
        <v>94</v>
      </c>
      <c r="N946" s="7" t="s">
        <v>56</v>
      </c>
      <c r="O946" s="7" t="s">
        <v>16</v>
      </c>
      <c r="P946" s="7" t="s">
        <v>16</v>
      </c>
      <c r="Q946" s="7" t="s">
        <v>2730</v>
      </c>
      <c r="R946" t="s">
        <v>3632</v>
      </c>
      <c r="S946" s="22" t="s">
        <v>3636</v>
      </c>
    </row>
    <row r="947" spans="1:20" x14ac:dyDescent="0.3">
      <c r="A947" s="7" t="str">
        <f>HYPERLINK("https://hsdes.intel.com/resource/14013175956","14013175956")</f>
        <v>14013175956</v>
      </c>
      <c r="B947" s="7" t="s">
        <v>2731</v>
      </c>
      <c r="C947" s="7" t="s">
        <v>341</v>
      </c>
      <c r="D947" s="7" t="s">
        <v>3612</v>
      </c>
      <c r="E947" s="7" t="s">
        <v>3617</v>
      </c>
      <c r="F947" s="8" t="s">
        <v>3628</v>
      </c>
      <c r="H947" s="7" t="s">
        <v>3618</v>
      </c>
      <c r="J947" s="6" t="s">
        <v>3578</v>
      </c>
      <c r="L947" s="7" t="s">
        <v>64</v>
      </c>
      <c r="M947" s="7" t="s">
        <v>94</v>
      </c>
      <c r="N947" s="7" t="s">
        <v>56</v>
      </c>
      <c r="O947" s="7" t="s">
        <v>2732</v>
      </c>
      <c r="P947" s="7" t="s">
        <v>2733</v>
      </c>
      <c r="Q947" s="7" t="s">
        <v>2734</v>
      </c>
      <c r="R947" t="s">
        <v>3632</v>
      </c>
    </row>
    <row r="948" spans="1:20" x14ac:dyDescent="0.3">
      <c r="A948" s="7" t="str">
        <f>HYPERLINK("https://hsdes.intel.com/resource/14013176019","14013176019")</f>
        <v>14013176019</v>
      </c>
      <c r="B948" s="7" t="s">
        <v>2735</v>
      </c>
      <c r="C948" s="7" t="s">
        <v>112</v>
      </c>
      <c r="D948" s="7" t="s">
        <v>3613</v>
      </c>
      <c r="E948" s="7" t="s">
        <v>3617</v>
      </c>
      <c r="F948" s="8" t="s">
        <v>3628</v>
      </c>
      <c r="H948" s="7" t="s">
        <v>3619</v>
      </c>
      <c r="I948" s="7" t="s">
        <v>3622</v>
      </c>
      <c r="L948" s="7" t="s">
        <v>30</v>
      </c>
      <c r="M948" s="7" t="s">
        <v>94</v>
      </c>
      <c r="N948" s="7" t="s">
        <v>122</v>
      </c>
      <c r="O948" s="7" t="s">
        <v>2736</v>
      </c>
      <c r="P948" s="7" t="s">
        <v>2737</v>
      </c>
      <c r="Q948" s="7" t="s">
        <v>2738</v>
      </c>
      <c r="R948" t="s">
        <v>3631</v>
      </c>
    </row>
    <row r="949" spans="1:20" x14ac:dyDescent="0.3">
      <c r="A949" s="7" t="str">
        <f>HYPERLINK("https://hsdes.intel.com/resource/14013176023","14013176023")</f>
        <v>14013176023</v>
      </c>
      <c r="B949" s="7" t="s">
        <v>2739</v>
      </c>
      <c r="C949" s="7" t="s">
        <v>212</v>
      </c>
      <c r="D949" s="7" t="s">
        <v>3613</v>
      </c>
      <c r="E949" s="7" t="s">
        <v>3617</v>
      </c>
      <c r="F949" s="8" t="s">
        <v>3628</v>
      </c>
      <c r="H949" s="7" t="s">
        <v>3619</v>
      </c>
      <c r="I949" s="7" t="s">
        <v>3645</v>
      </c>
      <c r="L949" s="7" t="s">
        <v>24</v>
      </c>
      <c r="M949" s="7" t="s">
        <v>9</v>
      </c>
      <c r="N949" s="7" t="s">
        <v>39</v>
      </c>
      <c r="O949" s="7" t="s">
        <v>712</v>
      </c>
      <c r="P949" s="7" t="s">
        <v>1762</v>
      </c>
      <c r="Q949" s="7" t="s">
        <v>2740</v>
      </c>
      <c r="R949" t="s">
        <v>3632</v>
      </c>
      <c r="T949" s="22">
        <v>44819</v>
      </c>
    </row>
    <row r="950" spans="1:20" x14ac:dyDescent="0.3">
      <c r="A950" s="7" t="str">
        <f>HYPERLINK("https://hsdes.intel.com/resource/14013176026","14013176026")</f>
        <v>14013176026</v>
      </c>
      <c r="B950" s="7" t="s">
        <v>2741</v>
      </c>
      <c r="C950" s="7" t="s">
        <v>341</v>
      </c>
      <c r="D950" s="7" t="s">
        <v>3612</v>
      </c>
      <c r="E950" s="7" t="s">
        <v>3617</v>
      </c>
      <c r="F950" s="8" t="s">
        <v>3628</v>
      </c>
      <c r="H950" s="7" t="s">
        <v>3619</v>
      </c>
      <c r="I950" s="7" t="s">
        <v>3622</v>
      </c>
      <c r="L950" s="7" t="s">
        <v>64</v>
      </c>
      <c r="M950" s="7" t="s">
        <v>94</v>
      </c>
      <c r="N950" s="7" t="s">
        <v>56</v>
      </c>
      <c r="O950" s="7" t="s">
        <v>2742</v>
      </c>
      <c r="P950" s="7" t="s">
        <v>2743</v>
      </c>
      <c r="Q950" s="7" t="s">
        <v>2744</v>
      </c>
      <c r="R950" t="s">
        <v>3631</v>
      </c>
    </row>
    <row r="951" spans="1:20" x14ac:dyDescent="0.3">
      <c r="A951" s="7" t="str">
        <f>HYPERLINK("https://hsdes.intel.com/resource/14013176036","14013176036")</f>
        <v>14013176036</v>
      </c>
      <c r="B951" s="7" t="s">
        <v>2745</v>
      </c>
      <c r="C951" s="7" t="s">
        <v>7</v>
      </c>
      <c r="D951" s="7" t="s">
        <v>3613</v>
      </c>
      <c r="E951" s="7" t="s">
        <v>3617</v>
      </c>
      <c r="F951" s="8" t="s">
        <v>3628</v>
      </c>
      <c r="H951" s="7" t="s">
        <v>3620</v>
      </c>
      <c r="I951" s="7" t="s">
        <v>3624</v>
      </c>
      <c r="L951" s="7" t="s">
        <v>8</v>
      </c>
      <c r="M951" s="7" t="s">
        <v>9</v>
      </c>
      <c r="N951" s="7" t="s">
        <v>10</v>
      </c>
      <c r="O951" s="7" t="s">
        <v>1292</v>
      </c>
      <c r="P951" s="7" t="s">
        <v>327</v>
      </c>
      <c r="Q951" s="7" t="s">
        <v>2746</v>
      </c>
      <c r="R951" t="s">
        <v>3631</v>
      </c>
    </row>
    <row r="952" spans="1:20" x14ac:dyDescent="0.3">
      <c r="A952" s="7" t="str">
        <f>HYPERLINK("https://hsdes.intel.com/resource/14013176039","14013176039")</f>
        <v>14013176039</v>
      </c>
      <c r="B952" s="7" t="s">
        <v>2747</v>
      </c>
      <c r="C952" s="7" t="s">
        <v>212</v>
      </c>
      <c r="D952" s="7" t="s">
        <v>3613</v>
      </c>
      <c r="E952" s="7" t="s">
        <v>3617</v>
      </c>
      <c r="F952" s="8" t="s">
        <v>3628</v>
      </c>
      <c r="H952" s="7" t="s">
        <v>3619</v>
      </c>
      <c r="I952" s="7" t="s">
        <v>3645</v>
      </c>
      <c r="L952" s="7" t="s">
        <v>30</v>
      </c>
      <c r="M952" s="7" t="s">
        <v>9</v>
      </c>
      <c r="N952" s="7" t="s">
        <v>56</v>
      </c>
      <c r="O952" s="7" t="s">
        <v>2748</v>
      </c>
      <c r="P952" s="7" t="s">
        <v>2749</v>
      </c>
      <c r="Q952" s="7" t="s">
        <v>2750</v>
      </c>
      <c r="R952" t="s">
        <v>3632</v>
      </c>
      <c r="T952" s="22">
        <v>44819</v>
      </c>
    </row>
    <row r="953" spans="1:20" x14ac:dyDescent="0.3">
      <c r="A953" s="7" t="str">
        <f>HYPERLINK("https://hsdes.intel.com/resource/14013176048","14013176048")</f>
        <v>14013176048</v>
      </c>
      <c r="B953" s="7" t="s">
        <v>2751</v>
      </c>
      <c r="C953" s="7" t="s">
        <v>121</v>
      </c>
      <c r="D953" s="7" t="s">
        <v>3613</v>
      </c>
      <c r="E953" s="7" t="s">
        <v>3617</v>
      </c>
      <c r="F953" s="8" t="s">
        <v>3628</v>
      </c>
      <c r="H953" s="7" t="s">
        <v>3619</v>
      </c>
      <c r="I953" s="7" t="s">
        <v>3622</v>
      </c>
      <c r="L953" s="7" t="s">
        <v>30</v>
      </c>
      <c r="M953" s="7" t="s">
        <v>9</v>
      </c>
      <c r="N953" s="7" t="s">
        <v>56</v>
      </c>
      <c r="O953" s="7" t="s">
        <v>2752</v>
      </c>
      <c r="P953" s="7" t="s">
        <v>361</v>
      </c>
      <c r="Q953" s="7" t="s">
        <v>2753</v>
      </c>
      <c r="R953" t="s">
        <v>3632</v>
      </c>
    </row>
    <row r="954" spans="1:20" x14ac:dyDescent="0.3">
      <c r="A954" s="7" t="str">
        <f>HYPERLINK("https://hsdes.intel.com/resource/14013176053","14013176053")</f>
        <v>14013176053</v>
      </c>
      <c r="B954" s="7" t="s">
        <v>2754</v>
      </c>
      <c r="C954" s="7" t="s">
        <v>2755</v>
      </c>
      <c r="D954" s="7" t="s">
        <v>3613</v>
      </c>
      <c r="E954" s="7" t="s">
        <v>3617</v>
      </c>
      <c r="F954" s="8" t="s">
        <v>3628</v>
      </c>
      <c r="H954" s="7" t="s">
        <v>3619</v>
      </c>
      <c r="I954" s="7" t="s">
        <v>3622</v>
      </c>
      <c r="L954" s="7" t="s">
        <v>30</v>
      </c>
      <c r="M954" s="7" t="s">
        <v>94</v>
      </c>
      <c r="N954" s="7" t="s">
        <v>122</v>
      </c>
      <c r="O954" s="7" t="s">
        <v>2756</v>
      </c>
      <c r="P954" s="7" t="s">
        <v>2757</v>
      </c>
      <c r="Q954" s="7" t="s">
        <v>2758</v>
      </c>
      <c r="R954" t="s">
        <v>3632</v>
      </c>
    </row>
    <row r="955" spans="1:20" x14ac:dyDescent="0.3">
      <c r="A955" s="7" t="str">
        <f>HYPERLINK("https://hsdes.intel.com/resource/14013176063","14013176063")</f>
        <v>14013176063</v>
      </c>
      <c r="B955" s="7" t="s">
        <v>2759</v>
      </c>
      <c r="C955" s="7" t="s">
        <v>99</v>
      </c>
      <c r="D955" s="7" t="s">
        <v>3612</v>
      </c>
      <c r="E955" s="7" t="s">
        <v>3617</v>
      </c>
      <c r="F955" s="8" t="s">
        <v>3628</v>
      </c>
      <c r="H955" s="7" t="s">
        <v>3620</v>
      </c>
      <c r="I955" s="7" t="s">
        <v>3634</v>
      </c>
      <c r="J955" s="7" t="s">
        <v>3637</v>
      </c>
      <c r="L955" s="7" t="s">
        <v>100</v>
      </c>
      <c r="M955" s="7" t="s">
        <v>94</v>
      </c>
      <c r="N955" s="7" t="s">
        <v>2760</v>
      </c>
      <c r="O955" s="7" t="s">
        <v>2563</v>
      </c>
      <c r="P955" s="7" t="s">
        <v>16</v>
      </c>
      <c r="Q955" s="7" t="s">
        <v>2761</v>
      </c>
      <c r="R955" t="s">
        <v>3632</v>
      </c>
    </row>
    <row r="956" spans="1:20" x14ac:dyDescent="0.3">
      <c r="A956" s="7" t="str">
        <f>HYPERLINK("https://hsdes.intel.com/resource/14013176084","14013176084")</f>
        <v>14013176084</v>
      </c>
      <c r="B956" s="7" t="s">
        <v>2762</v>
      </c>
      <c r="C956" s="7" t="s">
        <v>112</v>
      </c>
      <c r="D956" s="7" t="s">
        <v>3613</v>
      </c>
      <c r="E956" s="7" t="s">
        <v>3617</v>
      </c>
      <c r="F956" s="8" t="s">
        <v>3628</v>
      </c>
      <c r="H956" s="7" t="s">
        <v>3619</v>
      </c>
      <c r="I956" s="7" t="s">
        <v>3622</v>
      </c>
      <c r="L956" s="7" t="s">
        <v>30</v>
      </c>
      <c r="M956" s="7" t="s">
        <v>9</v>
      </c>
      <c r="N956" s="7" t="s">
        <v>56</v>
      </c>
      <c r="O956" s="7" t="s">
        <v>2763</v>
      </c>
      <c r="P956" s="7" t="s">
        <v>45</v>
      </c>
      <c r="Q956" s="7" t="s">
        <v>2764</v>
      </c>
      <c r="R956" t="s">
        <v>3631</v>
      </c>
    </row>
    <row r="957" spans="1:20" x14ac:dyDescent="0.3">
      <c r="A957" s="7" t="str">
        <f>HYPERLINK("https://hsdes.intel.com/resource/14013176088","14013176088")</f>
        <v>14013176088</v>
      </c>
      <c r="B957" s="7" t="s">
        <v>2765</v>
      </c>
      <c r="C957" s="7" t="s">
        <v>63</v>
      </c>
      <c r="D957" s="7" t="s">
        <v>3612</v>
      </c>
      <c r="E957" s="7" t="s">
        <v>3617</v>
      </c>
      <c r="F957" s="8" t="s">
        <v>3628</v>
      </c>
      <c r="H957" s="7" t="s">
        <v>3619</v>
      </c>
      <c r="I957" s="7" t="s">
        <v>3622</v>
      </c>
      <c r="L957" s="7" t="s">
        <v>64</v>
      </c>
      <c r="M957" s="7" t="s">
        <v>9</v>
      </c>
      <c r="N957" s="7" t="s">
        <v>56</v>
      </c>
      <c r="O957" s="7" t="s">
        <v>191</v>
      </c>
      <c r="P957" s="7" t="s">
        <v>1060</v>
      </c>
      <c r="Q957" s="7" t="s">
        <v>2766</v>
      </c>
      <c r="R957" t="s">
        <v>3631</v>
      </c>
    </row>
    <row r="958" spans="1:20" x14ac:dyDescent="0.3">
      <c r="A958" s="7" t="str">
        <f>HYPERLINK("https://hsdes.intel.com/resource/14013176103","14013176103")</f>
        <v>14013176103</v>
      </c>
      <c r="B958" s="7" t="s">
        <v>2767</v>
      </c>
      <c r="C958" s="7" t="s">
        <v>7</v>
      </c>
      <c r="D958" s="7" t="s">
        <v>3612</v>
      </c>
      <c r="E958" s="7" t="s">
        <v>3617</v>
      </c>
      <c r="F958" s="8" t="s">
        <v>3628</v>
      </c>
      <c r="H958" s="7" t="s">
        <v>3619</v>
      </c>
      <c r="I958" s="7" t="s">
        <v>3640</v>
      </c>
      <c r="L958" s="7" t="s">
        <v>8</v>
      </c>
      <c r="M958" s="7" t="s">
        <v>9</v>
      </c>
      <c r="N958" s="7" t="s">
        <v>10</v>
      </c>
      <c r="O958" s="7" t="s">
        <v>2768</v>
      </c>
      <c r="P958" s="7" t="s">
        <v>12</v>
      </c>
      <c r="Q958" s="7" t="s">
        <v>2769</v>
      </c>
      <c r="R958" t="s">
        <v>3631</v>
      </c>
    </row>
    <row r="959" spans="1:20" x14ac:dyDescent="0.3">
      <c r="A959" s="7" t="str">
        <f>HYPERLINK("https://hsdes.intel.com/resource/14013176106","14013176106")</f>
        <v>14013176106</v>
      </c>
      <c r="B959" s="7" t="s">
        <v>2770</v>
      </c>
      <c r="C959" s="7" t="s">
        <v>55</v>
      </c>
      <c r="D959" s="7" t="s">
        <v>3613</v>
      </c>
      <c r="E959" s="7" t="s">
        <v>3617</v>
      </c>
      <c r="F959" s="8" t="s">
        <v>3628</v>
      </c>
      <c r="H959" s="7" t="s">
        <v>3618</v>
      </c>
      <c r="J959" s="6" t="s">
        <v>3553</v>
      </c>
      <c r="L959" s="7" t="s">
        <v>30</v>
      </c>
      <c r="M959" s="7" t="s">
        <v>9</v>
      </c>
      <c r="N959" s="7" t="s">
        <v>122</v>
      </c>
      <c r="O959" s="7" t="s">
        <v>2771</v>
      </c>
      <c r="P959" s="7" t="s">
        <v>2772</v>
      </c>
      <c r="Q959" s="7" t="s">
        <v>2773</v>
      </c>
      <c r="R959" t="s">
        <v>3632</v>
      </c>
    </row>
    <row r="960" spans="1:20" x14ac:dyDescent="0.3">
      <c r="A960" s="7" t="str">
        <f>HYPERLINK("https://hsdes.intel.com/resource/14013176145","14013176145")</f>
        <v>14013176145</v>
      </c>
      <c r="B960" s="7" t="s">
        <v>2774</v>
      </c>
      <c r="C960" s="7" t="s">
        <v>99</v>
      </c>
      <c r="D960" s="7" t="s">
        <v>3612</v>
      </c>
      <c r="E960" s="7" t="s">
        <v>3617</v>
      </c>
      <c r="F960" s="8" t="s">
        <v>3628</v>
      </c>
      <c r="H960" s="7" t="s">
        <v>3620</v>
      </c>
      <c r="I960" s="7" t="s">
        <v>3634</v>
      </c>
      <c r="L960" s="7" t="s">
        <v>100</v>
      </c>
      <c r="M960" s="7" t="s">
        <v>94</v>
      </c>
      <c r="N960" s="7" t="s">
        <v>56</v>
      </c>
      <c r="O960" s="7" t="s">
        <v>2775</v>
      </c>
      <c r="P960" s="7" t="s">
        <v>2775</v>
      </c>
      <c r="Q960" s="7" t="s">
        <v>2776</v>
      </c>
      <c r="R960" t="s">
        <v>3632</v>
      </c>
    </row>
    <row r="961" spans="1:20" x14ac:dyDescent="0.3">
      <c r="A961" s="7" t="str">
        <f>HYPERLINK("https://hsdes.intel.com/resource/14013176160","14013176160")</f>
        <v>14013176160</v>
      </c>
      <c r="B961" s="7" t="s">
        <v>2777</v>
      </c>
      <c r="C961" s="7" t="s">
        <v>112</v>
      </c>
      <c r="D961" s="7" t="s">
        <v>3612</v>
      </c>
      <c r="E961" s="7" t="s">
        <v>3617</v>
      </c>
      <c r="F961" s="8" t="s">
        <v>3628</v>
      </c>
      <c r="H961" s="7" t="s">
        <v>3620</v>
      </c>
      <c r="I961" s="7" t="s">
        <v>3622</v>
      </c>
      <c r="L961" s="7" t="s">
        <v>30</v>
      </c>
      <c r="M961" s="7" t="s">
        <v>94</v>
      </c>
      <c r="N961" s="7" t="s">
        <v>56</v>
      </c>
      <c r="O961" s="7" t="s">
        <v>2778</v>
      </c>
      <c r="P961" s="7" t="s">
        <v>2779</v>
      </c>
      <c r="Q961" s="7" t="s">
        <v>2780</v>
      </c>
      <c r="R961" t="s">
        <v>3632</v>
      </c>
    </row>
    <row r="962" spans="1:20" x14ac:dyDescent="0.3">
      <c r="A962" s="7" t="str">
        <f>HYPERLINK("https://hsdes.intel.com/resource/14013176172","14013176172")</f>
        <v>14013176172</v>
      </c>
      <c r="B962" s="7" t="s">
        <v>2781</v>
      </c>
      <c r="C962" s="7" t="s">
        <v>161</v>
      </c>
      <c r="D962" s="7" t="s">
        <v>3612</v>
      </c>
      <c r="E962" s="7" t="s">
        <v>3617</v>
      </c>
      <c r="F962" s="8" t="s">
        <v>3628</v>
      </c>
      <c r="H962" s="7" t="s">
        <v>3618</v>
      </c>
      <c r="J962" s="7" t="s">
        <v>3529</v>
      </c>
      <c r="L962" s="7" t="s">
        <v>38</v>
      </c>
      <c r="M962" s="7" t="s">
        <v>94</v>
      </c>
      <c r="N962" s="7" t="s">
        <v>1557</v>
      </c>
      <c r="O962" s="7" t="s">
        <v>2713</v>
      </c>
      <c r="P962" s="7" t="s">
        <v>2713</v>
      </c>
      <c r="Q962" s="7" t="s">
        <v>2782</v>
      </c>
      <c r="R962" t="s">
        <v>3632</v>
      </c>
    </row>
    <row r="963" spans="1:20" x14ac:dyDescent="0.3">
      <c r="A963" s="7" t="str">
        <f>HYPERLINK("https://hsdes.intel.com/resource/14013176205","14013176205")</f>
        <v>14013176205</v>
      </c>
      <c r="B963" s="7" t="s">
        <v>2783</v>
      </c>
      <c r="C963" s="7" t="s">
        <v>99</v>
      </c>
      <c r="D963" s="7" t="s">
        <v>3612</v>
      </c>
      <c r="E963" s="7" t="s">
        <v>3617</v>
      </c>
      <c r="F963" s="8" t="s">
        <v>3628</v>
      </c>
      <c r="H963" s="16" t="s">
        <v>3620</v>
      </c>
      <c r="I963" s="7" t="s">
        <v>3645</v>
      </c>
      <c r="L963" s="7" t="s">
        <v>100</v>
      </c>
      <c r="M963" s="7" t="s">
        <v>94</v>
      </c>
      <c r="N963" s="7" t="s">
        <v>56</v>
      </c>
      <c r="O963" s="7" t="s">
        <v>16</v>
      </c>
      <c r="P963" s="7" t="s">
        <v>16</v>
      </c>
      <c r="Q963" s="7" t="s">
        <v>2784</v>
      </c>
      <c r="R963" t="s">
        <v>3632</v>
      </c>
      <c r="T963" s="22">
        <v>44818</v>
      </c>
    </row>
    <row r="964" spans="1:20" x14ac:dyDescent="0.3">
      <c r="A964" s="7" t="str">
        <f>HYPERLINK("https://hsdes.intel.com/resource/14013176209","14013176209")</f>
        <v>14013176209</v>
      </c>
      <c r="B964" s="7" t="s">
        <v>2785</v>
      </c>
      <c r="C964" s="7" t="s">
        <v>112</v>
      </c>
      <c r="D964" s="7" t="s">
        <v>3613</v>
      </c>
      <c r="E964" s="7" t="s">
        <v>3617</v>
      </c>
      <c r="F964" s="8" t="s">
        <v>3628</v>
      </c>
      <c r="H964" s="7" t="s">
        <v>3620</v>
      </c>
      <c r="I964" s="7" t="s">
        <v>3622</v>
      </c>
      <c r="L964" s="7" t="s">
        <v>30</v>
      </c>
      <c r="M964" s="7" t="s">
        <v>94</v>
      </c>
      <c r="N964" s="7" t="s">
        <v>56</v>
      </c>
      <c r="O964" s="7" t="s">
        <v>2786</v>
      </c>
      <c r="P964" s="7" t="s">
        <v>2737</v>
      </c>
      <c r="Q964" s="7" t="s">
        <v>2787</v>
      </c>
      <c r="R964" t="s">
        <v>3632</v>
      </c>
    </row>
    <row r="965" spans="1:20" x14ac:dyDescent="0.3">
      <c r="A965" s="7" t="str">
        <f>HYPERLINK("https://hsdes.intel.com/resource/14013176217","14013176217")</f>
        <v>14013176217</v>
      </c>
      <c r="B965" s="7" t="s">
        <v>2788</v>
      </c>
      <c r="C965" s="7" t="s">
        <v>341</v>
      </c>
      <c r="D965" s="7" t="s">
        <v>3612</v>
      </c>
      <c r="E965" s="7" t="s">
        <v>3617</v>
      </c>
      <c r="F965" s="8" t="s">
        <v>3628</v>
      </c>
      <c r="H965" s="7" t="s">
        <v>3618</v>
      </c>
      <c r="J965" s="7" t="s">
        <v>3540</v>
      </c>
      <c r="L965" s="7" t="s">
        <v>64</v>
      </c>
      <c r="M965" s="7" t="s">
        <v>9</v>
      </c>
      <c r="N965" s="7" t="s">
        <v>56</v>
      </c>
      <c r="O965" s="7" t="s">
        <v>2789</v>
      </c>
      <c r="P965" s="7" t="s">
        <v>2790</v>
      </c>
      <c r="Q965" s="7" t="s">
        <v>2791</v>
      </c>
      <c r="R965" t="s">
        <v>3632</v>
      </c>
    </row>
    <row r="966" spans="1:20" x14ac:dyDescent="0.3">
      <c r="A966" s="7" t="str">
        <f>HYPERLINK("https://hsdes.intel.com/resource/14013176237","14013176237")</f>
        <v>14013176237</v>
      </c>
      <c r="B966" s="7" t="s">
        <v>2792</v>
      </c>
      <c r="C966" s="7" t="s">
        <v>99</v>
      </c>
      <c r="D966" s="7" t="s">
        <v>3612</v>
      </c>
      <c r="E966" s="7" t="s">
        <v>3617</v>
      </c>
      <c r="F966" s="8" t="s">
        <v>3628</v>
      </c>
      <c r="H966" s="16" t="s">
        <v>3620</v>
      </c>
      <c r="I966" s="7" t="s">
        <v>3645</v>
      </c>
      <c r="L966" s="7" t="s">
        <v>100</v>
      </c>
      <c r="M966" s="7" t="s">
        <v>94</v>
      </c>
      <c r="N966" s="7" t="s">
        <v>56</v>
      </c>
      <c r="O966" s="7" t="s">
        <v>16</v>
      </c>
      <c r="P966" s="7" t="s">
        <v>2532</v>
      </c>
      <c r="Q966" s="7" t="s">
        <v>2793</v>
      </c>
      <c r="R966" t="s">
        <v>3632</v>
      </c>
      <c r="T966" s="22">
        <v>44818</v>
      </c>
    </row>
    <row r="967" spans="1:20" x14ac:dyDescent="0.3">
      <c r="A967" s="7" t="str">
        <f>HYPERLINK("https://hsdes.intel.com/resource/14013176259","14013176259")</f>
        <v>14013176259</v>
      </c>
      <c r="B967" s="7" t="s">
        <v>2794</v>
      </c>
      <c r="C967" s="7" t="s">
        <v>55</v>
      </c>
      <c r="D967" s="7" t="s">
        <v>3612</v>
      </c>
      <c r="E967" s="7" t="s">
        <v>3617</v>
      </c>
      <c r="F967" s="8" t="s">
        <v>3628</v>
      </c>
      <c r="H967" s="7" t="s">
        <v>3620</v>
      </c>
      <c r="I967" s="7" t="s">
        <v>3622</v>
      </c>
      <c r="L967" s="7" t="s">
        <v>30</v>
      </c>
      <c r="M967" s="7" t="s">
        <v>9</v>
      </c>
      <c r="N967" s="7" t="s">
        <v>56</v>
      </c>
      <c r="O967" s="7" t="s">
        <v>2795</v>
      </c>
      <c r="P967" s="7" t="s">
        <v>2795</v>
      </c>
      <c r="Q967" s="7" t="s">
        <v>2796</v>
      </c>
      <c r="R967" t="s">
        <v>3632</v>
      </c>
    </row>
    <row r="968" spans="1:20" x14ac:dyDescent="0.3">
      <c r="A968" s="7" t="str">
        <f>HYPERLINK("https://hsdes.intel.com/resource/14013176269","14013176269")</f>
        <v>14013176269</v>
      </c>
      <c r="B968" s="7" t="s">
        <v>2797</v>
      </c>
      <c r="C968" s="7" t="s">
        <v>99</v>
      </c>
      <c r="D968" s="7" t="s">
        <v>3612</v>
      </c>
      <c r="E968" s="7" t="s">
        <v>3617</v>
      </c>
      <c r="F968" s="8" t="s">
        <v>3628</v>
      </c>
      <c r="H968" s="7" t="s">
        <v>3619</v>
      </c>
      <c r="I968" s="7" t="s">
        <v>3634</v>
      </c>
      <c r="L968" s="7" t="s">
        <v>100</v>
      </c>
      <c r="M968" s="7" t="s">
        <v>94</v>
      </c>
      <c r="N968" s="7" t="s">
        <v>56</v>
      </c>
      <c r="O968" s="7" t="s">
        <v>2798</v>
      </c>
      <c r="P968" s="7" t="s">
        <v>16</v>
      </c>
      <c r="Q968" s="7" t="s">
        <v>2799</v>
      </c>
      <c r="R968" t="s">
        <v>3632</v>
      </c>
    </row>
    <row r="969" spans="1:20" x14ac:dyDescent="0.3">
      <c r="A969" s="7" t="str">
        <f>HYPERLINK("https://hsdes.intel.com/resource/14013176273","14013176273")</f>
        <v>14013176273</v>
      </c>
      <c r="B969" s="7" t="s">
        <v>2800</v>
      </c>
      <c r="C969" s="7" t="s">
        <v>845</v>
      </c>
      <c r="D969" s="7" t="s">
        <v>3613</v>
      </c>
      <c r="E969" s="7" t="s">
        <v>3617</v>
      </c>
      <c r="F969" s="8" t="s">
        <v>3628</v>
      </c>
      <c r="H969" s="7" t="s">
        <v>3619</v>
      </c>
      <c r="I969" s="7" t="s">
        <v>3622</v>
      </c>
      <c r="J969" s="7" t="s">
        <v>3574</v>
      </c>
      <c r="L969" s="7" t="s">
        <v>142</v>
      </c>
      <c r="M969" s="7" t="s">
        <v>9</v>
      </c>
      <c r="N969" s="7" t="s">
        <v>56</v>
      </c>
      <c r="O969" s="7" t="s">
        <v>1868</v>
      </c>
      <c r="P969" s="7" t="s">
        <v>1869</v>
      </c>
      <c r="Q969" s="7" t="s">
        <v>2801</v>
      </c>
      <c r="R969" t="s">
        <v>3631</v>
      </c>
    </row>
    <row r="970" spans="1:20" x14ac:dyDescent="0.3">
      <c r="A970" s="7" t="str">
        <f>HYPERLINK("https://hsdes.intel.com/resource/14013176285","14013176285")</f>
        <v>14013176285</v>
      </c>
      <c r="B970" s="7" t="s">
        <v>2802</v>
      </c>
      <c r="C970" s="7" t="s">
        <v>99</v>
      </c>
      <c r="D970" s="7" t="s">
        <v>3612</v>
      </c>
      <c r="E970" s="7" t="s">
        <v>3617</v>
      </c>
      <c r="F970" s="8" t="s">
        <v>3628</v>
      </c>
      <c r="H970" s="7" t="s">
        <v>3619</v>
      </c>
      <c r="I970" s="7" t="s">
        <v>3645</v>
      </c>
      <c r="J970" s="7" t="s">
        <v>3638</v>
      </c>
      <c r="L970" s="7" t="s">
        <v>100</v>
      </c>
      <c r="M970" s="7" t="s">
        <v>94</v>
      </c>
      <c r="N970" s="7" t="s">
        <v>56</v>
      </c>
      <c r="O970" s="7" t="s">
        <v>16</v>
      </c>
      <c r="P970" s="7" t="s">
        <v>16</v>
      </c>
      <c r="Q970" s="7" t="s">
        <v>2803</v>
      </c>
      <c r="R970" t="s">
        <v>3631</v>
      </c>
      <c r="T970" s="22">
        <v>44818</v>
      </c>
    </row>
    <row r="971" spans="1:20" x14ac:dyDescent="0.3">
      <c r="A971" s="7" t="str">
        <f>HYPERLINK("https://hsdes.intel.com/resource/14013176305","14013176305")</f>
        <v>14013176305</v>
      </c>
      <c r="B971" s="7" t="s">
        <v>2804</v>
      </c>
      <c r="C971" s="7" t="s">
        <v>133</v>
      </c>
      <c r="D971" s="7" t="s">
        <v>3612</v>
      </c>
      <c r="E971" s="7" t="s">
        <v>3617</v>
      </c>
      <c r="F971" s="8" t="s">
        <v>3628</v>
      </c>
      <c r="H971" s="7" t="s">
        <v>3619</v>
      </c>
      <c r="I971" s="7" t="s">
        <v>3641</v>
      </c>
      <c r="L971" s="7" t="s">
        <v>24</v>
      </c>
      <c r="M971" s="7" t="s">
        <v>9</v>
      </c>
      <c r="N971" s="7" t="s">
        <v>56</v>
      </c>
      <c r="O971" s="7" t="s">
        <v>2795</v>
      </c>
      <c r="P971" s="7" t="s">
        <v>2795</v>
      </c>
      <c r="Q971" s="7" t="s">
        <v>2805</v>
      </c>
      <c r="R971" t="s">
        <v>3632</v>
      </c>
    </row>
    <row r="972" spans="1:20" x14ac:dyDescent="0.3">
      <c r="A972" s="7" t="str">
        <f>HYPERLINK("https://hsdes.intel.com/resource/14013176338","14013176338")</f>
        <v>14013176338</v>
      </c>
      <c r="B972" s="7" t="s">
        <v>2806</v>
      </c>
      <c r="C972" s="7" t="s">
        <v>112</v>
      </c>
      <c r="D972" s="7" t="s">
        <v>3612</v>
      </c>
      <c r="E972" s="7" t="s">
        <v>3617</v>
      </c>
      <c r="F972" s="8" t="s">
        <v>3628</v>
      </c>
      <c r="H972" s="7" t="s">
        <v>3619</v>
      </c>
      <c r="I972" s="7" t="s">
        <v>3622</v>
      </c>
      <c r="L972" s="7" t="s">
        <v>30</v>
      </c>
      <c r="M972" s="7" t="s">
        <v>9</v>
      </c>
      <c r="N972" s="7" t="s">
        <v>56</v>
      </c>
      <c r="O972" s="7" t="s">
        <v>776</v>
      </c>
      <c r="P972" s="7" t="s">
        <v>776</v>
      </c>
      <c r="Q972" s="7" t="s">
        <v>2807</v>
      </c>
      <c r="R972" t="s">
        <v>3632</v>
      </c>
    </row>
    <row r="973" spans="1:20" x14ac:dyDescent="0.3">
      <c r="A973" s="7" t="str">
        <f>HYPERLINK("https://hsdes.intel.com/resource/14013176358","14013176358")</f>
        <v>14013176358</v>
      </c>
      <c r="B973" s="7" t="s">
        <v>2808</v>
      </c>
      <c r="C973" s="7" t="s">
        <v>29</v>
      </c>
      <c r="D973" s="7" t="s">
        <v>3612</v>
      </c>
      <c r="E973" s="7" t="s">
        <v>3617</v>
      </c>
      <c r="F973" s="8" t="s">
        <v>3628</v>
      </c>
      <c r="H973" s="7" t="s">
        <v>3619</v>
      </c>
      <c r="I973" s="7" t="s">
        <v>3640</v>
      </c>
      <c r="L973" s="7" t="s">
        <v>30</v>
      </c>
      <c r="M973" s="7" t="s">
        <v>9</v>
      </c>
      <c r="N973" s="7" t="s">
        <v>25</v>
      </c>
      <c r="O973" s="7" t="s">
        <v>34</v>
      </c>
      <c r="P973" s="7" t="s">
        <v>34</v>
      </c>
      <c r="Q973" s="7" t="s">
        <v>2809</v>
      </c>
      <c r="R973" t="s">
        <v>3632</v>
      </c>
    </row>
    <row r="974" spans="1:20" x14ac:dyDescent="0.3">
      <c r="A974" s="7" t="str">
        <f>HYPERLINK("https://hsdes.intel.com/resource/14013176373","14013176373")</f>
        <v>14013176373</v>
      </c>
      <c r="B974" s="7" t="s">
        <v>2810</v>
      </c>
      <c r="C974" s="7" t="s">
        <v>220</v>
      </c>
      <c r="D974" s="7" t="s">
        <v>3612</v>
      </c>
      <c r="E974" s="7" t="s">
        <v>3617</v>
      </c>
      <c r="F974" s="8" t="s">
        <v>3628</v>
      </c>
      <c r="H974" s="7" t="s">
        <v>3619</v>
      </c>
      <c r="I974" s="7" t="s">
        <v>3622</v>
      </c>
      <c r="L974" s="7" t="s">
        <v>30</v>
      </c>
      <c r="M974" s="7" t="s">
        <v>9</v>
      </c>
      <c r="N974" s="7" t="s">
        <v>122</v>
      </c>
      <c r="O974" s="7" t="s">
        <v>2811</v>
      </c>
      <c r="P974" s="7" t="s">
        <v>222</v>
      </c>
      <c r="Q974" s="7" t="s">
        <v>2812</v>
      </c>
      <c r="R974" t="s">
        <v>3631</v>
      </c>
    </row>
    <row r="975" spans="1:20" x14ac:dyDescent="0.3">
      <c r="A975" s="7" t="str">
        <f>HYPERLINK("https://hsdes.intel.com/resource/14013176393","14013176393")</f>
        <v>14013176393</v>
      </c>
      <c r="B975" s="7" t="s">
        <v>2813</v>
      </c>
      <c r="C975" s="7" t="s">
        <v>212</v>
      </c>
      <c r="D975" s="7" t="s">
        <v>3613</v>
      </c>
      <c r="E975" s="7" t="s">
        <v>3617</v>
      </c>
      <c r="F975" s="8" t="s">
        <v>3628</v>
      </c>
      <c r="H975" s="7" t="s">
        <v>3619</v>
      </c>
      <c r="I975" s="7" t="s">
        <v>3645</v>
      </c>
      <c r="L975" s="7" t="s">
        <v>24</v>
      </c>
      <c r="M975" s="7" t="s">
        <v>9</v>
      </c>
      <c r="N975" s="7" t="s">
        <v>39</v>
      </c>
      <c r="O975" s="7" t="s">
        <v>712</v>
      </c>
      <c r="P975" s="7" t="s">
        <v>1762</v>
      </c>
      <c r="Q975" s="7" t="s">
        <v>2814</v>
      </c>
      <c r="R975" t="s">
        <v>3632</v>
      </c>
      <c r="T975" s="22">
        <v>44819</v>
      </c>
    </row>
    <row r="976" spans="1:20" x14ac:dyDescent="0.3">
      <c r="A976" s="7" t="str">
        <f>HYPERLINK("https://hsdes.intel.com/resource/14013176417","14013176417")</f>
        <v>14013176417</v>
      </c>
      <c r="B976" s="7" t="s">
        <v>2815</v>
      </c>
      <c r="C976" s="7" t="s">
        <v>212</v>
      </c>
      <c r="D976" s="7" t="s">
        <v>3612</v>
      </c>
      <c r="E976" s="7" t="s">
        <v>3617</v>
      </c>
      <c r="F976" s="8" t="s">
        <v>3628</v>
      </c>
      <c r="H976" s="7" t="s">
        <v>3619</v>
      </c>
      <c r="I976" s="7" t="s">
        <v>3645</v>
      </c>
      <c r="L976" s="7" t="s">
        <v>24</v>
      </c>
      <c r="M976" s="7" t="s">
        <v>9</v>
      </c>
      <c r="N976" s="7" t="s">
        <v>39</v>
      </c>
      <c r="O976" s="7" t="s">
        <v>1772</v>
      </c>
      <c r="P976" s="7" t="s">
        <v>1366</v>
      </c>
      <c r="Q976" s="7" t="s">
        <v>2816</v>
      </c>
      <c r="R976" t="s">
        <v>3632</v>
      </c>
      <c r="T976" s="22">
        <v>44819</v>
      </c>
    </row>
    <row r="977" spans="1:20" x14ac:dyDescent="0.3">
      <c r="A977" s="7" t="str">
        <f>HYPERLINK("https://hsdes.intel.com/resource/14013176423","14013176423")</f>
        <v>14013176423</v>
      </c>
      <c r="B977" s="7" t="s">
        <v>2817</v>
      </c>
      <c r="C977" s="7" t="s">
        <v>212</v>
      </c>
      <c r="D977" s="7" t="s">
        <v>3612</v>
      </c>
      <c r="E977" s="7" t="s">
        <v>3617</v>
      </c>
      <c r="F977" s="8" t="s">
        <v>3628</v>
      </c>
      <c r="H977" s="7" t="s">
        <v>3619</v>
      </c>
      <c r="I977" s="7" t="s">
        <v>3645</v>
      </c>
      <c r="L977" s="7" t="s">
        <v>24</v>
      </c>
      <c r="M977" s="7" t="s">
        <v>9</v>
      </c>
      <c r="N977" s="7" t="s">
        <v>39</v>
      </c>
      <c r="O977" s="7" t="s">
        <v>1772</v>
      </c>
      <c r="P977" s="7" t="s">
        <v>1366</v>
      </c>
      <c r="Q977" s="7" t="s">
        <v>2818</v>
      </c>
      <c r="R977" t="s">
        <v>3633</v>
      </c>
      <c r="T977" s="22">
        <v>44819</v>
      </c>
    </row>
    <row r="978" spans="1:20" x14ac:dyDescent="0.3">
      <c r="A978" s="7" t="str">
        <f>HYPERLINK("https://hsdes.intel.com/resource/14013176439","14013176439")</f>
        <v>14013176439</v>
      </c>
      <c r="B978" s="7" t="s">
        <v>2819</v>
      </c>
      <c r="C978" s="7" t="s">
        <v>341</v>
      </c>
      <c r="D978" s="7" t="s">
        <v>3612</v>
      </c>
      <c r="E978" s="7" t="s">
        <v>3617</v>
      </c>
      <c r="F978" s="8" t="s">
        <v>3628</v>
      </c>
      <c r="H978" s="7" t="s">
        <v>3619</v>
      </c>
      <c r="I978" s="7" t="s">
        <v>3622</v>
      </c>
      <c r="L978" s="7" t="s">
        <v>64</v>
      </c>
      <c r="M978" s="7" t="s">
        <v>9</v>
      </c>
      <c r="N978" s="7" t="s">
        <v>56</v>
      </c>
      <c r="O978" s="7" t="s">
        <v>2820</v>
      </c>
      <c r="P978" s="7" t="s">
        <v>2671</v>
      </c>
      <c r="Q978" s="7" t="s">
        <v>2821</v>
      </c>
      <c r="R978" t="s">
        <v>3632</v>
      </c>
    </row>
    <row r="979" spans="1:20" x14ac:dyDescent="0.3">
      <c r="A979" s="7" t="str">
        <f>HYPERLINK("https://hsdes.intel.com/resource/14013176445","14013176445")</f>
        <v>14013176445</v>
      </c>
      <c r="B979" s="7" t="s">
        <v>2822</v>
      </c>
      <c r="C979" s="7" t="s">
        <v>121</v>
      </c>
      <c r="D979" s="7" t="s">
        <v>3612</v>
      </c>
      <c r="E979" s="7" t="s">
        <v>3617</v>
      </c>
      <c r="F979" s="8" t="s">
        <v>3628</v>
      </c>
      <c r="H979" s="7" t="s">
        <v>3619</v>
      </c>
      <c r="I979" s="7" t="s">
        <v>3622</v>
      </c>
      <c r="L979" s="7" t="s">
        <v>30</v>
      </c>
      <c r="M979" s="7" t="s">
        <v>9</v>
      </c>
      <c r="N979" s="7" t="s">
        <v>122</v>
      </c>
      <c r="O979" s="7" t="s">
        <v>2823</v>
      </c>
      <c r="P979" s="7" t="s">
        <v>2824</v>
      </c>
      <c r="Q979" s="7" t="s">
        <v>2825</v>
      </c>
      <c r="R979" t="s">
        <v>3632</v>
      </c>
    </row>
    <row r="980" spans="1:20" x14ac:dyDescent="0.3">
      <c r="A980" s="7" t="str">
        <f>HYPERLINK("https://hsdes.intel.com/resource/14013176448","14013176448")</f>
        <v>14013176448</v>
      </c>
      <c r="B980" s="24" t="s">
        <v>2826</v>
      </c>
      <c r="C980" s="7" t="s">
        <v>99</v>
      </c>
      <c r="D980" s="7" t="s">
        <v>3612</v>
      </c>
      <c r="E980" s="7" t="s">
        <v>3617</v>
      </c>
      <c r="F980" s="8" t="s">
        <v>3628</v>
      </c>
      <c r="H980" s="7" t="s">
        <v>3619</v>
      </c>
      <c r="I980" s="7" t="s">
        <v>3645</v>
      </c>
      <c r="L980" s="7" t="s">
        <v>100</v>
      </c>
      <c r="M980" s="7" t="s">
        <v>94</v>
      </c>
      <c r="N980" s="7" t="s">
        <v>56</v>
      </c>
      <c r="O980" s="7" t="s">
        <v>2827</v>
      </c>
      <c r="P980" s="7" t="s">
        <v>16</v>
      </c>
      <c r="Q980" s="7" t="s">
        <v>2828</v>
      </c>
      <c r="R980" t="s">
        <v>3632</v>
      </c>
      <c r="T980" s="22">
        <v>44818</v>
      </c>
    </row>
    <row r="981" spans="1:20" x14ac:dyDescent="0.3">
      <c r="A981" s="7" t="str">
        <f>HYPERLINK("https://hsdes.intel.com/resource/14013176478","14013176478")</f>
        <v>14013176478</v>
      </c>
      <c r="B981" s="7" t="s">
        <v>2829</v>
      </c>
      <c r="C981" s="7" t="s">
        <v>845</v>
      </c>
      <c r="D981" s="7" t="s">
        <v>3612</v>
      </c>
      <c r="E981" s="7" t="s">
        <v>3617</v>
      </c>
      <c r="F981" s="8" t="s">
        <v>3628</v>
      </c>
      <c r="H981" s="7" t="s">
        <v>3619</v>
      </c>
      <c r="I981" s="7" t="s">
        <v>3622</v>
      </c>
      <c r="L981" s="7" t="s">
        <v>142</v>
      </c>
      <c r="M981" s="7" t="s">
        <v>9</v>
      </c>
      <c r="N981" s="7" t="s">
        <v>56</v>
      </c>
      <c r="O981" s="7" t="s">
        <v>709</v>
      </c>
      <c r="P981" s="7" t="s">
        <v>709</v>
      </c>
      <c r="Q981" s="7" t="s">
        <v>2830</v>
      </c>
      <c r="R981" t="s">
        <v>3632</v>
      </c>
    </row>
    <row r="982" spans="1:20" x14ac:dyDescent="0.3">
      <c r="A982" s="7" t="str">
        <f>HYPERLINK("https://hsdes.intel.com/resource/14013176485","14013176485")</f>
        <v>14013176485</v>
      </c>
      <c r="B982" s="7" t="s">
        <v>2831</v>
      </c>
      <c r="C982" s="7" t="s">
        <v>341</v>
      </c>
      <c r="D982" s="7" t="s">
        <v>3612</v>
      </c>
      <c r="E982" s="7" t="s">
        <v>3617</v>
      </c>
      <c r="F982" s="8" t="s">
        <v>3628</v>
      </c>
      <c r="H982" s="7" t="s">
        <v>3619</v>
      </c>
      <c r="I982" s="7" t="s">
        <v>3622</v>
      </c>
      <c r="L982" s="7" t="s">
        <v>64</v>
      </c>
      <c r="M982" s="7" t="s">
        <v>9</v>
      </c>
      <c r="N982" s="7" t="s">
        <v>56</v>
      </c>
      <c r="O982" s="7" t="s">
        <v>2832</v>
      </c>
      <c r="P982" s="7" t="s">
        <v>2833</v>
      </c>
      <c r="Q982" s="7" t="s">
        <v>2834</v>
      </c>
      <c r="R982" t="s">
        <v>3633</v>
      </c>
    </row>
    <row r="983" spans="1:20" x14ac:dyDescent="0.3">
      <c r="A983" s="9" t="str">
        <f>HYPERLINK("https://hsdes.intel.com/resource/14013176487","14013176487")</f>
        <v>14013176487</v>
      </c>
      <c r="B983" s="7" t="s">
        <v>2835</v>
      </c>
      <c r="C983" s="7" t="s">
        <v>341</v>
      </c>
      <c r="D983" s="7" t="s">
        <v>3612</v>
      </c>
      <c r="E983" s="7" t="s">
        <v>3617</v>
      </c>
      <c r="F983" s="8" t="s">
        <v>3628</v>
      </c>
      <c r="H983" s="7" t="s">
        <v>3619</v>
      </c>
      <c r="I983" s="7" t="s">
        <v>3622</v>
      </c>
      <c r="L983" s="7" t="s">
        <v>64</v>
      </c>
      <c r="M983" s="7" t="s">
        <v>94</v>
      </c>
      <c r="N983" s="7" t="s">
        <v>56</v>
      </c>
      <c r="O983" s="7" t="s">
        <v>2820</v>
      </c>
      <c r="P983" s="7" t="s">
        <v>2671</v>
      </c>
      <c r="Q983" s="7" t="s">
        <v>2836</v>
      </c>
      <c r="R983" t="s">
        <v>3632</v>
      </c>
    </row>
    <row r="984" spans="1:20" x14ac:dyDescent="0.3">
      <c r="A984" s="7" t="str">
        <f>HYPERLINK("https://hsdes.intel.com/resource/14013176503","14013176503")</f>
        <v>14013176503</v>
      </c>
      <c r="B984" s="7" t="s">
        <v>2837</v>
      </c>
      <c r="C984" s="7" t="s">
        <v>341</v>
      </c>
      <c r="D984" s="7" t="s">
        <v>3612</v>
      </c>
      <c r="E984" s="7" t="s">
        <v>3617</v>
      </c>
      <c r="F984" s="8" t="s">
        <v>3628</v>
      </c>
      <c r="H984" s="7" t="s">
        <v>3618</v>
      </c>
      <c r="J984" s="7" t="s">
        <v>3541</v>
      </c>
      <c r="L984" s="7" t="s">
        <v>64</v>
      </c>
      <c r="M984" s="7" t="s">
        <v>94</v>
      </c>
      <c r="N984" s="7" t="s">
        <v>1063</v>
      </c>
      <c r="O984" s="7" t="s">
        <v>2838</v>
      </c>
      <c r="P984" s="7" t="s">
        <v>2839</v>
      </c>
      <c r="Q984" s="7" t="s">
        <v>2840</v>
      </c>
      <c r="R984" t="s">
        <v>3632</v>
      </c>
    </row>
    <row r="985" spans="1:20" x14ac:dyDescent="0.3">
      <c r="A985" s="7" t="str">
        <f>HYPERLINK("https://hsdes.intel.com/resource/14013176534","14013176534")</f>
        <v>14013176534</v>
      </c>
      <c r="B985" s="7" t="s">
        <v>2841</v>
      </c>
      <c r="C985" s="7" t="s">
        <v>341</v>
      </c>
      <c r="D985" s="7" t="s">
        <v>3612</v>
      </c>
      <c r="E985" s="7" t="s">
        <v>3617</v>
      </c>
      <c r="F985" s="8" t="s">
        <v>3628</v>
      </c>
      <c r="H985" s="7" t="s">
        <v>3619</v>
      </c>
      <c r="I985" s="7" t="s">
        <v>3645</v>
      </c>
      <c r="L985" s="7" t="s">
        <v>64</v>
      </c>
      <c r="M985" s="7" t="s">
        <v>9</v>
      </c>
      <c r="N985" s="7" t="s">
        <v>56</v>
      </c>
      <c r="O985" s="7" t="s">
        <v>2842</v>
      </c>
      <c r="P985" s="7" t="s">
        <v>2843</v>
      </c>
      <c r="Q985" s="7" t="s">
        <v>2844</v>
      </c>
      <c r="R985" t="s">
        <v>3631</v>
      </c>
      <c r="T985" s="22">
        <v>44818</v>
      </c>
    </row>
    <row r="986" spans="1:20" x14ac:dyDescent="0.3">
      <c r="A986" s="7" t="str">
        <f>HYPERLINK("https://hsdes.intel.com/resource/14013176544","14013176544")</f>
        <v>14013176544</v>
      </c>
      <c r="B986" s="7" t="s">
        <v>2845</v>
      </c>
      <c r="C986" s="7" t="s">
        <v>341</v>
      </c>
      <c r="D986" s="7" t="s">
        <v>3612</v>
      </c>
      <c r="E986" s="7" t="s">
        <v>3617</v>
      </c>
      <c r="F986" s="8" t="s">
        <v>3628</v>
      </c>
      <c r="H986" s="7" t="s">
        <v>3619</v>
      </c>
      <c r="I986" s="7" t="s">
        <v>3645</v>
      </c>
      <c r="L986" s="7" t="s">
        <v>64</v>
      </c>
      <c r="M986" s="7" t="s">
        <v>9</v>
      </c>
      <c r="N986" s="7" t="s">
        <v>56</v>
      </c>
      <c r="O986" s="7" t="s">
        <v>2846</v>
      </c>
      <c r="P986" s="7" t="s">
        <v>2847</v>
      </c>
      <c r="Q986" s="7" t="s">
        <v>2848</v>
      </c>
      <c r="R986" t="s">
        <v>3632</v>
      </c>
      <c r="T986" s="22">
        <v>44818</v>
      </c>
    </row>
    <row r="987" spans="1:20" x14ac:dyDescent="0.3">
      <c r="A987" s="7" t="str">
        <f>HYPERLINK("https://hsdes.intel.com/resource/14013176661","14013176661")</f>
        <v>14013176661</v>
      </c>
      <c r="B987" s="7" t="s">
        <v>2849</v>
      </c>
      <c r="C987" s="7" t="s">
        <v>121</v>
      </c>
      <c r="D987" s="7" t="s">
        <v>3612</v>
      </c>
      <c r="E987" s="7" t="s">
        <v>3617</v>
      </c>
      <c r="F987" s="8" t="s">
        <v>3628</v>
      </c>
      <c r="H987" s="7" t="s">
        <v>3619</v>
      </c>
      <c r="I987" s="7" t="s">
        <v>3645</v>
      </c>
      <c r="L987" s="7" t="s">
        <v>30</v>
      </c>
      <c r="M987" s="7" t="s">
        <v>9</v>
      </c>
      <c r="N987" s="7" t="s">
        <v>122</v>
      </c>
      <c r="O987" s="7" t="s">
        <v>2850</v>
      </c>
      <c r="P987" s="7" t="s">
        <v>2850</v>
      </c>
      <c r="Q987" s="7" t="s">
        <v>2851</v>
      </c>
      <c r="R987" t="s">
        <v>3633</v>
      </c>
      <c r="T987" s="22">
        <v>44818</v>
      </c>
    </row>
    <row r="988" spans="1:20" x14ac:dyDescent="0.3">
      <c r="A988" s="7" t="str">
        <f>HYPERLINK("https://hsdes.intel.com/resource/14013176669","14013176669")</f>
        <v>14013176669</v>
      </c>
      <c r="B988" s="7" t="s">
        <v>2852</v>
      </c>
      <c r="C988" s="7" t="s">
        <v>212</v>
      </c>
      <c r="D988" s="7" t="s">
        <v>3612</v>
      </c>
      <c r="E988" s="7" t="s">
        <v>3617</v>
      </c>
      <c r="F988" s="8" t="s">
        <v>3628</v>
      </c>
      <c r="H988" s="7" t="s">
        <v>3620</v>
      </c>
      <c r="I988" s="7" t="s">
        <v>3654</v>
      </c>
      <c r="J988" s="7" t="s">
        <v>3526</v>
      </c>
      <c r="L988" s="7" t="s">
        <v>24</v>
      </c>
      <c r="M988" s="7" t="s">
        <v>9</v>
      </c>
      <c r="N988" s="7" t="s">
        <v>804</v>
      </c>
      <c r="O988" s="7" t="s">
        <v>1711</v>
      </c>
      <c r="P988" s="7" t="s">
        <v>2853</v>
      </c>
      <c r="Q988" s="7" t="s">
        <v>2854</v>
      </c>
      <c r="R988" t="s">
        <v>3632</v>
      </c>
    </row>
    <row r="989" spans="1:20" x14ac:dyDescent="0.3">
      <c r="A989" s="7" t="str">
        <f>HYPERLINK("https://hsdes.intel.com/resource/14013176721","14013176721")</f>
        <v>14013176721</v>
      </c>
      <c r="B989" s="7" t="s">
        <v>2855</v>
      </c>
      <c r="C989" s="7" t="s">
        <v>55</v>
      </c>
      <c r="D989" s="7" t="s">
        <v>3612</v>
      </c>
      <c r="E989" s="7" t="s">
        <v>3617</v>
      </c>
      <c r="F989" s="8" t="s">
        <v>3628</v>
      </c>
      <c r="H989" s="7" t="s">
        <v>3619</v>
      </c>
      <c r="I989" s="7" t="s">
        <v>3622</v>
      </c>
      <c r="L989" s="7" t="s">
        <v>30</v>
      </c>
      <c r="M989" s="7" t="s">
        <v>9</v>
      </c>
      <c r="N989" s="7" t="s">
        <v>39</v>
      </c>
      <c r="O989" s="7" t="s">
        <v>913</v>
      </c>
      <c r="P989" s="7" t="s">
        <v>2856</v>
      </c>
      <c r="Q989" s="7" t="s">
        <v>2857</v>
      </c>
      <c r="R989" t="s">
        <v>3632</v>
      </c>
    </row>
    <row r="990" spans="1:20" x14ac:dyDescent="0.3">
      <c r="A990" s="7" t="str">
        <f>HYPERLINK("https://hsdes.intel.com/resource/14013176731","14013176731")</f>
        <v>14013176731</v>
      </c>
      <c r="B990" s="7" t="s">
        <v>2858</v>
      </c>
      <c r="C990" s="7" t="s">
        <v>55</v>
      </c>
      <c r="D990" s="7" t="s">
        <v>3612</v>
      </c>
      <c r="E990" s="7" t="s">
        <v>3617</v>
      </c>
      <c r="F990" s="8" t="s">
        <v>3628</v>
      </c>
      <c r="H990" s="7" t="s">
        <v>3619</v>
      </c>
      <c r="I990" s="7" t="s">
        <v>3622</v>
      </c>
      <c r="L990" s="7" t="s">
        <v>30</v>
      </c>
      <c r="M990" s="7" t="s">
        <v>94</v>
      </c>
      <c r="N990" s="7" t="s">
        <v>39</v>
      </c>
      <c r="O990" s="7" t="s">
        <v>880</v>
      </c>
      <c r="P990" s="7" t="s">
        <v>881</v>
      </c>
      <c r="Q990" s="7" t="s">
        <v>2859</v>
      </c>
      <c r="R990" t="s">
        <v>3631</v>
      </c>
    </row>
    <row r="991" spans="1:20" x14ac:dyDescent="0.3">
      <c r="A991" s="7" t="str">
        <f>HYPERLINK("https://hsdes.intel.com/resource/14013176742","14013176742")</f>
        <v>14013176742</v>
      </c>
      <c r="B991" s="7" t="s">
        <v>2860</v>
      </c>
      <c r="C991" s="7" t="s">
        <v>341</v>
      </c>
      <c r="D991" s="7" t="s">
        <v>3612</v>
      </c>
      <c r="E991" s="7" t="s">
        <v>3617</v>
      </c>
      <c r="F991" s="8" t="s">
        <v>3628</v>
      </c>
      <c r="H991" s="7" t="s">
        <v>3619</v>
      </c>
      <c r="I991" s="7" t="s">
        <v>3640</v>
      </c>
      <c r="L991" s="7" t="s">
        <v>64</v>
      </c>
      <c r="M991" s="7" t="s">
        <v>9</v>
      </c>
      <c r="N991" s="7" t="s">
        <v>56</v>
      </c>
      <c r="O991" s="7" t="s">
        <v>2861</v>
      </c>
      <c r="P991" s="7" t="s">
        <v>2862</v>
      </c>
      <c r="Q991" s="7" t="s">
        <v>2863</v>
      </c>
      <c r="R991" t="s">
        <v>3633</v>
      </c>
    </row>
    <row r="992" spans="1:20" x14ac:dyDescent="0.3">
      <c r="A992" s="7" t="str">
        <f>HYPERLINK("https://hsdes.intel.com/resource/14013176745","14013176745")</f>
        <v>14013176745</v>
      </c>
      <c r="B992" s="7" t="s">
        <v>2864</v>
      </c>
      <c r="C992" s="7" t="s">
        <v>341</v>
      </c>
      <c r="D992" s="7" t="s">
        <v>3612</v>
      </c>
      <c r="E992" s="7" t="s">
        <v>3617</v>
      </c>
      <c r="F992" s="8" t="s">
        <v>3628</v>
      </c>
      <c r="H992" s="7" t="s">
        <v>3619</v>
      </c>
      <c r="I992" s="7" t="s">
        <v>3645</v>
      </c>
      <c r="L992" s="7" t="s">
        <v>64</v>
      </c>
      <c r="M992" s="7" t="s">
        <v>9</v>
      </c>
      <c r="N992" s="7" t="s">
        <v>56</v>
      </c>
      <c r="O992" s="7" t="s">
        <v>2861</v>
      </c>
      <c r="P992" s="7" t="s">
        <v>2862</v>
      </c>
      <c r="Q992" s="7" t="s">
        <v>2865</v>
      </c>
      <c r="R992" t="s">
        <v>3631</v>
      </c>
      <c r="T992" s="22">
        <v>44818</v>
      </c>
    </row>
    <row r="993" spans="1:20" x14ac:dyDescent="0.3">
      <c r="A993" s="7" t="str">
        <f>HYPERLINK("https://hsdes.intel.com/resource/14013176752","14013176752")</f>
        <v>14013176752</v>
      </c>
      <c r="B993" s="7" t="s">
        <v>2866</v>
      </c>
      <c r="C993" s="7" t="s">
        <v>341</v>
      </c>
      <c r="D993" s="7" t="s">
        <v>3612</v>
      </c>
      <c r="E993" s="7" t="s">
        <v>3617</v>
      </c>
      <c r="F993" s="8" t="s">
        <v>3628</v>
      </c>
      <c r="H993" s="7" t="s">
        <v>3619</v>
      </c>
      <c r="I993" s="7" t="s">
        <v>3645</v>
      </c>
      <c r="L993" s="7" t="s">
        <v>64</v>
      </c>
      <c r="M993" s="7" t="s">
        <v>9</v>
      </c>
      <c r="N993" s="7" t="s">
        <v>56</v>
      </c>
      <c r="O993" s="7" t="s">
        <v>2867</v>
      </c>
      <c r="P993" s="7" t="s">
        <v>1649</v>
      </c>
      <c r="Q993" s="7" t="s">
        <v>2868</v>
      </c>
      <c r="R993" t="s">
        <v>3632</v>
      </c>
      <c r="T993" s="22">
        <v>44818</v>
      </c>
    </row>
    <row r="994" spans="1:20" x14ac:dyDescent="0.3">
      <c r="A994" s="7" t="str">
        <f>HYPERLINK("https://hsdes.intel.com/resource/14013176782","14013176782")</f>
        <v>14013176782</v>
      </c>
      <c r="B994" s="7" t="s">
        <v>2869</v>
      </c>
      <c r="C994" s="7" t="s">
        <v>341</v>
      </c>
      <c r="D994" s="7" t="s">
        <v>3612</v>
      </c>
      <c r="E994" s="7" t="s">
        <v>3617</v>
      </c>
      <c r="F994" s="8" t="s">
        <v>3628</v>
      </c>
      <c r="H994" s="7" t="s">
        <v>3619</v>
      </c>
      <c r="I994" s="7" t="s">
        <v>3645</v>
      </c>
      <c r="L994" s="7" t="s">
        <v>64</v>
      </c>
      <c r="M994" s="7" t="s">
        <v>94</v>
      </c>
      <c r="N994" s="7" t="s">
        <v>56</v>
      </c>
      <c r="O994" s="7" t="s">
        <v>2820</v>
      </c>
      <c r="P994" s="7" t="s">
        <v>2671</v>
      </c>
      <c r="Q994" s="7" t="s">
        <v>2870</v>
      </c>
      <c r="R994" t="s">
        <v>3631</v>
      </c>
      <c r="T994" s="22">
        <v>44818</v>
      </c>
    </row>
    <row r="995" spans="1:20" x14ac:dyDescent="0.3">
      <c r="A995" s="7" t="str">
        <f>HYPERLINK("https://hsdes.intel.com/resource/14013176807","14013176807")</f>
        <v>14013176807</v>
      </c>
      <c r="B995" s="7" t="s">
        <v>2871</v>
      </c>
      <c r="C995" s="7" t="s">
        <v>341</v>
      </c>
      <c r="D995" s="7" t="s">
        <v>3612</v>
      </c>
      <c r="E995" s="7" t="s">
        <v>3617</v>
      </c>
      <c r="F995" s="8" t="s">
        <v>3628</v>
      </c>
      <c r="H995" s="7" t="s">
        <v>3619</v>
      </c>
      <c r="I995" s="7" t="s">
        <v>3622</v>
      </c>
      <c r="L995" s="7" t="s">
        <v>64</v>
      </c>
      <c r="M995" s="7" t="s">
        <v>94</v>
      </c>
      <c r="N995" s="7" t="s">
        <v>2872</v>
      </c>
      <c r="O995" s="7" t="s">
        <v>2873</v>
      </c>
      <c r="P995" s="7" t="s">
        <v>2873</v>
      </c>
      <c r="Q995" s="7" t="s">
        <v>2874</v>
      </c>
      <c r="R995" t="s">
        <v>3633</v>
      </c>
    </row>
    <row r="996" spans="1:20" x14ac:dyDescent="0.3">
      <c r="A996" s="7" t="str">
        <f>HYPERLINK("https://hsdes.intel.com/resource/14013176813","14013176813")</f>
        <v>14013176813</v>
      </c>
      <c r="B996" s="7" t="s">
        <v>2875</v>
      </c>
      <c r="C996" s="7" t="s">
        <v>341</v>
      </c>
      <c r="D996" s="7" t="s">
        <v>3612</v>
      </c>
      <c r="E996" s="7" t="s">
        <v>3617</v>
      </c>
      <c r="F996" s="8" t="s">
        <v>3628</v>
      </c>
      <c r="H996" s="7" t="s">
        <v>3619</v>
      </c>
      <c r="I996" s="7" t="s">
        <v>3622</v>
      </c>
      <c r="L996" s="7" t="s">
        <v>64</v>
      </c>
      <c r="M996" s="7" t="s">
        <v>94</v>
      </c>
      <c r="N996" s="7" t="s">
        <v>2872</v>
      </c>
      <c r="O996" s="7" t="s">
        <v>2876</v>
      </c>
      <c r="P996" s="7" t="s">
        <v>2877</v>
      </c>
      <c r="Q996" s="7" t="s">
        <v>2878</v>
      </c>
      <c r="R996" t="s">
        <v>3633</v>
      </c>
    </row>
    <row r="997" spans="1:20" x14ac:dyDescent="0.3">
      <c r="A997" s="7" t="str">
        <f>HYPERLINK("https://hsdes.intel.com/resource/14013176851","14013176851")</f>
        <v>14013176851</v>
      </c>
      <c r="B997" s="7" t="s">
        <v>2879</v>
      </c>
      <c r="C997" s="7" t="s">
        <v>341</v>
      </c>
      <c r="D997" s="7" t="s">
        <v>3612</v>
      </c>
      <c r="E997" s="7" t="s">
        <v>3617</v>
      </c>
      <c r="F997" s="8" t="s">
        <v>3628</v>
      </c>
      <c r="H997" s="7" t="s">
        <v>3619</v>
      </c>
      <c r="I997" s="7" t="s">
        <v>3622</v>
      </c>
      <c r="L997" s="7" t="s">
        <v>64</v>
      </c>
      <c r="M997" s="7" t="s">
        <v>9</v>
      </c>
      <c r="N997" s="7" t="s">
        <v>2880</v>
      </c>
      <c r="O997" s="7" t="s">
        <v>2881</v>
      </c>
      <c r="P997" s="7" t="s">
        <v>2882</v>
      </c>
      <c r="Q997" s="7" t="s">
        <v>2883</v>
      </c>
      <c r="R997" t="s">
        <v>3631</v>
      </c>
    </row>
    <row r="998" spans="1:20" x14ac:dyDescent="0.3">
      <c r="A998" s="7" t="str">
        <f>HYPERLINK("https://hsdes.intel.com/resource/14013176879","14013176879")</f>
        <v>14013176879</v>
      </c>
      <c r="B998" s="7" t="s">
        <v>2884</v>
      </c>
      <c r="C998" s="7" t="s">
        <v>212</v>
      </c>
      <c r="D998" s="7" t="s">
        <v>3612</v>
      </c>
      <c r="E998" s="7" t="s">
        <v>3617</v>
      </c>
      <c r="F998" s="8" t="s">
        <v>3628</v>
      </c>
      <c r="H998" s="16" t="s">
        <v>3619</v>
      </c>
      <c r="I998" s="7" t="s">
        <v>3645</v>
      </c>
      <c r="L998" s="7" t="s">
        <v>24</v>
      </c>
      <c r="M998" s="7" t="s">
        <v>9</v>
      </c>
      <c r="N998" s="7" t="s">
        <v>39</v>
      </c>
      <c r="O998" s="7" t="s">
        <v>1772</v>
      </c>
      <c r="P998" s="7" t="s">
        <v>1366</v>
      </c>
      <c r="Q998" s="7" t="s">
        <v>2885</v>
      </c>
      <c r="R998" t="s">
        <v>3632</v>
      </c>
      <c r="T998" s="22">
        <v>44819</v>
      </c>
    </row>
    <row r="999" spans="1:20" x14ac:dyDescent="0.3">
      <c r="A999" s="7" t="str">
        <f>HYPERLINK("https://hsdes.intel.com/resource/14013176882","14013176882")</f>
        <v>14013176882</v>
      </c>
      <c r="B999" s="7" t="s">
        <v>2886</v>
      </c>
      <c r="C999" s="7" t="s">
        <v>112</v>
      </c>
      <c r="D999" s="7" t="s">
        <v>3612</v>
      </c>
      <c r="E999" s="7" t="s">
        <v>3617</v>
      </c>
      <c r="F999" s="8" t="s">
        <v>3628</v>
      </c>
      <c r="H999" s="7" t="s">
        <v>3619</v>
      </c>
      <c r="I999" s="7" t="s">
        <v>3622</v>
      </c>
      <c r="L999" s="7" t="s">
        <v>30</v>
      </c>
      <c r="M999" s="7" t="s">
        <v>94</v>
      </c>
      <c r="N999" s="7" t="s">
        <v>56</v>
      </c>
      <c r="O999" s="7" t="s">
        <v>2887</v>
      </c>
      <c r="P999" s="7" t="s">
        <v>2888</v>
      </c>
      <c r="Q999" s="7" t="s">
        <v>2889</v>
      </c>
      <c r="R999" t="s">
        <v>3631</v>
      </c>
    </row>
    <row r="1000" spans="1:20" x14ac:dyDescent="0.3">
      <c r="A1000" s="7" t="str">
        <f>HYPERLINK("https://hsdes.intel.com/resource/14013176896","14013176896")</f>
        <v>14013176896</v>
      </c>
      <c r="B1000" s="7" t="s">
        <v>2890</v>
      </c>
      <c r="C1000" s="7" t="s">
        <v>212</v>
      </c>
      <c r="D1000" s="7" t="s">
        <v>3612</v>
      </c>
      <c r="E1000" s="7" t="s">
        <v>3617</v>
      </c>
      <c r="F1000" s="8" t="s">
        <v>3628</v>
      </c>
      <c r="H1000" s="7" t="s">
        <v>3619</v>
      </c>
      <c r="I1000" s="7" t="s">
        <v>3645</v>
      </c>
      <c r="K1000" s="7" t="s">
        <v>3593</v>
      </c>
      <c r="L1000" s="7" t="s">
        <v>24</v>
      </c>
      <c r="M1000" s="7" t="s">
        <v>9</v>
      </c>
      <c r="N1000" s="7" t="s">
        <v>39</v>
      </c>
      <c r="O1000" s="7" t="s">
        <v>1772</v>
      </c>
      <c r="P1000" s="7" t="s">
        <v>1366</v>
      </c>
      <c r="Q1000" s="7" t="s">
        <v>2891</v>
      </c>
      <c r="R1000" t="s">
        <v>3631</v>
      </c>
      <c r="S1000" s="22"/>
      <c r="T1000" s="22">
        <v>44819</v>
      </c>
    </row>
    <row r="1001" spans="1:20" x14ac:dyDescent="0.3">
      <c r="A1001" s="7" t="str">
        <f>HYPERLINK("https://hsdes.intel.com/resource/14013176898","14013176898")</f>
        <v>14013176898</v>
      </c>
      <c r="B1001" s="7" t="s">
        <v>2892</v>
      </c>
      <c r="C1001" s="7" t="s">
        <v>212</v>
      </c>
      <c r="D1001" s="7" t="s">
        <v>3612</v>
      </c>
      <c r="E1001" s="7" t="s">
        <v>3617</v>
      </c>
      <c r="F1001" s="8" t="s">
        <v>3628</v>
      </c>
      <c r="H1001" s="7" t="s">
        <v>3619</v>
      </c>
      <c r="I1001" s="7" t="s">
        <v>3645</v>
      </c>
      <c r="L1001" s="7" t="s">
        <v>24</v>
      </c>
      <c r="M1001" s="7" t="s">
        <v>9</v>
      </c>
      <c r="N1001" s="7" t="s">
        <v>39</v>
      </c>
      <c r="O1001" s="7" t="s">
        <v>1772</v>
      </c>
      <c r="P1001" s="7" t="s">
        <v>1366</v>
      </c>
      <c r="Q1001" s="7" t="s">
        <v>2893</v>
      </c>
      <c r="R1001" t="s">
        <v>3631</v>
      </c>
      <c r="S1001" s="22"/>
      <c r="T1001" s="22">
        <v>44819</v>
      </c>
    </row>
    <row r="1002" spans="1:20" x14ac:dyDescent="0.3">
      <c r="A1002" s="7" t="str">
        <f>HYPERLINK("https://hsdes.intel.com/resource/14013176901","14013176901")</f>
        <v>14013176901</v>
      </c>
      <c r="B1002" s="7" t="s">
        <v>2894</v>
      </c>
      <c r="C1002" s="7" t="s">
        <v>212</v>
      </c>
      <c r="D1002" s="7" t="s">
        <v>3612</v>
      </c>
      <c r="E1002" s="7" t="s">
        <v>3617</v>
      </c>
      <c r="F1002" s="8" t="s">
        <v>3628</v>
      </c>
      <c r="H1002" s="7" t="s">
        <v>3619</v>
      </c>
      <c r="I1002" s="7" t="s">
        <v>3645</v>
      </c>
      <c r="L1002" s="7" t="s">
        <v>24</v>
      </c>
      <c r="M1002" s="7" t="s">
        <v>9</v>
      </c>
      <c r="N1002" s="7" t="s">
        <v>39</v>
      </c>
      <c r="O1002" s="7" t="s">
        <v>2895</v>
      </c>
      <c r="P1002" s="7" t="s">
        <v>2896</v>
      </c>
      <c r="Q1002" s="7" t="s">
        <v>2897</v>
      </c>
      <c r="R1002" t="s">
        <v>3631</v>
      </c>
      <c r="S1002" s="22"/>
      <c r="T1002" s="22">
        <v>44819</v>
      </c>
    </row>
    <row r="1003" spans="1:20" x14ac:dyDescent="0.3">
      <c r="A1003" s="7" t="str">
        <f>HYPERLINK("https://hsdes.intel.com/resource/14013176907","14013176907")</f>
        <v>14013176907</v>
      </c>
      <c r="B1003" s="7" t="s">
        <v>2898</v>
      </c>
      <c r="C1003" s="7" t="s">
        <v>212</v>
      </c>
      <c r="D1003" s="7" t="s">
        <v>3612</v>
      </c>
      <c r="E1003" s="7" t="s">
        <v>3617</v>
      </c>
      <c r="F1003" s="8" t="s">
        <v>3628</v>
      </c>
      <c r="H1003" s="7" t="s">
        <v>3619</v>
      </c>
      <c r="I1003" s="7" t="s">
        <v>3645</v>
      </c>
      <c r="L1003" s="7" t="s">
        <v>24</v>
      </c>
      <c r="M1003" s="7" t="s">
        <v>9</v>
      </c>
      <c r="N1003" s="7" t="s">
        <v>39</v>
      </c>
      <c r="O1003" s="7" t="s">
        <v>1772</v>
      </c>
      <c r="P1003" s="7" t="s">
        <v>1366</v>
      </c>
      <c r="Q1003" s="7" t="s">
        <v>2899</v>
      </c>
      <c r="R1003" t="s">
        <v>3633</v>
      </c>
      <c r="T1003" s="22">
        <v>44819</v>
      </c>
    </row>
    <row r="1004" spans="1:20" x14ac:dyDescent="0.3">
      <c r="A1004" s="7" t="str">
        <f>HYPERLINK("https://hsdes.intel.com/resource/14013176909","14013176909")</f>
        <v>14013176909</v>
      </c>
      <c r="B1004" s="7" t="s">
        <v>2900</v>
      </c>
      <c r="C1004" s="7" t="s">
        <v>212</v>
      </c>
      <c r="D1004" s="7" t="s">
        <v>3612</v>
      </c>
      <c r="E1004" s="7" t="s">
        <v>3617</v>
      </c>
      <c r="F1004" s="8" t="s">
        <v>3628</v>
      </c>
      <c r="H1004" s="7" t="s">
        <v>3620</v>
      </c>
      <c r="I1004" s="7" t="s">
        <v>3654</v>
      </c>
      <c r="J1004" s="7" t="s">
        <v>3526</v>
      </c>
      <c r="L1004" s="7" t="s">
        <v>24</v>
      </c>
      <c r="M1004" s="7" t="s">
        <v>9</v>
      </c>
      <c r="N1004" s="7" t="s">
        <v>39</v>
      </c>
      <c r="O1004" s="7" t="s">
        <v>1772</v>
      </c>
      <c r="P1004" s="7" t="s">
        <v>1366</v>
      </c>
      <c r="Q1004" s="7" t="s">
        <v>2901</v>
      </c>
      <c r="R1004" t="s">
        <v>3632</v>
      </c>
    </row>
    <row r="1005" spans="1:20" x14ac:dyDescent="0.3">
      <c r="A1005" s="7" t="str">
        <f>HYPERLINK("https://hsdes.intel.com/resource/14013176960","14013176960")</f>
        <v>14013176960</v>
      </c>
      <c r="B1005" s="7" t="s">
        <v>2902</v>
      </c>
      <c r="C1005" s="7" t="s">
        <v>129</v>
      </c>
      <c r="D1005" s="7" t="s">
        <v>3612</v>
      </c>
      <c r="E1005" s="7" t="s">
        <v>3617</v>
      </c>
      <c r="F1005" s="8" t="s">
        <v>3628</v>
      </c>
      <c r="H1005" s="7" t="s">
        <v>3620</v>
      </c>
      <c r="I1005" s="7" t="s">
        <v>3622</v>
      </c>
      <c r="L1005" s="7" t="s">
        <v>30</v>
      </c>
      <c r="M1005" s="7" t="s">
        <v>9</v>
      </c>
      <c r="N1005" s="7" t="s">
        <v>122</v>
      </c>
      <c r="O1005" s="7" t="s">
        <v>2903</v>
      </c>
      <c r="P1005" s="7" t="s">
        <v>2903</v>
      </c>
      <c r="Q1005" s="7" t="s">
        <v>2904</v>
      </c>
      <c r="R1005" t="s">
        <v>3632</v>
      </c>
    </row>
    <row r="1006" spans="1:20" x14ac:dyDescent="0.3">
      <c r="A1006" s="7" t="str">
        <f>HYPERLINK("https://hsdes.intel.com/resource/14013176978","14013176978")</f>
        <v>14013176978</v>
      </c>
      <c r="B1006" s="7" t="s">
        <v>2905</v>
      </c>
      <c r="C1006" s="7" t="s">
        <v>112</v>
      </c>
      <c r="D1006" s="7" t="s">
        <v>3613</v>
      </c>
      <c r="E1006" s="7" t="s">
        <v>3617</v>
      </c>
      <c r="F1006" s="8" t="s">
        <v>3628</v>
      </c>
      <c r="H1006" s="7" t="s">
        <v>3620</v>
      </c>
      <c r="I1006" s="7" t="s">
        <v>3654</v>
      </c>
      <c r="J1006" s="7" t="s">
        <v>3526</v>
      </c>
      <c r="L1006" s="7" t="s">
        <v>30</v>
      </c>
      <c r="M1006" s="7" t="s">
        <v>9</v>
      </c>
      <c r="N1006" s="7" t="s">
        <v>56</v>
      </c>
      <c r="O1006" s="7" t="s">
        <v>2906</v>
      </c>
      <c r="P1006" s="7" t="s">
        <v>2433</v>
      </c>
      <c r="Q1006" s="7" t="s">
        <v>2907</v>
      </c>
      <c r="R1006" t="s">
        <v>3632</v>
      </c>
    </row>
    <row r="1007" spans="1:20" x14ac:dyDescent="0.3">
      <c r="A1007" s="7" t="str">
        <f>HYPERLINK("https://hsdes.intel.com/resource/14013177001","14013177001")</f>
        <v>14013177001</v>
      </c>
      <c r="B1007" s="24" t="s">
        <v>2908</v>
      </c>
      <c r="C1007" s="7" t="s">
        <v>121</v>
      </c>
      <c r="D1007" s="7" t="s">
        <v>3613</v>
      </c>
      <c r="E1007" s="7" t="s">
        <v>3617</v>
      </c>
      <c r="F1007" s="8" t="s">
        <v>3628</v>
      </c>
      <c r="H1007" s="7" t="s">
        <v>3620</v>
      </c>
      <c r="I1007" s="7" t="s">
        <v>3645</v>
      </c>
      <c r="L1007" s="7" t="s">
        <v>30</v>
      </c>
      <c r="M1007" s="7" t="s">
        <v>94</v>
      </c>
      <c r="N1007" s="7" t="s">
        <v>226</v>
      </c>
      <c r="O1007" s="7" t="s">
        <v>2909</v>
      </c>
      <c r="P1007" s="7" t="s">
        <v>361</v>
      </c>
      <c r="Q1007" s="7" t="s">
        <v>2910</v>
      </c>
      <c r="R1007" t="s">
        <v>3632</v>
      </c>
      <c r="T1007" s="22">
        <v>44818</v>
      </c>
    </row>
    <row r="1008" spans="1:20" x14ac:dyDescent="0.3">
      <c r="A1008" s="7" t="str">
        <f>HYPERLINK("https://hsdes.intel.com/resource/14013177010","14013177010")</f>
        <v>14013177010</v>
      </c>
      <c r="B1008" s="7" t="s">
        <v>2911</v>
      </c>
      <c r="C1008" s="7" t="s">
        <v>580</v>
      </c>
      <c r="D1008" s="7" t="s">
        <v>3613</v>
      </c>
      <c r="E1008" s="7" t="s">
        <v>3617</v>
      </c>
      <c r="F1008" s="8" t="s">
        <v>3628</v>
      </c>
      <c r="H1008" s="7" t="s">
        <v>3618</v>
      </c>
      <c r="J1008" s="7" t="s">
        <v>3530</v>
      </c>
      <c r="L1008" s="7" t="s">
        <v>8</v>
      </c>
      <c r="M1008" s="7" t="s">
        <v>9</v>
      </c>
      <c r="N1008" s="7" t="s">
        <v>56</v>
      </c>
      <c r="O1008" s="7" t="s">
        <v>639</v>
      </c>
      <c r="P1008" s="7" t="s">
        <v>639</v>
      </c>
      <c r="Q1008" s="7" t="s">
        <v>2912</v>
      </c>
      <c r="R1008" t="s">
        <v>3632</v>
      </c>
    </row>
    <row r="1009" spans="1:20" x14ac:dyDescent="0.3">
      <c r="A1009" s="7" t="str">
        <f>HYPERLINK("https://hsdes.intel.com/resource/14013177012","14013177012")</f>
        <v>14013177012</v>
      </c>
      <c r="B1009" s="7" t="s">
        <v>2913</v>
      </c>
      <c r="C1009" s="7" t="s">
        <v>580</v>
      </c>
      <c r="D1009" s="7" t="s">
        <v>3613</v>
      </c>
      <c r="E1009" s="7" t="s">
        <v>3617</v>
      </c>
      <c r="F1009" s="8" t="s">
        <v>3628</v>
      </c>
      <c r="H1009" s="7" t="s">
        <v>3621</v>
      </c>
      <c r="J1009" s="7" t="s">
        <v>3530</v>
      </c>
      <c r="L1009" s="7" t="s">
        <v>8</v>
      </c>
      <c r="M1009" s="7" t="s">
        <v>9</v>
      </c>
      <c r="N1009" s="7" t="s">
        <v>56</v>
      </c>
      <c r="O1009" s="7" t="s">
        <v>639</v>
      </c>
      <c r="P1009" s="7" t="s">
        <v>639</v>
      </c>
      <c r="Q1009" s="7" t="s">
        <v>2914</v>
      </c>
      <c r="R1009" t="s">
        <v>3632</v>
      </c>
    </row>
    <row r="1010" spans="1:20" x14ac:dyDescent="0.3">
      <c r="A1010" s="7" t="str">
        <f>HYPERLINK("https://hsdes.intel.com/resource/14013177040","14013177040")</f>
        <v>14013177040</v>
      </c>
      <c r="B1010" s="7" t="s">
        <v>2915</v>
      </c>
      <c r="C1010" s="7" t="s">
        <v>341</v>
      </c>
      <c r="D1010" s="7" t="s">
        <v>3612</v>
      </c>
      <c r="E1010" s="7" t="s">
        <v>3617</v>
      </c>
      <c r="F1010" s="8" t="s">
        <v>3628</v>
      </c>
      <c r="H1010" s="7" t="s">
        <v>3620</v>
      </c>
      <c r="I1010" s="7" t="s">
        <v>3645</v>
      </c>
      <c r="L1010" s="7" t="s">
        <v>64</v>
      </c>
      <c r="M1010" s="7" t="s">
        <v>9</v>
      </c>
      <c r="N1010" s="7" t="s">
        <v>56</v>
      </c>
      <c r="O1010" s="7" t="s">
        <v>2842</v>
      </c>
      <c r="P1010" s="7" t="s">
        <v>2843</v>
      </c>
      <c r="Q1010" s="7" t="s">
        <v>2916</v>
      </c>
      <c r="R1010" t="s">
        <v>3632</v>
      </c>
      <c r="T1010" s="22">
        <v>44818</v>
      </c>
    </row>
    <row r="1011" spans="1:20" x14ac:dyDescent="0.3">
      <c r="A1011" s="7" t="str">
        <f>HYPERLINK("https://hsdes.intel.com/resource/14013177044","14013177044")</f>
        <v>14013177044</v>
      </c>
      <c r="B1011" s="7" t="s">
        <v>2917</v>
      </c>
      <c r="C1011" s="7" t="s">
        <v>341</v>
      </c>
      <c r="D1011" s="7" t="s">
        <v>3612</v>
      </c>
      <c r="E1011" s="7" t="s">
        <v>3617</v>
      </c>
      <c r="F1011" s="8" t="s">
        <v>3628</v>
      </c>
      <c r="H1011" s="7" t="s">
        <v>3620</v>
      </c>
      <c r="I1011" s="7" t="s">
        <v>3645</v>
      </c>
      <c r="L1011" s="7" t="s">
        <v>64</v>
      </c>
      <c r="M1011" s="7" t="s">
        <v>9</v>
      </c>
      <c r="N1011" s="7" t="s">
        <v>56</v>
      </c>
      <c r="O1011" s="7" t="s">
        <v>2842</v>
      </c>
      <c r="P1011" s="7" t="s">
        <v>2843</v>
      </c>
      <c r="Q1011" s="7" t="s">
        <v>2918</v>
      </c>
      <c r="R1011" t="s">
        <v>3632</v>
      </c>
      <c r="T1011" s="22">
        <v>44818</v>
      </c>
    </row>
    <row r="1012" spans="1:20" x14ac:dyDescent="0.3">
      <c r="A1012" s="7" t="str">
        <f>HYPERLINK("https://hsdes.intel.com/resource/14013177048","14013177048")</f>
        <v>14013177048</v>
      </c>
      <c r="B1012" s="7" t="s">
        <v>2919</v>
      </c>
      <c r="C1012" s="7" t="s">
        <v>341</v>
      </c>
      <c r="D1012" s="7" t="s">
        <v>3612</v>
      </c>
      <c r="E1012" s="7" t="s">
        <v>3617</v>
      </c>
      <c r="F1012" s="8" t="s">
        <v>3628</v>
      </c>
      <c r="H1012" s="7" t="s">
        <v>3620</v>
      </c>
      <c r="I1012" s="7" t="s">
        <v>3645</v>
      </c>
      <c r="L1012" s="7" t="s">
        <v>64</v>
      </c>
      <c r="M1012" s="7" t="s">
        <v>9</v>
      </c>
      <c r="N1012" s="7" t="s">
        <v>56</v>
      </c>
      <c r="O1012" s="7" t="s">
        <v>2842</v>
      </c>
      <c r="P1012" s="7" t="s">
        <v>2843</v>
      </c>
      <c r="Q1012" s="7" t="s">
        <v>2920</v>
      </c>
      <c r="R1012" t="s">
        <v>3632</v>
      </c>
      <c r="T1012" s="22">
        <v>44818</v>
      </c>
    </row>
    <row r="1013" spans="1:20" x14ac:dyDescent="0.3">
      <c r="A1013" s="7" t="str">
        <f>HYPERLINK("https://hsdes.intel.com/resource/14013177055","14013177055")</f>
        <v>14013177055</v>
      </c>
      <c r="B1013" s="7" t="s">
        <v>2921</v>
      </c>
      <c r="C1013" s="7" t="s">
        <v>55</v>
      </c>
      <c r="D1013" s="7" t="s">
        <v>3613</v>
      </c>
      <c r="E1013" s="7" t="s">
        <v>3617</v>
      </c>
      <c r="F1013" s="8" t="s">
        <v>3628</v>
      </c>
      <c r="H1013" s="7" t="s">
        <v>3620</v>
      </c>
      <c r="I1013" s="7" t="s">
        <v>3622</v>
      </c>
      <c r="L1013" s="7" t="s">
        <v>30</v>
      </c>
      <c r="M1013" s="7" t="s">
        <v>94</v>
      </c>
      <c r="N1013" s="7" t="s">
        <v>122</v>
      </c>
      <c r="O1013" s="7" t="s">
        <v>2922</v>
      </c>
      <c r="P1013" s="7" t="s">
        <v>2923</v>
      </c>
      <c r="Q1013" s="7" t="s">
        <v>2924</v>
      </c>
      <c r="R1013" t="s">
        <v>3632</v>
      </c>
    </row>
    <row r="1014" spans="1:20" x14ac:dyDescent="0.3">
      <c r="A1014" s="7" t="str">
        <f>HYPERLINK("https://hsdes.intel.com/resource/14013177122","14013177122")</f>
        <v>14013177122</v>
      </c>
      <c r="B1014" s="7" t="s">
        <v>2925</v>
      </c>
      <c r="C1014" s="7" t="s">
        <v>341</v>
      </c>
      <c r="D1014" s="7" t="s">
        <v>3612</v>
      </c>
      <c r="E1014" s="7" t="s">
        <v>3617</v>
      </c>
      <c r="F1014" s="8" t="s">
        <v>3628</v>
      </c>
      <c r="H1014" s="7" t="s">
        <v>3620</v>
      </c>
      <c r="I1014" s="7" t="s">
        <v>3645</v>
      </c>
      <c r="J1014" s="6" t="s">
        <v>3587</v>
      </c>
      <c r="L1014" s="7" t="s">
        <v>64</v>
      </c>
      <c r="M1014" s="7" t="s">
        <v>94</v>
      </c>
      <c r="N1014" s="7" t="s">
        <v>56</v>
      </c>
      <c r="O1014" s="7" t="s">
        <v>2926</v>
      </c>
      <c r="P1014" s="7" t="s">
        <v>2927</v>
      </c>
      <c r="Q1014" s="7" t="s">
        <v>2928</v>
      </c>
      <c r="R1014" t="s">
        <v>3631</v>
      </c>
      <c r="T1014" s="22">
        <v>44818</v>
      </c>
    </row>
    <row r="1015" spans="1:20" x14ac:dyDescent="0.3">
      <c r="A1015" s="7" t="str">
        <f>HYPERLINK("https://hsdes.intel.com/resource/14013177245","14013177245")</f>
        <v>14013177245</v>
      </c>
      <c r="B1015" s="7" t="s">
        <v>2929</v>
      </c>
      <c r="C1015" s="7" t="s">
        <v>341</v>
      </c>
      <c r="D1015" s="7" t="s">
        <v>3613</v>
      </c>
      <c r="E1015" s="7" t="s">
        <v>3617</v>
      </c>
      <c r="F1015" s="8" t="s">
        <v>3628</v>
      </c>
      <c r="H1015" s="7" t="s">
        <v>3620</v>
      </c>
      <c r="I1015" s="7" t="s">
        <v>3645</v>
      </c>
      <c r="L1015" s="7" t="s">
        <v>64</v>
      </c>
      <c r="M1015" s="7" t="s">
        <v>94</v>
      </c>
      <c r="N1015" s="7" t="s">
        <v>2930</v>
      </c>
      <c r="O1015" s="7" t="s">
        <v>2931</v>
      </c>
      <c r="P1015" s="7" t="s">
        <v>2932</v>
      </c>
      <c r="Q1015" s="7" t="s">
        <v>2933</v>
      </c>
      <c r="R1015" t="s">
        <v>3632</v>
      </c>
      <c r="T1015" s="22">
        <v>44818</v>
      </c>
    </row>
    <row r="1016" spans="1:20" x14ac:dyDescent="0.3">
      <c r="A1016" s="7" t="str">
        <f>HYPERLINK("https://hsdes.intel.com/resource/14013177326","14013177326")</f>
        <v>14013177326</v>
      </c>
      <c r="B1016" s="7" t="s">
        <v>2934</v>
      </c>
      <c r="C1016" s="7" t="s">
        <v>2935</v>
      </c>
      <c r="D1016" s="7" t="s">
        <v>3613</v>
      </c>
      <c r="E1016" s="7" t="s">
        <v>3617</v>
      </c>
      <c r="F1016" s="8" t="s">
        <v>3628</v>
      </c>
      <c r="H1016" s="7" t="s">
        <v>3620</v>
      </c>
      <c r="I1016" s="7" t="s">
        <v>3645</v>
      </c>
      <c r="L1016" s="7" t="s">
        <v>30</v>
      </c>
      <c r="M1016" s="7" t="s">
        <v>94</v>
      </c>
      <c r="N1016" s="7" t="s">
        <v>122</v>
      </c>
      <c r="O1016" s="7" t="s">
        <v>44</v>
      </c>
      <c r="P1016" s="7" t="s">
        <v>2795</v>
      </c>
      <c r="Q1016" s="7" t="s">
        <v>2936</v>
      </c>
      <c r="R1016" t="s">
        <v>3632</v>
      </c>
      <c r="T1016" s="22">
        <v>44818</v>
      </c>
    </row>
    <row r="1017" spans="1:20" x14ac:dyDescent="0.3">
      <c r="A1017" s="7" t="str">
        <f>HYPERLINK("https://hsdes.intel.com/resource/14013177328","14013177328")</f>
        <v>14013177328</v>
      </c>
      <c r="B1017" s="7" t="s">
        <v>2937</v>
      </c>
      <c r="C1017" s="7" t="s">
        <v>2935</v>
      </c>
      <c r="D1017" s="7" t="s">
        <v>3613</v>
      </c>
      <c r="E1017" s="7" t="s">
        <v>3617</v>
      </c>
      <c r="F1017" s="8" t="s">
        <v>3628</v>
      </c>
      <c r="H1017" s="7" t="s">
        <v>3620</v>
      </c>
      <c r="I1017" s="7" t="s">
        <v>3634</v>
      </c>
      <c r="L1017" s="7" t="s">
        <v>30</v>
      </c>
      <c r="M1017" s="7" t="s">
        <v>94</v>
      </c>
      <c r="N1017" s="7" t="s">
        <v>122</v>
      </c>
      <c r="O1017" s="7" t="s">
        <v>44</v>
      </c>
      <c r="P1017" s="7" t="s">
        <v>2938</v>
      </c>
      <c r="Q1017" s="7" t="s">
        <v>2939</v>
      </c>
      <c r="R1017" t="s">
        <v>3631</v>
      </c>
      <c r="S1017" s="22"/>
    </row>
    <row r="1018" spans="1:20" x14ac:dyDescent="0.3">
      <c r="A1018" s="7" t="str">
        <f>HYPERLINK("https://hsdes.intel.com/resource/14013177386","14013177386")</f>
        <v>14013177386</v>
      </c>
      <c r="B1018" s="7" t="s">
        <v>2940</v>
      </c>
      <c r="C1018" s="7" t="s">
        <v>341</v>
      </c>
      <c r="D1018" s="7" t="s">
        <v>3612</v>
      </c>
      <c r="E1018" s="7" t="s">
        <v>3617</v>
      </c>
      <c r="F1018" s="8" t="s">
        <v>3628</v>
      </c>
      <c r="H1018" s="7" t="s">
        <v>3620</v>
      </c>
      <c r="I1018" s="7" t="s">
        <v>3645</v>
      </c>
      <c r="L1018" s="7" t="s">
        <v>64</v>
      </c>
      <c r="M1018" s="7" t="s">
        <v>94</v>
      </c>
      <c r="N1018" s="7" t="s">
        <v>56</v>
      </c>
      <c r="O1018" s="7" t="s">
        <v>2941</v>
      </c>
      <c r="P1018" s="7" t="s">
        <v>2942</v>
      </c>
      <c r="Q1018" s="7" t="s">
        <v>2943</v>
      </c>
      <c r="R1018" t="s">
        <v>3632</v>
      </c>
      <c r="T1018" s="22">
        <v>44818</v>
      </c>
    </row>
    <row r="1019" spans="1:20" x14ac:dyDescent="0.3">
      <c r="A1019" s="7" t="str">
        <f>HYPERLINK("https://hsdes.intel.com/resource/14013177627","14013177627")</f>
        <v>14013177627</v>
      </c>
      <c r="B1019" s="7" t="s">
        <v>2944</v>
      </c>
      <c r="C1019" s="7" t="s">
        <v>341</v>
      </c>
      <c r="D1019" s="7" t="s">
        <v>3612</v>
      </c>
      <c r="E1019" s="7" t="s">
        <v>3617</v>
      </c>
      <c r="F1019" s="8" t="s">
        <v>3628</v>
      </c>
      <c r="H1019" s="7" t="s">
        <v>3620</v>
      </c>
      <c r="I1019" s="7" t="s">
        <v>3645</v>
      </c>
      <c r="L1019" s="7" t="s">
        <v>64</v>
      </c>
      <c r="M1019" s="7" t="s">
        <v>94</v>
      </c>
      <c r="N1019" s="7" t="s">
        <v>56</v>
      </c>
      <c r="O1019" s="7" t="s">
        <v>2838</v>
      </c>
      <c r="P1019" s="7" t="s">
        <v>2671</v>
      </c>
      <c r="Q1019" s="7" t="s">
        <v>2945</v>
      </c>
      <c r="R1019" t="s">
        <v>3633</v>
      </c>
      <c r="T1019" s="22">
        <v>44818</v>
      </c>
    </row>
    <row r="1020" spans="1:20" x14ac:dyDescent="0.3">
      <c r="A1020" s="7" t="str">
        <f>HYPERLINK("https://hsdes.intel.com/resource/14013177684","14013177684")</f>
        <v>14013177684</v>
      </c>
      <c r="B1020" s="7" t="s">
        <v>2946</v>
      </c>
      <c r="C1020" s="7" t="s">
        <v>341</v>
      </c>
      <c r="D1020" s="7" t="s">
        <v>3612</v>
      </c>
      <c r="E1020" s="7" t="s">
        <v>3617</v>
      </c>
      <c r="F1020" s="8" t="s">
        <v>3628</v>
      </c>
      <c r="H1020" s="7" t="s">
        <v>3620</v>
      </c>
      <c r="I1020" s="7" t="s">
        <v>3645</v>
      </c>
      <c r="L1020" s="7" t="s">
        <v>64</v>
      </c>
      <c r="M1020" s="7" t="s">
        <v>94</v>
      </c>
      <c r="N1020" s="7" t="s">
        <v>2880</v>
      </c>
      <c r="O1020" s="7" t="s">
        <v>2947</v>
      </c>
      <c r="P1020" s="7" t="s">
        <v>2948</v>
      </c>
      <c r="Q1020" s="7" t="s">
        <v>2949</v>
      </c>
      <c r="R1020" t="s">
        <v>3632</v>
      </c>
      <c r="T1020" s="22">
        <v>44818</v>
      </c>
    </row>
    <row r="1021" spans="1:20" x14ac:dyDescent="0.3">
      <c r="A1021" s="7" t="str">
        <f>HYPERLINK("https://hsdes.intel.com/resource/14013177730","14013177730")</f>
        <v>14013177730</v>
      </c>
      <c r="B1021" s="7" t="s">
        <v>2950</v>
      </c>
      <c r="C1021" s="7" t="s">
        <v>55</v>
      </c>
      <c r="D1021" s="7" t="s">
        <v>3612</v>
      </c>
      <c r="E1021" s="7" t="s">
        <v>3617</v>
      </c>
      <c r="F1021" s="8" t="s">
        <v>3628</v>
      </c>
      <c r="H1021" s="7" t="s">
        <v>3619</v>
      </c>
      <c r="I1021" s="7" t="s">
        <v>3622</v>
      </c>
      <c r="L1021" s="7" t="s">
        <v>30</v>
      </c>
      <c r="M1021" s="7" t="s">
        <v>9</v>
      </c>
      <c r="N1021" s="7" t="s">
        <v>56</v>
      </c>
      <c r="O1021" s="7" t="s">
        <v>2951</v>
      </c>
      <c r="P1021" s="7" t="s">
        <v>2951</v>
      </c>
      <c r="Q1021" s="7" t="s">
        <v>2952</v>
      </c>
      <c r="R1021" t="s">
        <v>3632</v>
      </c>
    </row>
    <row r="1022" spans="1:20" x14ac:dyDescent="0.3">
      <c r="A1022" s="7" t="str">
        <f>HYPERLINK("https://hsdes.intel.com/resource/14013177780","14013177780")</f>
        <v>14013177780</v>
      </c>
      <c r="B1022" s="7" t="s">
        <v>2953</v>
      </c>
      <c r="C1022" s="7" t="s">
        <v>341</v>
      </c>
      <c r="D1022" s="7" t="s">
        <v>3612</v>
      </c>
      <c r="E1022" s="7" t="s">
        <v>3617</v>
      </c>
      <c r="F1022" s="8" t="s">
        <v>3628</v>
      </c>
      <c r="H1022" s="7" t="s">
        <v>3619</v>
      </c>
      <c r="I1022" s="7" t="s">
        <v>3645</v>
      </c>
      <c r="L1022" s="7" t="s">
        <v>64</v>
      </c>
      <c r="M1022" s="7" t="s">
        <v>9</v>
      </c>
      <c r="N1022" s="7" t="s">
        <v>56</v>
      </c>
      <c r="O1022" s="7" t="s">
        <v>2954</v>
      </c>
      <c r="P1022" s="7" t="s">
        <v>2955</v>
      </c>
      <c r="Q1022" s="7" t="s">
        <v>2956</v>
      </c>
      <c r="R1022" t="s">
        <v>3633</v>
      </c>
      <c r="T1022" s="22">
        <v>44819</v>
      </c>
    </row>
    <row r="1023" spans="1:20" x14ac:dyDescent="0.3">
      <c r="A1023" s="7" t="str">
        <f>HYPERLINK("https://hsdes.intel.com/resource/14013177804","14013177804")</f>
        <v>14013177804</v>
      </c>
      <c r="B1023" s="7" t="s">
        <v>2957</v>
      </c>
      <c r="C1023" s="7" t="s">
        <v>341</v>
      </c>
      <c r="D1023" s="7" t="s">
        <v>3612</v>
      </c>
      <c r="E1023" s="7" t="s">
        <v>3617</v>
      </c>
      <c r="F1023" s="8" t="s">
        <v>3628</v>
      </c>
      <c r="H1023" s="7" t="s">
        <v>3619</v>
      </c>
      <c r="I1023" s="7" t="s">
        <v>3622</v>
      </c>
      <c r="L1023" s="7" t="s">
        <v>64</v>
      </c>
      <c r="M1023" s="7" t="s">
        <v>94</v>
      </c>
      <c r="N1023" s="7" t="s">
        <v>56</v>
      </c>
      <c r="O1023" s="7" t="s">
        <v>2958</v>
      </c>
      <c r="P1023" s="7" t="s">
        <v>2959</v>
      </c>
      <c r="Q1023" s="7" t="s">
        <v>2960</v>
      </c>
      <c r="R1023" t="s">
        <v>3633</v>
      </c>
    </row>
    <row r="1024" spans="1:20" x14ac:dyDescent="0.3">
      <c r="A1024" s="7" t="str">
        <f>HYPERLINK("https://hsdes.intel.com/resource/14013177806","14013177806")</f>
        <v>14013177806</v>
      </c>
      <c r="B1024" s="7" t="s">
        <v>2961</v>
      </c>
      <c r="C1024" s="7" t="s">
        <v>341</v>
      </c>
      <c r="D1024" s="7" t="s">
        <v>3612</v>
      </c>
      <c r="E1024" s="7" t="s">
        <v>3617</v>
      </c>
      <c r="F1024" s="8" t="s">
        <v>3628</v>
      </c>
      <c r="H1024" s="7" t="s">
        <v>3619</v>
      </c>
      <c r="I1024" s="7" t="s">
        <v>3622</v>
      </c>
      <c r="L1024" s="7" t="s">
        <v>64</v>
      </c>
      <c r="M1024" s="7" t="s">
        <v>94</v>
      </c>
      <c r="N1024" s="7" t="s">
        <v>56</v>
      </c>
      <c r="O1024" s="7" t="s">
        <v>2958</v>
      </c>
      <c r="P1024" s="7" t="s">
        <v>2959</v>
      </c>
      <c r="Q1024" s="7" t="s">
        <v>2962</v>
      </c>
      <c r="R1024" t="s">
        <v>3633</v>
      </c>
    </row>
    <row r="1025" spans="1:20" x14ac:dyDescent="0.3">
      <c r="A1025" s="7" t="str">
        <f>HYPERLINK("https://hsdes.intel.com/resource/14013177808","14013177808")</f>
        <v>14013177808</v>
      </c>
      <c r="B1025" s="7" t="s">
        <v>2963</v>
      </c>
      <c r="C1025" s="7" t="s">
        <v>341</v>
      </c>
      <c r="D1025" s="7" t="s">
        <v>3612</v>
      </c>
      <c r="E1025" s="7" t="s">
        <v>3617</v>
      </c>
      <c r="F1025" s="8" t="s">
        <v>3628</v>
      </c>
      <c r="H1025" s="7" t="s">
        <v>3619</v>
      </c>
      <c r="I1025" s="7" t="s">
        <v>3622</v>
      </c>
      <c r="L1025" s="7" t="s">
        <v>64</v>
      </c>
      <c r="M1025" s="7" t="s">
        <v>94</v>
      </c>
      <c r="N1025" s="7" t="s">
        <v>56</v>
      </c>
      <c r="O1025" s="7" t="s">
        <v>2958</v>
      </c>
      <c r="P1025" s="7" t="s">
        <v>2959</v>
      </c>
      <c r="Q1025" s="7" t="s">
        <v>2964</v>
      </c>
      <c r="R1025" t="s">
        <v>3633</v>
      </c>
    </row>
    <row r="1026" spans="1:20" x14ac:dyDescent="0.3">
      <c r="A1026" s="7" t="str">
        <f>HYPERLINK("https://hsdes.intel.com/resource/14013177811","14013177811")</f>
        <v>14013177811</v>
      </c>
      <c r="B1026" s="7" t="s">
        <v>2965</v>
      </c>
      <c r="C1026" s="7" t="s">
        <v>341</v>
      </c>
      <c r="D1026" s="7" t="s">
        <v>3612</v>
      </c>
      <c r="E1026" s="7" t="s">
        <v>3617</v>
      </c>
      <c r="F1026" s="8" t="s">
        <v>3628</v>
      </c>
      <c r="H1026" s="7" t="s">
        <v>3619</v>
      </c>
      <c r="I1026" s="7" t="s">
        <v>3640</v>
      </c>
      <c r="L1026" s="7" t="s">
        <v>64</v>
      </c>
      <c r="M1026" s="7" t="s">
        <v>94</v>
      </c>
      <c r="N1026" s="7" t="s">
        <v>56</v>
      </c>
      <c r="O1026" s="7" t="s">
        <v>2958</v>
      </c>
      <c r="P1026" s="7" t="s">
        <v>2959</v>
      </c>
      <c r="Q1026" s="7" t="s">
        <v>2966</v>
      </c>
      <c r="R1026" t="s">
        <v>3633</v>
      </c>
    </row>
    <row r="1027" spans="1:20" x14ac:dyDescent="0.3">
      <c r="A1027" s="7" t="str">
        <f>HYPERLINK("https://hsdes.intel.com/resource/14013177813","14013177813")</f>
        <v>14013177813</v>
      </c>
      <c r="B1027" s="7" t="s">
        <v>2967</v>
      </c>
      <c r="C1027" s="7" t="s">
        <v>341</v>
      </c>
      <c r="D1027" s="7" t="s">
        <v>3612</v>
      </c>
      <c r="E1027" s="7" t="s">
        <v>3617</v>
      </c>
      <c r="F1027" s="8" t="s">
        <v>3628</v>
      </c>
      <c r="H1027" s="7" t="s">
        <v>3619</v>
      </c>
      <c r="I1027" s="7" t="s">
        <v>3622</v>
      </c>
      <c r="L1027" s="7" t="s">
        <v>64</v>
      </c>
      <c r="M1027" s="7" t="s">
        <v>94</v>
      </c>
      <c r="N1027" s="7" t="s">
        <v>56</v>
      </c>
      <c r="O1027" s="7" t="s">
        <v>2958</v>
      </c>
      <c r="P1027" s="7" t="s">
        <v>2959</v>
      </c>
      <c r="Q1027" s="7" t="s">
        <v>2968</v>
      </c>
      <c r="R1027" t="s">
        <v>3633</v>
      </c>
    </row>
    <row r="1028" spans="1:20" x14ac:dyDescent="0.3">
      <c r="A1028" s="7" t="str">
        <f>HYPERLINK("https://hsdes.intel.com/resource/14013177820","14013177820")</f>
        <v>14013177820</v>
      </c>
      <c r="B1028" s="7" t="s">
        <v>2969</v>
      </c>
      <c r="C1028" s="7" t="s">
        <v>341</v>
      </c>
      <c r="D1028" s="7" t="s">
        <v>3612</v>
      </c>
      <c r="E1028" s="7" t="s">
        <v>3617</v>
      </c>
      <c r="F1028" s="8" t="s">
        <v>3628</v>
      </c>
      <c r="H1028" s="7" t="s">
        <v>3619</v>
      </c>
      <c r="I1028" s="7" t="s">
        <v>3645</v>
      </c>
      <c r="L1028" s="7" t="s">
        <v>64</v>
      </c>
      <c r="M1028" s="7" t="s">
        <v>94</v>
      </c>
      <c r="N1028" s="7" t="s">
        <v>56</v>
      </c>
      <c r="O1028" s="7" t="s">
        <v>2970</v>
      </c>
      <c r="P1028" s="7" t="s">
        <v>2971</v>
      </c>
      <c r="Q1028" s="7" t="s">
        <v>2972</v>
      </c>
      <c r="R1028" t="s">
        <v>3633</v>
      </c>
      <c r="T1028" s="22">
        <v>44819</v>
      </c>
    </row>
    <row r="1029" spans="1:20" x14ac:dyDescent="0.3">
      <c r="A1029" s="7" t="str">
        <f>HYPERLINK("https://hsdes.intel.com/resource/14013177822","14013177822")</f>
        <v>14013177822</v>
      </c>
      <c r="B1029" s="7" t="s">
        <v>2973</v>
      </c>
      <c r="C1029" s="7" t="s">
        <v>341</v>
      </c>
      <c r="D1029" s="7" t="s">
        <v>3612</v>
      </c>
      <c r="E1029" s="7" t="s">
        <v>3617</v>
      </c>
      <c r="F1029" s="8" t="s">
        <v>3628</v>
      </c>
      <c r="H1029" s="7" t="s">
        <v>3619</v>
      </c>
      <c r="I1029" s="7" t="s">
        <v>3645</v>
      </c>
      <c r="L1029" s="7" t="s">
        <v>64</v>
      </c>
      <c r="M1029" s="7" t="s">
        <v>94</v>
      </c>
      <c r="N1029" s="7" t="s">
        <v>56</v>
      </c>
      <c r="O1029" s="7" t="s">
        <v>2974</v>
      </c>
      <c r="P1029" s="7" t="s">
        <v>2974</v>
      </c>
      <c r="Q1029" s="7" t="s">
        <v>2975</v>
      </c>
      <c r="R1029" t="s">
        <v>3633</v>
      </c>
      <c r="T1029" s="22">
        <v>44819</v>
      </c>
    </row>
    <row r="1030" spans="1:20" x14ac:dyDescent="0.3">
      <c r="A1030" s="7" t="str">
        <f>HYPERLINK("https://hsdes.intel.com/resource/14013177838","14013177838")</f>
        <v>14013177838</v>
      </c>
      <c r="B1030" s="7" t="s">
        <v>2976</v>
      </c>
      <c r="C1030" s="7" t="s">
        <v>341</v>
      </c>
      <c r="D1030" s="7" t="s">
        <v>3612</v>
      </c>
      <c r="E1030" s="7" t="s">
        <v>3617</v>
      </c>
      <c r="F1030" s="8" t="s">
        <v>3628</v>
      </c>
      <c r="H1030" s="7" t="s">
        <v>3619</v>
      </c>
      <c r="I1030" s="7" t="s">
        <v>3645</v>
      </c>
      <c r="L1030" s="7" t="s">
        <v>64</v>
      </c>
      <c r="M1030" s="7" t="s">
        <v>94</v>
      </c>
      <c r="N1030" s="7" t="s">
        <v>56</v>
      </c>
      <c r="O1030" s="7" t="s">
        <v>2970</v>
      </c>
      <c r="P1030" s="7" t="s">
        <v>2971</v>
      </c>
      <c r="Q1030" s="7" t="s">
        <v>2977</v>
      </c>
      <c r="R1030" t="s">
        <v>3633</v>
      </c>
      <c r="T1030" s="22">
        <v>44819</v>
      </c>
    </row>
    <row r="1031" spans="1:20" x14ac:dyDescent="0.3">
      <c r="A1031" s="7" t="str">
        <f>HYPERLINK("https://hsdes.intel.com/resource/14013177842","14013177842")</f>
        <v>14013177842</v>
      </c>
      <c r="B1031" s="7" t="s">
        <v>2978</v>
      </c>
      <c r="C1031" s="7" t="s">
        <v>341</v>
      </c>
      <c r="D1031" s="7" t="s">
        <v>3612</v>
      </c>
      <c r="E1031" s="7" t="s">
        <v>3617</v>
      </c>
      <c r="F1031" s="8" t="s">
        <v>3628</v>
      </c>
      <c r="H1031" s="7" t="s">
        <v>3619</v>
      </c>
      <c r="I1031" s="7" t="s">
        <v>3645</v>
      </c>
      <c r="L1031" s="7" t="s">
        <v>64</v>
      </c>
      <c r="M1031" s="7" t="s">
        <v>94</v>
      </c>
      <c r="N1031" s="7" t="s">
        <v>56</v>
      </c>
      <c r="O1031" s="7" t="s">
        <v>2974</v>
      </c>
      <c r="P1031" s="7" t="s">
        <v>2974</v>
      </c>
      <c r="Q1031" s="7" t="s">
        <v>2979</v>
      </c>
      <c r="R1031" t="s">
        <v>3632</v>
      </c>
      <c r="T1031" s="22">
        <v>44818</v>
      </c>
    </row>
    <row r="1032" spans="1:20" x14ac:dyDescent="0.3">
      <c r="A1032" s="7" t="str">
        <f>HYPERLINK("https://hsdes.intel.com/resource/14013177862","14013177862")</f>
        <v>14013177862</v>
      </c>
      <c r="B1032" s="7" t="s">
        <v>2980</v>
      </c>
      <c r="C1032" s="7" t="s">
        <v>55</v>
      </c>
      <c r="D1032" s="7" t="s">
        <v>3612</v>
      </c>
      <c r="E1032" s="7" t="s">
        <v>3617</v>
      </c>
      <c r="F1032" s="8" t="s">
        <v>3628</v>
      </c>
      <c r="H1032" s="7" t="s">
        <v>3619</v>
      </c>
      <c r="I1032" s="7" t="s">
        <v>3622</v>
      </c>
      <c r="L1032" s="7" t="s">
        <v>30</v>
      </c>
      <c r="M1032" s="7" t="s">
        <v>9</v>
      </c>
      <c r="N1032" s="7" t="s">
        <v>56</v>
      </c>
      <c r="O1032" s="7" t="s">
        <v>682</v>
      </c>
      <c r="P1032" s="7" t="s">
        <v>682</v>
      </c>
      <c r="Q1032" s="7" t="s">
        <v>2981</v>
      </c>
      <c r="R1032" t="s">
        <v>3632</v>
      </c>
    </row>
    <row r="1033" spans="1:20" x14ac:dyDescent="0.3">
      <c r="A1033" s="7" t="str">
        <f>HYPERLINK("https://hsdes.intel.com/resource/14013177873","14013177873")</f>
        <v>14013177873</v>
      </c>
      <c r="B1033" s="7" t="s">
        <v>2982</v>
      </c>
      <c r="C1033" s="7" t="s">
        <v>55</v>
      </c>
      <c r="D1033" s="7" t="s">
        <v>3612</v>
      </c>
      <c r="E1033" s="7" t="s">
        <v>3617</v>
      </c>
      <c r="F1033" s="8" t="s">
        <v>3628</v>
      </c>
      <c r="H1033" s="7" t="s">
        <v>3619</v>
      </c>
      <c r="I1033" s="7" t="s">
        <v>3622</v>
      </c>
      <c r="L1033" s="7" t="s">
        <v>30</v>
      </c>
      <c r="M1033" s="7" t="s">
        <v>9</v>
      </c>
      <c r="N1033" s="7" t="s">
        <v>56</v>
      </c>
      <c r="O1033" s="7" t="s">
        <v>548</v>
      </c>
      <c r="P1033" s="7" t="s">
        <v>548</v>
      </c>
      <c r="Q1033" s="7" t="s">
        <v>2983</v>
      </c>
      <c r="R1033" t="s">
        <v>3632</v>
      </c>
    </row>
    <row r="1034" spans="1:20" x14ac:dyDescent="0.3">
      <c r="A1034" s="7" t="str">
        <f>HYPERLINK("https://hsdes.intel.com/resource/14013177887","14013177887")</f>
        <v>14013177887</v>
      </c>
      <c r="B1034" s="7" t="s">
        <v>2984</v>
      </c>
      <c r="C1034" s="7" t="s">
        <v>2985</v>
      </c>
      <c r="D1034" s="7" t="s">
        <v>3612</v>
      </c>
      <c r="E1034" s="7" t="s">
        <v>3617</v>
      </c>
      <c r="F1034" s="8" t="s">
        <v>3628</v>
      </c>
      <c r="H1034" s="7" t="s">
        <v>3619</v>
      </c>
      <c r="I1034" s="7" t="s">
        <v>3622</v>
      </c>
      <c r="L1034" s="7" t="s">
        <v>142</v>
      </c>
      <c r="M1034" s="7" t="s">
        <v>9</v>
      </c>
      <c r="N1034" s="7" t="s">
        <v>39</v>
      </c>
      <c r="O1034" s="7" t="s">
        <v>709</v>
      </c>
      <c r="P1034" s="7" t="s">
        <v>709</v>
      </c>
      <c r="Q1034" s="7" t="s">
        <v>2986</v>
      </c>
      <c r="R1034" t="s">
        <v>3632</v>
      </c>
    </row>
    <row r="1035" spans="1:20" x14ac:dyDescent="0.3">
      <c r="A1035" s="7" t="str">
        <f>HYPERLINK("https://hsdes.intel.com/resource/14013177905","14013177905")</f>
        <v>14013177905</v>
      </c>
      <c r="B1035" s="7" t="s">
        <v>2987</v>
      </c>
      <c r="C1035" s="7" t="s">
        <v>341</v>
      </c>
      <c r="D1035" s="7" t="s">
        <v>3612</v>
      </c>
      <c r="E1035" s="7" t="s">
        <v>3617</v>
      </c>
      <c r="F1035" s="8" t="s">
        <v>3628</v>
      </c>
      <c r="H1035" s="7" t="s">
        <v>3619</v>
      </c>
      <c r="I1035" s="7" t="s">
        <v>3645</v>
      </c>
      <c r="L1035" s="7" t="s">
        <v>64</v>
      </c>
      <c r="M1035" s="7" t="s">
        <v>94</v>
      </c>
      <c r="N1035" s="7" t="s">
        <v>56</v>
      </c>
      <c r="O1035" s="7" t="s">
        <v>2988</v>
      </c>
      <c r="P1035" s="7" t="s">
        <v>2988</v>
      </c>
      <c r="Q1035" s="7" t="s">
        <v>2989</v>
      </c>
      <c r="R1035" t="s">
        <v>3632</v>
      </c>
      <c r="T1035" s="22">
        <v>44818</v>
      </c>
    </row>
    <row r="1036" spans="1:20" x14ac:dyDescent="0.3">
      <c r="A1036" s="7" t="str">
        <f>HYPERLINK("https://hsdes.intel.com/resource/14013177912","14013177912")</f>
        <v>14013177912</v>
      </c>
      <c r="B1036" s="7" t="s">
        <v>2990</v>
      </c>
      <c r="C1036" s="7" t="s">
        <v>112</v>
      </c>
      <c r="D1036" s="7" t="s">
        <v>3613</v>
      </c>
      <c r="E1036" s="7" t="s">
        <v>3617</v>
      </c>
      <c r="F1036" s="8" t="s">
        <v>3628</v>
      </c>
      <c r="H1036" s="7" t="s">
        <v>3619</v>
      </c>
      <c r="I1036" s="7" t="s">
        <v>3622</v>
      </c>
      <c r="L1036" s="7" t="s">
        <v>30</v>
      </c>
      <c r="M1036" s="7" t="s">
        <v>9</v>
      </c>
      <c r="N1036" s="7" t="s">
        <v>56</v>
      </c>
      <c r="O1036" s="7" t="s">
        <v>44</v>
      </c>
      <c r="P1036" s="7" t="s">
        <v>300</v>
      </c>
      <c r="Q1036" s="7" t="s">
        <v>2991</v>
      </c>
      <c r="R1036" t="s">
        <v>3633</v>
      </c>
    </row>
    <row r="1037" spans="1:20" x14ac:dyDescent="0.3">
      <c r="A1037" s="7" t="str">
        <f>HYPERLINK("https://hsdes.intel.com/resource/14013177951","14013177951")</f>
        <v>14013177951</v>
      </c>
      <c r="B1037" s="7" t="s">
        <v>2992</v>
      </c>
      <c r="C1037" s="7" t="s">
        <v>212</v>
      </c>
      <c r="D1037" s="7" t="s">
        <v>3612</v>
      </c>
      <c r="E1037" s="7" t="s">
        <v>3617</v>
      </c>
      <c r="F1037" s="8" t="s">
        <v>3628</v>
      </c>
      <c r="H1037" s="7" t="s">
        <v>3620</v>
      </c>
      <c r="I1037" s="7" t="s">
        <v>3654</v>
      </c>
      <c r="J1037" s="7" t="s">
        <v>3526</v>
      </c>
      <c r="L1037" s="7" t="s">
        <v>24</v>
      </c>
      <c r="M1037" s="7" t="s">
        <v>9</v>
      </c>
      <c r="N1037" s="7" t="s">
        <v>39</v>
      </c>
      <c r="O1037" s="7" t="s">
        <v>1772</v>
      </c>
      <c r="P1037" s="7" t="s">
        <v>1366</v>
      </c>
      <c r="Q1037" s="7" t="s">
        <v>2993</v>
      </c>
      <c r="R1037" t="s">
        <v>3633</v>
      </c>
    </row>
    <row r="1038" spans="1:20" x14ac:dyDescent="0.3">
      <c r="A1038" s="7" t="str">
        <f>HYPERLINK("https://hsdes.intel.com/resource/14013178016","14013178016")</f>
        <v>14013178016</v>
      </c>
      <c r="B1038" s="7" t="s">
        <v>2994</v>
      </c>
      <c r="C1038" s="7" t="s">
        <v>341</v>
      </c>
      <c r="D1038" s="7" t="s">
        <v>3612</v>
      </c>
      <c r="E1038" s="7" t="s">
        <v>3617</v>
      </c>
      <c r="F1038" s="8" t="s">
        <v>3628</v>
      </c>
      <c r="H1038" s="7" t="s">
        <v>3620</v>
      </c>
      <c r="I1038" s="7" t="s">
        <v>3645</v>
      </c>
      <c r="L1038" s="7" t="s">
        <v>64</v>
      </c>
      <c r="M1038" s="7" t="s">
        <v>94</v>
      </c>
      <c r="N1038" s="7" t="s">
        <v>56</v>
      </c>
      <c r="O1038" s="7" t="s">
        <v>2995</v>
      </c>
      <c r="P1038" s="7" t="s">
        <v>2995</v>
      </c>
      <c r="Q1038" s="7" t="s">
        <v>2996</v>
      </c>
      <c r="R1038" t="s">
        <v>3632</v>
      </c>
      <c r="T1038" s="22">
        <v>44818</v>
      </c>
    </row>
    <row r="1039" spans="1:20" x14ac:dyDescent="0.3">
      <c r="A1039" s="7" t="str">
        <f>HYPERLINK("https://hsdes.intel.com/resource/14013178034","14013178034")</f>
        <v>14013178034</v>
      </c>
      <c r="B1039" s="7" t="s">
        <v>2997</v>
      </c>
      <c r="C1039" s="7" t="s">
        <v>580</v>
      </c>
      <c r="D1039" s="7" t="s">
        <v>3612</v>
      </c>
      <c r="E1039" s="7" t="s">
        <v>3617</v>
      </c>
      <c r="F1039" s="8" t="s">
        <v>3628</v>
      </c>
      <c r="H1039" s="7" t="s">
        <v>3618</v>
      </c>
      <c r="J1039" s="7" t="s">
        <v>3545</v>
      </c>
      <c r="L1039" s="7" t="s">
        <v>8</v>
      </c>
      <c r="M1039" s="7" t="s">
        <v>9</v>
      </c>
      <c r="N1039" s="7" t="s">
        <v>56</v>
      </c>
      <c r="O1039" s="7" t="s">
        <v>639</v>
      </c>
      <c r="P1039" s="7" t="s">
        <v>639</v>
      </c>
      <c r="Q1039" s="7" t="s">
        <v>2998</v>
      </c>
      <c r="R1039" t="s">
        <v>3631</v>
      </c>
    </row>
    <row r="1040" spans="1:20" x14ac:dyDescent="0.3">
      <c r="A1040" s="7" t="str">
        <f>HYPERLINK("https://hsdes.intel.com/resource/14013178043","14013178043")</f>
        <v>14013178043</v>
      </c>
      <c r="B1040" s="7" t="s">
        <v>2999</v>
      </c>
      <c r="C1040" s="7" t="s">
        <v>161</v>
      </c>
      <c r="D1040" s="7" t="s">
        <v>3612</v>
      </c>
      <c r="E1040" s="7" t="s">
        <v>3617</v>
      </c>
      <c r="F1040" s="8" t="s">
        <v>3628</v>
      </c>
      <c r="H1040" s="7" t="s">
        <v>3618</v>
      </c>
      <c r="J1040" s="7" t="s">
        <v>3535</v>
      </c>
      <c r="L1040" s="7" t="s">
        <v>38</v>
      </c>
      <c r="M1040" s="7" t="s">
        <v>94</v>
      </c>
      <c r="N1040" s="7" t="s">
        <v>56</v>
      </c>
      <c r="O1040" s="7" t="s">
        <v>3000</v>
      </c>
      <c r="P1040" s="7" t="s">
        <v>3001</v>
      </c>
      <c r="Q1040" s="7" t="s">
        <v>3002</v>
      </c>
      <c r="R1040" t="s">
        <v>3631</v>
      </c>
    </row>
    <row r="1041" spans="1:20" x14ac:dyDescent="0.3">
      <c r="A1041" s="7" t="str">
        <f>HYPERLINK("https://hsdes.intel.com/resource/14013178072","14013178072")</f>
        <v>14013178072</v>
      </c>
      <c r="B1041" s="7" t="s">
        <v>3003</v>
      </c>
      <c r="C1041" s="7" t="s">
        <v>99</v>
      </c>
      <c r="D1041" s="7" t="s">
        <v>3612</v>
      </c>
      <c r="E1041" s="7" t="s">
        <v>3617</v>
      </c>
      <c r="F1041" s="8" t="s">
        <v>3628</v>
      </c>
      <c r="H1041" s="7" t="s">
        <v>3620</v>
      </c>
      <c r="I1041" s="7" t="s">
        <v>3634</v>
      </c>
      <c r="L1041" s="7" t="s">
        <v>100</v>
      </c>
      <c r="M1041" s="7" t="s">
        <v>94</v>
      </c>
      <c r="N1041" s="7" t="s">
        <v>56</v>
      </c>
      <c r="O1041" s="7" t="s">
        <v>1968</v>
      </c>
      <c r="P1041" s="7" t="s">
        <v>16</v>
      </c>
      <c r="Q1041" s="7" t="s">
        <v>3004</v>
      </c>
      <c r="R1041" t="s">
        <v>3632</v>
      </c>
    </row>
    <row r="1042" spans="1:20" x14ac:dyDescent="0.3">
      <c r="A1042" s="7" t="str">
        <f>HYPERLINK("https://hsdes.intel.com/resource/14013178162","14013178162")</f>
        <v>14013178162</v>
      </c>
      <c r="B1042" s="7" t="s">
        <v>3005</v>
      </c>
      <c r="C1042" s="7" t="s">
        <v>99</v>
      </c>
      <c r="D1042" s="7" t="s">
        <v>3612</v>
      </c>
      <c r="E1042" s="7" t="s">
        <v>3617</v>
      </c>
      <c r="F1042" s="8" t="s">
        <v>3628</v>
      </c>
      <c r="H1042" s="7" t="s">
        <v>3620</v>
      </c>
      <c r="I1042" s="7" t="s">
        <v>3645</v>
      </c>
      <c r="L1042" s="7" t="s">
        <v>100</v>
      </c>
      <c r="M1042" s="7" t="s">
        <v>94</v>
      </c>
      <c r="N1042" s="7" t="s">
        <v>56</v>
      </c>
      <c r="O1042" s="7" t="s">
        <v>2775</v>
      </c>
      <c r="P1042" s="7" t="s">
        <v>16</v>
      </c>
      <c r="Q1042" s="7" t="s">
        <v>3006</v>
      </c>
      <c r="R1042" t="s">
        <v>3632</v>
      </c>
      <c r="T1042" s="22">
        <v>44818</v>
      </c>
    </row>
    <row r="1043" spans="1:20" x14ac:dyDescent="0.3">
      <c r="A1043" s="7" t="str">
        <f>HYPERLINK("https://hsdes.intel.com/resource/14013178197","14013178197")</f>
        <v>14013178197</v>
      </c>
      <c r="B1043" s="7" t="s">
        <v>3007</v>
      </c>
      <c r="C1043" s="7" t="s">
        <v>55</v>
      </c>
      <c r="D1043" s="7" t="s">
        <v>3613</v>
      </c>
      <c r="E1043" s="7" t="s">
        <v>3617</v>
      </c>
      <c r="F1043" s="8" t="s">
        <v>3628</v>
      </c>
      <c r="H1043" s="7" t="s">
        <v>3619</v>
      </c>
      <c r="I1043" s="7" t="s">
        <v>3622</v>
      </c>
      <c r="L1043" s="7" t="s">
        <v>30</v>
      </c>
      <c r="M1043" s="7" t="s">
        <v>94</v>
      </c>
      <c r="N1043" s="7" t="s">
        <v>122</v>
      </c>
      <c r="O1043" s="7" t="s">
        <v>3008</v>
      </c>
      <c r="P1043" s="7" t="s">
        <v>3009</v>
      </c>
      <c r="Q1043" s="7" t="s">
        <v>3010</v>
      </c>
      <c r="R1043" t="s">
        <v>3632</v>
      </c>
    </row>
    <row r="1044" spans="1:20" x14ac:dyDescent="0.3">
      <c r="A1044" s="7" t="str">
        <f>HYPERLINK("https://hsdes.intel.com/resource/14013178206","14013178206")</f>
        <v>14013178206</v>
      </c>
      <c r="B1044" s="7" t="s">
        <v>3011</v>
      </c>
      <c r="C1044" s="7" t="s">
        <v>55</v>
      </c>
      <c r="D1044" s="7" t="s">
        <v>3613</v>
      </c>
      <c r="E1044" s="7" t="s">
        <v>3617</v>
      </c>
      <c r="F1044" s="8" t="s">
        <v>3628</v>
      </c>
      <c r="H1044" s="7" t="s">
        <v>3619</v>
      </c>
      <c r="I1044" s="7" t="s">
        <v>3622</v>
      </c>
      <c r="L1044" s="7" t="s">
        <v>30</v>
      </c>
      <c r="M1044" s="7" t="s">
        <v>94</v>
      </c>
      <c r="N1044" s="7" t="s">
        <v>122</v>
      </c>
      <c r="O1044" s="7" t="s">
        <v>3008</v>
      </c>
      <c r="P1044" s="7" t="s">
        <v>3009</v>
      </c>
      <c r="Q1044" s="7" t="s">
        <v>3012</v>
      </c>
      <c r="R1044" t="s">
        <v>3632</v>
      </c>
    </row>
    <row r="1045" spans="1:20" x14ac:dyDescent="0.3">
      <c r="A1045" s="7" t="str">
        <f>HYPERLINK("https://hsdes.intel.com/resource/14013178209","14013178209")</f>
        <v>14013178209</v>
      </c>
      <c r="B1045" s="7" t="s">
        <v>3013</v>
      </c>
      <c r="C1045" s="7" t="s">
        <v>55</v>
      </c>
      <c r="D1045" s="7" t="s">
        <v>3613</v>
      </c>
      <c r="E1045" s="7" t="s">
        <v>3617</v>
      </c>
      <c r="F1045" s="8" t="s">
        <v>3628</v>
      </c>
      <c r="H1045" s="7" t="s">
        <v>3619</v>
      </c>
      <c r="I1045" s="7" t="s">
        <v>3622</v>
      </c>
      <c r="L1045" s="7" t="s">
        <v>30</v>
      </c>
      <c r="M1045" s="7" t="s">
        <v>94</v>
      </c>
      <c r="N1045" s="7" t="s">
        <v>122</v>
      </c>
      <c r="O1045" s="7" t="s">
        <v>3008</v>
      </c>
      <c r="P1045" s="7" t="s">
        <v>3009</v>
      </c>
      <c r="Q1045" s="7" t="s">
        <v>3014</v>
      </c>
      <c r="R1045" t="s">
        <v>3631</v>
      </c>
    </row>
    <row r="1046" spans="1:20" x14ac:dyDescent="0.3">
      <c r="A1046" s="7" t="str">
        <f>HYPERLINK("https://hsdes.intel.com/resource/14013178238","14013178238")</f>
        <v>14013178238</v>
      </c>
      <c r="B1046" s="7" t="s">
        <v>3015</v>
      </c>
      <c r="C1046" s="7" t="s">
        <v>55</v>
      </c>
      <c r="D1046" s="7" t="s">
        <v>3612</v>
      </c>
      <c r="E1046" s="7" t="s">
        <v>3617</v>
      </c>
      <c r="F1046" s="8" t="s">
        <v>3628</v>
      </c>
      <c r="H1046" s="7" t="s">
        <v>3619</v>
      </c>
      <c r="I1046" s="7" t="s">
        <v>3622</v>
      </c>
      <c r="L1046" s="7" t="s">
        <v>30</v>
      </c>
      <c r="M1046" s="7" t="s">
        <v>9</v>
      </c>
      <c r="N1046" s="7" t="s">
        <v>56</v>
      </c>
      <c r="O1046" s="7" t="s">
        <v>3016</v>
      </c>
      <c r="P1046" s="7" t="s">
        <v>853</v>
      </c>
      <c r="Q1046" s="7" t="s">
        <v>3017</v>
      </c>
      <c r="R1046" t="s">
        <v>3631</v>
      </c>
    </row>
    <row r="1047" spans="1:20" x14ac:dyDescent="0.3">
      <c r="A1047" s="7" t="str">
        <f>HYPERLINK("https://hsdes.intel.com/resource/14013178242","14013178242")</f>
        <v>14013178242</v>
      </c>
      <c r="B1047" s="7" t="s">
        <v>3018</v>
      </c>
      <c r="C1047" s="7" t="s">
        <v>3019</v>
      </c>
      <c r="D1047" s="7" t="s">
        <v>3612</v>
      </c>
      <c r="E1047" s="7" t="s">
        <v>3617</v>
      </c>
      <c r="F1047" s="8" t="s">
        <v>3628</v>
      </c>
      <c r="H1047" s="7" t="s">
        <v>3619</v>
      </c>
      <c r="I1047" s="7" t="s">
        <v>3622</v>
      </c>
      <c r="L1047" s="7" t="s">
        <v>30</v>
      </c>
      <c r="M1047" s="7" t="s">
        <v>94</v>
      </c>
      <c r="N1047" s="7" t="s">
        <v>56</v>
      </c>
      <c r="O1047" s="7" t="s">
        <v>3020</v>
      </c>
      <c r="P1047" s="7" t="s">
        <v>3021</v>
      </c>
      <c r="Q1047" s="7" t="s">
        <v>3022</v>
      </c>
      <c r="R1047" t="s">
        <v>3632</v>
      </c>
    </row>
    <row r="1048" spans="1:20" x14ac:dyDescent="0.3">
      <c r="A1048" s="7" t="str">
        <f>HYPERLINK("https://hsdes.intel.com/resource/14013178267","14013178267")</f>
        <v>14013178267</v>
      </c>
      <c r="B1048" s="7" t="s">
        <v>3023</v>
      </c>
      <c r="C1048" s="7" t="s">
        <v>112</v>
      </c>
      <c r="D1048" s="7" t="s">
        <v>3613</v>
      </c>
      <c r="E1048" s="7" t="s">
        <v>3617</v>
      </c>
      <c r="F1048" s="8" t="s">
        <v>3628</v>
      </c>
      <c r="H1048" s="7" t="s">
        <v>3619</v>
      </c>
      <c r="I1048" s="7" t="s">
        <v>3622</v>
      </c>
      <c r="L1048" s="7" t="s">
        <v>30</v>
      </c>
      <c r="M1048" s="7" t="s">
        <v>94</v>
      </c>
      <c r="N1048" s="7" t="s">
        <v>56</v>
      </c>
      <c r="O1048" s="7" t="s">
        <v>3024</v>
      </c>
      <c r="P1048" s="7" t="s">
        <v>3025</v>
      </c>
      <c r="Q1048" s="7" t="s">
        <v>3026</v>
      </c>
      <c r="R1048" t="s">
        <v>3632</v>
      </c>
    </row>
    <row r="1049" spans="1:20" x14ac:dyDescent="0.3">
      <c r="A1049" s="7" t="str">
        <f>HYPERLINK("https://hsdes.intel.com/resource/14013178278","14013178278")</f>
        <v>14013178278</v>
      </c>
      <c r="B1049" s="7" t="s">
        <v>3027</v>
      </c>
      <c r="C1049" s="7" t="s">
        <v>112</v>
      </c>
      <c r="D1049" s="7" t="s">
        <v>3612</v>
      </c>
      <c r="E1049" s="7" t="s">
        <v>3617</v>
      </c>
      <c r="F1049" s="8" t="s">
        <v>3628</v>
      </c>
      <c r="H1049" s="7" t="s">
        <v>3619</v>
      </c>
      <c r="I1049" s="7" t="s">
        <v>3643</v>
      </c>
      <c r="L1049" s="7" t="s">
        <v>30</v>
      </c>
      <c r="M1049" s="7" t="s">
        <v>9</v>
      </c>
      <c r="N1049" s="7" t="s">
        <v>226</v>
      </c>
      <c r="O1049" s="7" t="s">
        <v>2763</v>
      </c>
      <c r="P1049" s="7" t="s">
        <v>2671</v>
      </c>
      <c r="Q1049" s="7" t="s">
        <v>3028</v>
      </c>
      <c r="R1049" t="s">
        <v>3632</v>
      </c>
    </row>
    <row r="1050" spans="1:20" x14ac:dyDescent="0.3">
      <c r="A1050" s="7" t="str">
        <f>HYPERLINK("https://hsdes.intel.com/resource/14013178302","14013178302")</f>
        <v>14013178302</v>
      </c>
      <c r="B1050" s="7" t="s">
        <v>3029</v>
      </c>
      <c r="C1050" s="7" t="s">
        <v>112</v>
      </c>
      <c r="D1050" s="7" t="s">
        <v>3612</v>
      </c>
      <c r="E1050" s="7" t="s">
        <v>3617</v>
      </c>
      <c r="F1050" s="8" t="s">
        <v>3628</v>
      </c>
      <c r="H1050" s="7" t="s">
        <v>3619</v>
      </c>
      <c r="I1050" s="7" t="s">
        <v>3622</v>
      </c>
      <c r="L1050" s="7" t="s">
        <v>30</v>
      </c>
      <c r="M1050" s="7" t="s">
        <v>9</v>
      </c>
      <c r="N1050" s="7" t="s">
        <v>3030</v>
      </c>
      <c r="O1050" s="7" t="s">
        <v>3031</v>
      </c>
      <c r="P1050" s="7" t="s">
        <v>3032</v>
      </c>
      <c r="Q1050" s="7" t="s">
        <v>3033</v>
      </c>
      <c r="R1050" t="s">
        <v>3632</v>
      </c>
    </row>
    <row r="1051" spans="1:20" x14ac:dyDescent="0.3">
      <c r="A1051" s="7" t="str">
        <f>HYPERLINK("https://hsdes.intel.com/resource/14013178315","14013178315")</f>
        <v>14013178315</v>
      </c>
      <c r="B1051" s="7" t="s">
        <v>3034</v>
      </c>
      <c r="C1051" s="7" t="s">
        <v>23</v>
      </c>
      <c r="D1051" s="7" t="s">
        <v>3612</v>
      </c>
      <c r="E1051" s="7" t="s">
        <v>3617</v>
      </c>
      <c r="F1051" s="8" t="s">
        <v>3628</v>
      </c>
      <c r="H1051" s="7" t="s">
        <v>3619</v>
      </c>
      <c r="I1051" s="7" t="s">
        <v>3640</v>
      </c>
      <c r="L1051" s="7" t="s">
        <v>142</v>
      </c>
      <c r="M1051" s="7" t="s">
        <v>94</v>
      </c>
      <c r="N1051" s="7" t="s">
        <v>39</v>
      </c>
      <c r="O1051" s="7" t="s">
        <v>217</v>
      </c>
      <c r="P1051" s="7" t="s">
        <v>3035</v>
      </c>
      <c r="Q1051" s="7" t="s">
        <v>3036</v>
      </c>
      <c r="R1051" t="s">
        <v>3632</v>
      </c>
    </row>
    <row r="1052" spans="1:20" x14ac:dyDescent="0.3">
      <c r="A1052" s="7" t="str">
        <f>HYPERLINK("https://hsdes.intel.com/resource/14013178333","14013178333")</f>
        <v>14013178333</v>
      </c>
      <c r="B1052" s="7" t="s">
        <v>3037</v>
      </c>
      <c r="C1052" s="7" t="s">
        <v>121</v>
      </c>
      <c r="D1052" s="7" t="s">
        <v>3612</v>
      </c>
      <c r="E1052" s="7" t="s">
        <v>3617</v>
      </c>
      <c r="F1052" s="8" t="s">
        <v>3628</v>
      </c>
      <c r="H1052" s="7" t="s">
        <v>3620</v>
      </c>
      <c r="I1052" s="7" t="s">
        <v>3645</v>
      </c>
      <c r="L1052" s="7" t="s">
        <v>142</v>
      </c>
      <c r="M1052" s="7" t="s">
        <v>9</v>
      </c>
      <c r="N1052" s="7" t="s">
        <v>3038</v>
      </c>
      <c r="O1052" s="7" t="s">
        <v>2455</v>
      </c>
      <c r="P1052" s="7" t="s">
        <v>2455</v>
      </c>
      <c r="Q1052" s="7" t="s">
        <v>3039</v>
      </c>
      <c r="R1052" t="s">
        <v>3631</v>
      </c>
      <c r="T1052" s="22">
        <v>44818</v>
      </c>
    </row>
    <row r="1053" spans="1:20" x14ac:dyDescent="0.3">
      <c r="A1053" s="7" t="str">
        <f>HYPERLINK("https://hsdes.intel.com/resource/14013178349","14013178349")</f>
        <v>14013178349</v>
      </c>
      <c r="B1053" s="7" t="s">
        <v>3040</v>
      </c>
      <c r="C1053" s="7" t="s">
        <v>121</v>
      </c>
      <c r="D1053" s="7" t="s">
        <v>3612</v>
      </c>
      <c r="E1053" s="7" t="s">
        <v>3617</v>
      </c>
      <c r="F1053" s="8" t="s">
        <v>3628</v>
      </c>
      <c r="H1053" s="7" t="s">
        <v>3620</v>
      </c>
      <c r="I1053" s="7" t="s">
        <v>3645</v>
      </c>
      <c r="L1053" s="7" t="s">
        <v>142</v>
      </c>
      <c r="M1053" s="7" t="s">
        <v>9</v>
      </c>
      <c r="N1053" s="7" t="s">
        <v>3038</v>
      </c>
      <c r="O1053" s="7" t="s">
        <v>2455</v>
      </c>
      <c r="P1053" s="7" t="s">
        <v>2460</v>
      </c>
      <c r="Q1053" s="7" t="s">
        <v>3041</v>
      </c>
      <c r="R1053" t="s">
        <v>3632</v>
      </c>
      <c r="T1053" s="22">
        <v>44818</v>
      </c>
    </row>
    <row r="1054" spans="1:20" x14ac:dyDescent="0.3">
      <c r="A1054" s="7" t="str">
        <f>HYPERLINK("https://hsdes.intel.com/resource/14013178354","14013178354")</f>
        <v>14013178354</v>
      </c>
      <c r="B1054" s="7" t="s">
        <v>3042</v>
      </c>
      <c r="C1054" s="7" t="s">
        <v>121</v>
      </c>
      <c r="D1054" s="7" t="s">
        <v>3613</v>
      </c>
      <c r="E1054" s="7" t="s">
        <v>3617</v>
      </c>
      <c r="F1054" s="8" t="s">
        <v>3628</v>
      </c>
      <c r="H1054" s="7" t="s">
        <v>3620</v>
      </c>
      <c r="I1054" s="7" t="s">
        <v>3645</v>
      </c>
      <c r="L1054" s="7" t="s">
        <v>30</v>
      </c>
      <c r="M1054" s="7" t="s">
        <v>94</v>
      </c>
      <c r="N1054" s="7" t="s">
        <v>39</v>
      </c>
      <c r="O1054" s="7" t="s">
        <v>3043</v>
      </c>
      <c r="P1054" s="7" t="s">
        <v>45</v>
      </c>
      <c r="Q1054" s="7" t="s">
        <v>3044</v>
      </c>
      <c r="R1054" t="s">
        <v>3631</v>
      </c>
      <c r="T1054" s="22">
        <v>44818</v>
      </c>
    </row>
    <row r="1055" spans="1:20" x14ac:dyDescent="0.3">
      <c r="A1055" s="7" t="str">
        <f>HYPERLINK("https://hsdes.intel.com/resource/14013178355","14013178355")</f>
        <v>14013178355</v>
      </c>
      <c r="B1055" s="7" t="s">
        <v>3045</v>
      </c>
      <c r="C1055" s="7" t="s">
        <v>121</v>
      </c>
      <c r="D1055" s="7" t="s">
        <v>3612</v>
      </c>
      <c r="E1055" s="7" t="s">
        <v>3617</v>
      </c>
      <c r="F1055" s="8" t="s">
        <v>3628</v>
      </c>
      <c r="H1055" s="7" t="s">
        <v>3620</v>
      </c>
      <c r="I1055" s="7" t="s">
        <v>3645</v>
      </c>
      <c r="L1055" s="7" t="s">
        <v>142</v>
      </c>
      <c r="M1055" s="7" t="s">
        <v>9</v>
      </c>
      <c r="N1055" s="7" t="s">
        <v>3038</v>
      </c>
      <c r="O1055" s="7" t="s">
        <v>2455</v>
      </c>
      <c r="P1055" s="7" t="s">
        <v>2460</v>
      </c>
      <c r="Q1055" s="7" t="s">
        <v>3046</v>
      </c>
      <c r="R1055" t="s">
        <v>3631</v>
      </c>
      <c r="T1055" s="22">
        <v>44818</v>
      </c>
    </row>
    <row r="1056" spans="1:20" x14ac:dyDescent="0.3">
      <c r="A1056" s="7" t="str">
        <f>HYPERLINK("https://hsdes.intel.com/resource/14013178358","14013178358")</f>
        <v>14013178358</v>
      </c>
      <c r="B1056" s="7" t="s">
        <v>3047</v>
      </c>
      <c r="C1056" s="7" t="s">
        <v>121</v>
      </c>
      <c r="D1056" s="7" t="s">
        <v>3612</v>
      </c>
      <c r="E1056" s="7" t="s">
        <v>3617</v>
      </c>
      <c r="F1056" s="8" t="s">
        <v>3628</v>
      </c>
      <c r="H1056" s="7" t="s">
        <v>3620</v>
      </c>
      <c r="I1056" s="7" t="s">
        <v>3645</v>
      </c>
      <c r="L1056" s="7" t="s">
        <v>142</v>
      </c>
      <c r="M1056" s="7" t="s">
        <v>9</v>
      </c>
      <c r="N1056" s="7" t="s">
        <v>3038</v>
      </c>
      <c r="O1056" s="7" t="s">
        <v>2455</v>
      </c>
      <c r="P1056" s="7" t="s">
        <v>2460</v>
      </c>
      <c r="Q1056" s="7" t="s">
        <v>3048</v>
      </c>
      <c r="R1056" t="s">
        <v>3632</v>
      </c>
      <c r="T1056" s="22">
        <v>44818</v>
      </c>
    </row>
    <row r="1057" spans="1:20" x14ac:dyDescent="0.3">
      <c r="A1057" s="7" t="str">
        <f>HYPERLINK("https://hsdes.intel.com/resource/14013178394","14013178394")</f>
        <v>14013178394</v>
      </c>
      <c r="B1057" s="7" t="s">
        <v>3049</v>
      </c>
      <c r="C1057" s="7" t="s">
        <v>121</v>
      </c>
      <c r="D1057" s="7" t="s">
        <v>3612</v>
      </c>
      <c r="E1057" s="7" t="s">
        <v>3617</v>
      </c>
      <c r="F1057" s="8" t="s">
        <v>3628</v>
      </c>
      <c r="H1057" s="7" t="s">
        <v>3620</v>
      </c>
      <c r="I1057" s="7" t="s">
        <v>3645</v>
      </c>
      <c r="L1057" s="7" t="s">
        <v>30</v>
      </c>
      <c r="M1057" s="7" t="s">
        <v>94</v>
      </c>
      <c r="N1057" s="7" t="s">
        <v>122</v>
      </c>
      <c r="O1057" s="7" t="s">
        <v>3050</v>
      </c>
      <c r="P1057" s="7" t="s">
        <v>3051</v>
      </c>
      <c r="Q1057" s="7" t="s">
        <v>3052</v>
      </c>
      <c r="R1057" t="s">
        <v>3632</v>
      </c>
      <c r="T1057" s="22">
        <v>44818</v>
      </c>
    </row>
    <row r="1058" spans="1:20" x14ac:dyDescent="0.3">
      <c r="A1058" s="7" t="str">
        <f>HYPERLINK("https://hsdes.intel.com/resource/14013178491","14013178491")</f>
        <v>14013178491</v>
      </c>
      <c r="B1058" s="7" t="s">
        <v>3053</v>
      </c>
      <c r="C1058" s="7" t="s">
        <v>341</v>
      </c>
      <c r="D1058" s="7" t="s">
        <v>3612</v>
      </c>
      <c r="E1058" s="7" t="s">
        <v>3617</v>
      </c>
      <c r="F1058" s="8" t="s">
        <v>3628</v>
      </c>
      <c r="H1058" s="7" t="s">
        <v>3620</v>
      </c>
      <c r="I1058" s="7" t="s">
        <v>3634</v>
      </c>
      <c r="L1058" s="7" t="s">
        <v>64</v>
      </c>
      <c r="M1058" s="7" t="s">
        <v>9</v>
      </c>
      <c r="N1058" s="7" t="s">
        <v>25</v>
      </c>
      <c r="O1058" s="7" t="s">
        <v>3054</v>
      </c>
      <c r="P1058" s="7" t="s">
        <v>3055</v>
      </c>
      <c r="Q1058" s="7" t="s">
        <v>3056</v>
      </c>
      <c r="R1058" t="s">
        <v>3633</v>
      </c>
    </row>
    <row r="1059" spans="1:20" x14ac:dyDescent="0.3">
      <c r="A1059" s="7" t="str">
        <f>HYPERLINK("https://hsdes.intel.com/resource/14013178746","14013178746")</f>
        <v>14013178746</v>
      </c>
      <c r="B1059" s="7" t="s">
        <v>3057</v>
      </c>
      <c r="C1059" s="7" t="s">
        <v>341</v>
      </c>
      <c r="D1059" s="7" t="s">
        <v>3612</v>
      </c>
      <c r="E1059" s="7" t="s">
        <v>3617</v>
      </c>
      <c r="F1059" s="8" t="s">
        <v>3628</v>
      </c>
      <c r="H1059" s="7" t="s">
        <v>3620</v>
      </c>
      <c r="I1059" s="7" t="s">
        <v>3622</v>
      </c>
      <c r="L1059" s="7" t="s">
        <v>64</v>
      </c>
      <c r="M1059" s="7" t="s">
        <v>94</v>
      </c>
      <c r="N1059" s="7" t="s">
        <v>56</v>
      </c>
      <c r="O1059" s="7" t="s">
        <v>3058</v>
      </c>
      <c r="P1059" s="7" t="s">
        <v>3059</v>
      </c>
      <c r="Q1059" s="7" t="s">
        <v>3060</v>
      </c>
      <c r="R1059" t="s">
        <v>3633</v>
      </c>
    </row>
    <row r="1060" spans="1:20" x14ac:dyDescent="0.3">
      <c r="A1060" s="7" t="str">
        <f>HYPERLINK("https://hsdes.intel.com/resource/14013178749","14013178749")</f>
        <v>14013178749</v>
      </c>
      <c r="B1060" s="7" t="s">
        <v>3061</v>
      </c>
      <c r="C1060" s="7" t="s">
        <v>341</v>
      </c>
      <c r="D1060" s="7" t="s">
        <v>3612</v>
      </c>
      <c r="E1060" s="7" t="s">
        <v>3617</v>
      </c>
      <c r="F1060" s="8" t="s">
        <v>3628</v>
      </c>
      <c r="H1060" s="7" t="s">
        <v>3620</v>
      </c>
      <c r="I1060" s="7" t="s">
        <v>3622</v>
      </c>
      <c r="L1060" s="7" t="s">
        <v>64</v>
      </c>
      <c r="M1060" s="7" t="s">
        <v>94</v>
      </c>
      <c r="N1060" s="7" t="s">
        <v>56</v>
      </c>
      <c r="O1060" s="7" t="s">
        <v>3058</v>
      </c>
      <c r="P1060" s="7" t="s">
        <v>3059</v>
      </c>
      <c r="Q1060" s="7" t="s">
        <v>3062</v>
      </c>
      <c r="R1060" t="s">
        <v>3633</v>
      </c>
    </row>
    <row r="1061" spans="1:20" x14ac:dyDescent="0.3">
      <c r="A1061" s="7" t="str">
        <f>HYPERLINK("https://hsdes.intel.com/resource/14013178755","14013178755")</f>
        <v>14013178755</v>
      </c>
      <c r="B1061" s="7" t="s">
        <v>3063</v>
      </c>
      <c r="C1061" s="7" t="s">
        <v>341</v>
      </c>
      <c r="D1061" s="7" t="s">
        <v>3612</v>
      </c>
      <c r="E1061" s="7" t="s">
        <v>3617</v>
      </c>
      <c r="F1061" s="8" t="s">
        <v>3628</v>
      </c>
      <c r="H1061" s="7" t="s">
        <v>3620</v>
      </c>
      <c r="I1061" s="7" t="s">
        <v>3622</v>
      </c>
      <c r="L1061" s="7" t="s">
        <v>64</v>
      </c>
      <c r="M1061" s="7" t="s">
        <v>94</v>
      </c>
      <c r="N1061" s="7" t="s">
        <v>56</v>
      </c>
      <c r="O1061" s="7" t="s">
        <v>3058</v>
      </c>
      <c r="P1061" s="7" t="s">
        <v>3059</v>
      </c>
      <c r="Q1061" s="7" t="s">
        <v>3064</v>
      </c>
      <c r="R1061" t="s">
        <v>3633</v>
      </c>
    </row>
    <row r="1062" spans="1:20" x14ac:dyDescent="0.3">
      <c r="A1062" s="7" t="str">
        <f>HYPERLINK("https://hsdes.intel.com/resource/14013178760","14013178760")</f>
        <v>14013178760</v>
      </c>
      <c r="B1062" s="7" t="s">
        <v>3065</v>
      </c>
      <c r="C1062" s="7" t="s">
        <v>341</v>
      </c>
      <c r="D1062" s="7" t="s">
        <v>3612</v>
      </c>
      <c r="E1062" s="7" t="s">
        <v>3617</v>
      </c>
      <c r="F1062" s="8" t="s">
        <v>3628</v>
      </c>
      <c r="H1062" s="7" t="s">
        <v>3618</v>
      </c>
      <c r="J1062" s="7" t="s">
        <v>3585</v>
      </c>
      <c r="L1062" s="7" t="s">
        <v>64</v>
      </c>
      <c r="M1062" s="7" t="s">
        <v>9</v>
      </c>
      <c r="N1062" s="7" t="s">
        <v>56</v>
      </c>
      <c r="O1062" s="7" t="s">
        <v>3066</v>
      </c>
      <c r="P1062" s="7" t="s">
        <v>3067</v>
      </c>
      <c r="Q1062" s="7" t="s">
        <v>3068</v>
      </c>
      <c r="R1062" t="s">
        <v>3633</v>
      </c>
    </row>
    <row r="1063" spans="1:20" ht="15.6" x14ac:dyDescent="0.3">
      <c r="A1063" s="7" t="str">
        <f>HYPERLINK("https://hsdes.intel.com/resource/14013178799","14013178799")</f>
        <v>14013178799</v>
      </c>
      <c r="B1063" s="7" t="s">
        <v>3069</v>
      </c>
      <c r="C1063" s="7" t="s">
        <v>341</v>
      </c>
      <c r="D1063" s="7" t="s">
        <v>3612</v>
      </c>
      <c r="E1063" s="7" t="s">
        <v>3617</v>
      </c>
      <c r="F1063" s="8" t="s">
        <v>3628</v>
      </c>
      <c r="H1063" s="7" t="s">
        <v>3620</v>
      </c>
      <c r="I1063" s="7" t="s">
        <v>3622</v>
      </c>
      <c r="J1063" s="13" t="s">
        <v>3586</v>
      </c>
      <c r="L1063" s="7" t="s">
        <v>64</v>
      </c>
      <c r="M1063" s="7" t="s">
        <v>94</v>
      </c>
      <c r="N1063" s="7" t="s">
        <v>56</v>
      </c>
      <c r="O1063" s="7" t="s">
        <v>3070</v>
      </c>
      <c r="P1063" s="7" t="s">
        <v>3071</v>
      </c>
      <c r="Q1063" s="7" t="s">
        <v>3072</v>
      </c>
      <c r="R1063" t="s">
        <v>3633</v>
      </c>
    </row>
    <row r="1064" spans="1:20" x14ac:dyDescent="0.3">
      <c r="A1064" s="7" t="str">
        <f>HYPERLINK("https://hsdes.intel.com/resource/14013178831","14013178831")</f>
        <v>14013178831</v>
      </c>
      <c r="B1064" s="7" t="s">
        <v>3073</v>
      </c>
      <c r="C1064" s="7" t="s">
        <v>341</v>
      </c>
      <c r="D1064" s="7" t="s">
        <v>3612</v>
      </c>
      <c r="E1064" s="7" t="s">
        <v>3617</v>
      </c>
      <c r="F1064" s="8" t="s">
        <v>3628</v>
      </c>
      <c r="H1064" s="7" t="s">
        <v>3618</v>
      </c>
      <c r="J1064" s="7" t="s">
        <v>3585</v>
      </c>
      <c r="L1064" s="7" t="s">
        <v>64</v>
      </c>
      <c r="M1064" s="7" t="s">
        <v>9</v>
      </c>
      <c r="N1064" s="7" t="s">
        <v>56</v>
      </c>
      <c r="O1064" s="7" t="s">
        <v>3066</v>
      </c>
      <c r="P1064" s="7" t="s">
        <v>3074</v>
      </c>
      <c r="Q1064" s="7" t="s">
        <v>3075</v>
      </c>
      <c r="R1064" t="s">
        <v>3633</v>
      </c>
    </row>
    <row r="1065" spans="1:20" x14ac:dyDescent="0.3">
      <c r="A1065" s="7" t="str">
        <f>HYPERLINK("https://hsdes.intel.com/resource/14013178866","14013178866")</f>
        <v>14013178866</v>
      </c>
      <c r="B1065" s="7" t="s">
        <v>3076</v>
      </c>
      <c r="C1065" s="7" t="s">
        <v>341</v>
      </c>
      <c r="D1065" s="7" t="s">
        <v>3612</v>
      </c>
      <c r="E1065" s="7" t="s">
        <v>3617</v>
      </c>
      <c r="F1065" s="8" t="s">
        <v>3628</v>
      </c>
      <c r="H1065" s="7" t="s">
        <v>3620</v>
      </c>
      <c r="I1065" s="7" t="s">
        <v>3645</v>
      </c>
      <c r="L1065" s="7" t="s">
        <v>64</v>
      </c>
      <c r="M1065" s="7" t="s">
        <v>94</v>
      </c>
      <c r="N1065" s="7" t="s">
        <v>56</v>
      </c>
      <c r="O1065" s="7" t="s">
        <v>3077</v>
      </c>
      <c r="P1065" s="7" t="s">
        <v>3078</v>
      </c>
      <c r="Q1065" s="7" t="s">
        <v>3079</v>
      </c>
      <c r="R1065" t="s">
        <v>3632</v>
      </c>
      <c r="T1065" s="22">
        <v>44818</v>
      </c>
    </row>
    <row r="1066" spans="1:20" x14ac:dyDescent="0.3">
      <c r="A1066" s="7" t="str">
        <f>HYPERLINK("https://hsdes.intel.com/resource/14013178883","14013178883")</f>
        <v>14013178883</v>
      </c>
      <c r="B1066" s="7" t="s">
        <v>3080</v>
      </c>
      <c r="C1066" s="7" t="s">
        <v>112</v>
      </c>
      <c r="D1066" s="7" t="s">
        <v>3613</v>
      </c>
      <c r="E1066" s="7" t="s">
        <v>3617</v>
      </c>
      <c r="F1066" s="8" t="s">
        <v>3628</v>
      </c>
      <c r="H1066" s="7" t="s">
        <v>3620</v>
      </c>
      <c r="I1066" s="7" t="s">
        <v>3622</v>
      </c>
      <c r="L1066" s="7" t="s">
        <v>30</v>
      </c>
      <c r="M1066" s="7" t="s">
        <v>9</v>
      </c>
      <c r="N1066" s="7" t="s">
        <v>25</v>
      </c>
      <c r="O1066" s="7" t="s">
        <v>337</v>
      </c>
      <c r="P1066" s="7" t="s">
        <v>3081</v>
      </c>
      <c r="Q1066" s="7" t="s">
        <v>3082</v>
      </c>
      <c r="R1066" t="s">
        <v>3632</v>
      </c>
    </row>
    <row r="1067" spans="1:20" x14ac:dyDescent="0.3">
      <c r="A1067" s="7" t="str">
        <f>HYPERLINK("https://hsdes.intel.com/resource/14013178885","14013178885")</f>
        <v>14013178885</v>
      </c>
      <c r="B1067" s="7" t="s">
        <v>3083</v>
      </c>
      <c r="C1067" s="7" t="s">
        <v>112</v>
      </c>
      <c r="D1067" s="7" t="s">
        <v>3612</v>
      </c>
      <c r="E1067" s="7" t="s">
        <v>3617</v>
      </c>
      <c r="F1067" s="8" t="s">
        <v>3628</v>
      </c>
      <c r="H1067" s="7" t="s">
        <v>3620</v>
      </c>
      <c r="I1067" s="7" t="s">
        <v>3622</v>
      </c>
      <c r="L1067" s="7" t="s">
        <v>30</v>
      </c>
      <c r="M1067" s="7" t="s">
        <v>94</v>
      </c>
      <c r="N1067" s="7" t="s">
        <v>3084</v>
      </c>
      <c r="O1067" s="7" t="s">
        <v>3085</v>
      </c>
      <c r="P1067" s="7" t="s">
        <v>45</v>
      </c>
      <c r="Q1067" s="7" t="s">
        <v>3086</v>
      </c>
      <c r="R1067" t="s">
        <v>3632</v>
      </c>
    </row>
    <row r="1068" spans="1:20" x14ac:dyDescent="0.3">
      <c r="A1068" s="7" t="str">
        <f>HYPERLINK("https://hsdes.intel.com/resource/14013178901","14013178901")</f>
        <v>14013178901</v>
      </c>
      <c r="B1068" s="7" t="s">
        <v>3087</v>
      </c>
      <c r="C1068" s="7" t="s">
        <v>112</v>
      </c>
      <c r="D1068" s="7" t="s">
        <v>3612</v>
      </c>
      <c r="E1068" s="7" t="s">
        <v>3617</v>
      </c>
      <c r="F1068" s="8" t="s">
        <v>3628</v>
      </c>
      <c r="H1068" s="7" t="s">
        <v>3620</v>
      </c>
      <c r="I1068" s="7" t="s">
        <v>3649</v>
      </c>
      <c r="L1068" s="7" t="s">
        <v>30</v>
      </c>
      <c r="M1068" s="7" t="s">
        <v>94</v>
      </c>
      <c r="N1068" s="7" t="s">
        <v>56</v>
      </c>
      <c r="O1068" s="7" t="s">
        <v>3088</v>
      </c>
      <c r="P1068" s="7" t="s">
        <v>3089</v>
      </c>
      <c r="Q1068" s="7" t="s">
        <v>3090</v>
      </c>
      <c r="R1068" t="s">
        <v>3631</v>
      </c>
    </row>
    <row r="1069" spans="1:20" x14ac:dyDescent="0.3">
      <c r="A1069" s="7" t="str">
        <f>HYPERLINK("https://hsdes.intel.com/resource/14013178908","14013178908")</f>
        <v>14013178908</v>
      </c>
      <c r="B1069" s="7" t="s">
        <v>3091</v>
      </c>
      <c r="C1069" s="7" t="s">
        <v>845</v>
      </c>
      <c r="D1069" s="7" t="s">
        <v>3612</v>
      </c>
      <c r="E1069" s="7" t="s">
        <v>3617</v>
      </c>
      <c r="F1069" s="8" t="s">
        <v>3628</v>
      </c>
      <c r="H1069" s="7" t="s">
        <v>3619</v>
      </c>
      <c r="I1069" s="7" t="s">
        <v>3622</v>
      </c>
      <c r="J1069" s="7" t="s">
        <v>3590</v>
      </c>
      <c r="L1069" s="7" t="s">
        <v>142</v>
      </c>
      <c r="M1069" s="7" t="s">
        <v>9</v>
      </c>
      <c r="N1069" s="7" t="s">
        <v>56</v>
      </c>
      <c r="O1069" s="7" t="s">
        <v>3092</v>
      </c>
      <c r="P1069" s="7" t="s">
        <v>1929</v>
      </c>
      <c r="Q1069" s="7" t="s">
        <v>3093</v>
      </c>
      <c r="R1069" t="s">
        <v>3632</v>
      </c>
    </row>
    <row r="1070" spans="1:20" x14ac:dyDescent="0.3">
      <c r="A1070" s="7" t="str">
        <f>HYPERLINK("https://hsdes.intel.com/resource/14013178916","14013178916")</f>
        <v>14013178916</v>
      </c>
      <c r="B1070" s="7" t="s">
        <v>3094</v>
      </c>
      <c r="C1070" s="7" t="s">
        <v>845</v>
      </c>
      <c r="D1070" s="7" t="s">
        <v>3612</v>
      </c>
      <c r="E1070" s="7" t="s">
        <v>3617</v>
      </c>
      <c r="F1070" s="8" t="s">
        <v>3628</v>
      </c>
      <c r="H1070" s="7" t="s">
        <v>3618</v>
      </c>
      <c r="I1070" s="7" t="s">
        <v>3622</v>
      </c>
      <c r="J1070" s="7" t="s">
        <v>3556</v>
      </c>
      <c r="L1070" s="7" t="s">
        <v>142</v>
      </c>
      <c r="M1070" s="7" t="s">
        <v>9</v>
      </c>
      <c r="N1070" s="7" t="s">
        <v>56</v>
      </c>
      <c r="O1070" s="7" t="s">
        <v>708</v>
      </c>
      <c r="P1070" s="7" t="s">
        <v>2094</v>
      </c>
      <c r="Q1070" s="7" t="s">
        <v>3095</v>
      </c>
      <c r="R1070" t="s">
        <v>3631</v>
      </c>
    </row>
    <row r="1071" spans="1:20" x14ac:dyDescent="0.3">
      <c r="A1071" s="7" t="str">
        <f>HYPERLINK("https://hsdes.intel.com/resource/14013178922","14013178922")</f>
        <v>14013178922</v>
      </c>
      <c r="B1071" s="7" t="s">
        <v>3096</v>
      </c>
      <c r="C1071" s="7" t="s">
        <v>212</v>
      </c>
      <c r="D1071" s="7" t="s">
        <v>3612</v>
      </c>
      <c r="E1071" s="7" t="s">
        <v>3617</v>
      </c>
      <c r="F1071" s="8" t="s">
        <v>3628</v>
      </c>
      <c r="H1071" s="7" t="s">
        <v>3619</v>
      </c>
      <c r="I1071" s="7" t="s">
        <v>3645</v>
      </c>
      <c r="L1071" s="7" t="s">
        <v>24</v>
      </c>
      <c r="M1071" s="7" t="s">
        <v>9</v>
      </c>
      <c r="N1071" s="7" t="s">
        <v>39</v>
      </c>
      <c r="O1071" s="7" t="s">
        <v>1791</v>
      </c>
      <c r="P1071" s="7" t="s">
        <v>365</v>
      </c>
      <c r="Q1071" s="7" t="s">
        <v>3097</v>
      </c>
      <c r="R1071" t="s">
        <v>3632</v>
      </c>
      <c r="T1071" s="22">
        <v>44819</v>
      </c>
    </row>
    <row r="1072" spans="1:20" x14ac:dyDescent="0.3">
      <c r="A1072" s="7" t="str">
        <f>HYPERLINK("https://hsdes.intel.com/resource/14013178927","14013178927")</f>
        <v>14013178927</v>
      </c>
      <c r="B1072" s="7" t="s">
        <v>3098</v>
      </c>
      <c r="C1072" s="7" t="s">
        <v>845</v>
      </c>
      <c r="D1072" s="7" t="s">
        <v>3612</v>
      </c>
      <c r="E1072" s="7" t="s">
        <v>3617</v>
      </c>
      <c r="F1072" s="8" t="s">
        <v>3628</v>
      </c>
      <c r="H1072" s="7" t="s">
        <v>3619</v>
      </c>
      <c r="I1072" s="7" t="s">
        <v>3622</v>
      </c>
      <c r="L1072" s="7" t="s">
        <v>142</v>
      </c>
      <c r="M1072" s="7" t="s">
        <v>94</v>
      </c>
      <c r="N1072" s="7" t="s">
        <v>56</v>
      </c>
      <c r="O1072" s="7" t="s">
        <v>1362</v>
      </c>
      <c r="P1072" s="7" t="s">
        <v>1362</v>
      </c>
      <c r="Q1072" s="7" t="s">
        <v>3099</v>
      </c>
      <c r="R1072" t="s">
        <v>3632</v>
      </c>
    </row>
    <row r="1073" spans="1:20" x14ac:dyDescent="0.3">
      <c r="A1073" s="7" t="str">
        <f>HYPERLINK("https://hsdes.intel.com/resource/14013178949","14013178949")</f>
        <v>14013178949</v>
      </c>
      <c r="B1073" s="7" t="s">
        <v>3100</v>
      </c>
      <c r="C1073" s="7" t="s">
        <v>99</v>
      </c>
      <c r="D1073" s="7" t="s">
        <v>3612</v>
      </c>
      <c r="E1073" s="7" t="s">
        <v>3617</v>
      </c>
      <c r="F1073" s="8" t="s">
        <v>3628</v>
      </c>
      <c r="H1073" s="7" t="s">
        <v>3620</v>
      </c>
      <c r="I1073" s="7" t="s">
        <v>3654</v>
      </c>
      <c r="J1073" s="7" t="s">
        <v>3526</v>
      </c>
      <c r="L1073" s="7" t="s">
        <v>100</v>
      </c>
      <c r="M1073" s="7" t="s">
        <v>94</v>
      </c>
      <c r="N1073" s="7" t="s">
        <v>56</v>
      </c>
      <c r="O1073" s="7" t="s">
        <v>2674</v>
      </c>
      <c r="P1073" s="7" t="s">
        <v>3101</v>
      </c>
      <c r="Q1073" s="7" t="s">
        <v>3102</v>
      </c>
      <c r="R1073" t="s">
        <v>3633</v>
      </c>
    </row>
    <row r="1074" spans="1:20" x14ac:dyDescent="0.3">
      <c r="A1074" s="7" t="str">
        <f>HYPERLINK("https://hsdes.intel.com/resource/14013178954","14013178954")</f>
        <v>14013178954</v>
      </c>
      <c r="B1074" s="7" t="s">
        <v>3103</v>
      </c>
      <c r="C1074" s="7" t="s">
        <v>99</v>
      </c>
      <c r="D1074" s="7" t="s">
        <v>3612</v>
      </c>
      <c r="E1074" s="7" t="s">
        <v>3617</v>
      </c>
      <c r="F1074" s="8" t="s">
        <v>3628</v>
      </c>
      <c r="H1074" s="7" t="s">
        <v>3620</v>
      </c>
      <c r="I1074" s="7" t="s">
        <v>3654</v>
      </c>
      <c r="J1074" s="7" t="s">
        <v>3526</v>
      </c>
      <c r="L1074" s="7" t="s">
        <v>100</v>
      </c>
      <c r="M1074" s="7" t="s">
        <v>94</v>
      </c>
      <c r="N1074" s="7" t="s">
        <v>56</v>
      </c>
      <c r="O1074" s="7" t="s">
        <v>2674</v>
      </c>
      <c r="P1074" s="7" t="s">
        <v>3101</v>
      </c>
      <c r="Q1074" s="7" t="s">
        <v>3104</v>
      </c>
      <c r="R1074" t="s">
        <v>3632</v>
      </c>
    </row>
    <row r="1075" spans="1:20" x14ac:dyDescent="0.3">
      <c r="A1075" s="7" t="str">
        <f>HYPERLINK("https://hsdes.intel.com/resource/14013178960","14013178960")</f>
        <v>14013178960</v>
      </c>
      <c r="B1075" s="7" t="s">
        <v>3105</v>
      </c>
      <c r="C1075" s="7" t="s">
        <v>3019</v>
      </c>
      <c r="D1075" s="7" t="s">
        <v>3613</v>
      </c>
      <c r="E1075" s="7" t="s">
        <v>3617</v>
      </c>
      <c r="F1075" s="8" t="s">
        <v>3628</v>
      </c>
      <c r="H1075" s="7" t="s">
        <v>3620</v>
      </c>
      <c r="I1075" s="7" t="s">
        <v>3622</v>
      </c>
      <c r="L1075" s="7" t="s">
        <v>30</v>
      </c>
      <c r="M1075" s="7" t="s">
        <v>94</v>
      </c>
      <c r="N1075" s="7" t="s">
        <v>3084</v>
      </c>
      <c r="O1075" s="7" t="s">
        <v>3106</v>
      </c>
      <c r="P1075" s="7" t="s">
        <v>347</v>
      </c>
      <c r="Q1075" s="7" t="s">
        <v>3107</v>
      </c>
      <c r="R1075" t="s">
        <v>3633</v>
      </c>
    </row>
    <row r="1076" spans="1:20" x14ac:dyDescent="0.3">
      <c r="A1076" s="7" t="str">
        <f>HYPERLINK("https://hsdes.intel.com/resource/14013178963","14013178963")</f>
        <v>14013178963</v>
      </c>
      <c r="B1076" s="7" t="s">
        <v>3108</v>
      </c>
      <c r="C1076" s="7" t="s">
        <v>1785</v>
      </c>
      <c r="D1076" s="7" t="s">
        <v>3613</v>
      </c>
      <c r="E1076" s="7" t="s">
        <v>3617</v>
      </c>
      <c r="F1076" s="8" t="s">
        <v>3628</v>
      </c>
      <c r="H1076" s="7" t="s">
        <v>3619</v>
      </c>
      <c r="I1076" s="7" t="s">
        <v>3641</v>
      </c>
      <c r="L1076" s="7" t="s">
        <v>30</v>
      </c>
      <c r="M1076" s="7" t="s">
        <v>94</v>
      </c>
      <c r="N1076" s="7" t="s">
        <v>56</v>
      </c>
      <c r="O1076" s="7" t="s">
        <v>361</v>
      </c>
      <c r="P1076" s="7" t="s">
        <v>361</v>
      </c>
      <c r="Q1076" s="7" t="s">
        <v>3109</v>
      </c>
      <c r="R1076" t="s">
        <v>3631</v>
      </c>
    </row>
    <row r="1077" spans="1:20" x14ac:dyDescent="0.3">
      <c r="A1077" s="7" t="str">
        <f>HYPERLINK("https://hsdes.intel.com/resource/14013179007","14013179007")</f>
        <v>14013179007</v>
      </c>
      <c r="B1077" s="7" t="s">
        <v>3110</v>
      </c>
      <c r="C1077" s="7" t="s">
        <v>341</v>
      </c>
      <c r="D1077" s="7" t="s">
        <v>3612</v>
      </c>
      <c r="E1077" s="7" t="s">
        <v>3617</v>
      </c>
      <c r="F1077" s="8" t="s">
        <v>3628</v>
      </c>
      <c r="H1077" s="7" t="s">
        <v>3619</v>
      </c>
      <c r="I1077" s="7" t="s">
        <v>3645</v>
      </c>
      <c r="L1077" s="7" t="s">
        <v>64</v>
      </c>
      <c r="M1077" s="7" t="s">
        <v>9</v>
      </c>
      <c r="N1077" s="7" t="s">
        <v>25</v>
      </c>
      <c r="O1077" s="7" t="s">
        <v>3111</v>
      </c>
      <c r="P1077" s="7" t="s">
        <v>3074</v>
      </c>
      <c r="Q1077" s="7" t="s">
        <v>3112</v>
      </c>
      <c r="R1077" t="s">
        <v>3633</v>
      </c>
      <c r="T1077" s="22">
        <v>44819</v>
      </c>
    </row>
    <row r="1078" spans="1:20" x14ac:dyDescent="0.3">
      <c r="A1078" s="7" t="str">
        <f>HYPERLINK("https://hsdes.intel.com/resource/14013179011","14013179011")</f>
        <v>14013179011</v>
      </c>
      <c r="B1078" s="7" t="s">
        <v>3113</v>
      </c>
      <c r="C1078" s="7" t="s">
        <v>341</v>
      </c>
      <c r="D1078" s="7" t="s">
        <v>3612</v>
      </c>
      <c r="E1078" s="7" t="s">
        <v>3617</v>
      </c>
      <c r="F1078" s="8" t="s">
        <v>3628</v>
      </c>
      <c r="H1078" s="7" t="s">
        <v>3619</v>
      </c>
      <c r="I1078" s="7" t="s">
        <v>3645</v>
      </c>
      <c r="L1078" s="7" t="s">
        <v>64</v>
      </c>
      <c r="M1078" s="7" t="s">
        <v>94</v>
      </c>
      <c r="N1078" s="7" t="s">
        <v>25</v>
      </c>
      <c r="O1078" s="7" t="s">
        <v>3114</v>
      </c>
      <c r="P1078" s="7" t="s">
        <v>3115</v>
      </c>
      <c r="Q1078" s="7" t="s">
        <v>3116</v>
      </c>
      <c r="R1078" t="s">
        <v>3633</v>
      </c>
      <c r="T1078" s="22">
        <v>44819</v>
      </c>
    </row>
    <row r="1079" spans="1:20" x14ac:dyDescent="0.3">
      <c r="A1079" s="7" t="str">
        <f>HYPERLINK("https://hsdes.intel.com/resource/14013179039","14013179039")</f>
        <v>14013179039</v>
      </c>
      <c r="B1079" s="7" t="s">
        <v>3117</v>
      </c>
      <c r="C1079" s="7" t="s">
        <v>341</v>
      </c>
      <c r="D1079" s="7" t="s">
        <v>3612</v>
      </c>
      <c r="E1079" s="7" t="s">
        <v>3617</v>
      </c>
      <c r="F1079" s="8" t="s">
        <v>3628</v>
      </c>
      <c r="H1079" s="7" t="s">
        <v>3619</v>
      </c>
      <c r="I1079" s="7" t="s">
        <v>3622</v>
      </c>
      <c r="J1079" s="6" t="s">
        <v>3544</v>
      </c>
      <c r="L1079" s="7" t="s">
        <v>64</v>
      </c>
      <c r="M1079" s="7" t="s">
        <v>94</v>
      </c>
      <c r="N1079" s="7" t="s">
        <v>56</v>
      </c>
      <c r="O1079" s="7" t="s">
        <v>3118</v>
      </c>
      <c r="P1079" s="7" t="s">
        <v>3119</v>
      </c>
      <c r="Q1079" s="7" t="s">
        <v>3120</v>
      </c>
      <c r="R1079" t="s">
        <v>3631</v>
      </c>
    </row>
    <row r="1080" spans="1:20" x14ac:dyDescent="0.3">
      <c r="A1080" s="7" t="str">
        <f>HYPERLINK("https://hsdes.intel.com/resource/14013179044","14013179044")</f>
        <v>14013179044</v>
      </c>
      <c r="B1080" s="7" t="s">
        <v>3121</v>
      </c>
      <c r="C1080" s="7" t="s">
        <v>341</v>
      </c>
      <c r="D1080" s="7" t="s">
        <v>3612</v>
      </c>
      <c r="E1080" s="7" t="s">
        <v>3617</v>
      </c>
      <c r="F1080" s="8" t="s">
        <v>3628</v>
      </c>
      <c r="H1080" s="7" t="s">
        <v>3619</v>
      </c>
      <c r="I1080" s="7" t="s">
        <v>3622</v>
      </c>
      <c r="J1080" s="7" t="s">
        <v>3544</v>
      </c>
      <c r="L1080" s="7" t="s">
        <v>64</v>
      </c>
      <c r="M1080" s="7" t="s">
        <v>94</v>
      </c>
      <c r="N1080" s="7" t="s">
        <v>56</v>
      </c>
      <c r="O1080" s="7" t="s">
        <v>3118</v>
      </c>
      <c r="P1080" s="7" t="s">
        <v>3119</v>
      </c>
      <c r="Q1080" s="7" t="s">
        <v>3122</v>
      </c>
      <c r="R1080" t="s">
        <v>3633</v>
      </c>
    </row>
    <row r="1081" spans="1:20" x14ac:dyDescent="0.3">
      <c r="A1081" s="7" t="str">
        <f>HYPERLINK("https://hsdes.intel.com/resource/14013179046","14013179046")</f>
        <v>14013179046</v>
      </c>
      <c r="B1081" s="7" t="s">
        <v>3123</v>
      </c>
      <c r="C1081" s="7" t="s">
        <v>99</v>
      </c>
      <c r="D1081" s="7" t="s">
        <v>3612</v>
      </c>
      <c r="E1081" s="7" t="s">
        <v>3617</v>
      </c>
      <c r="F1081" s="8" t="s">
        <v>3628</v>
      </c>
      <c r="H1081" s="7" t="s">
        <v>3619</v>
      </c>
      <c r="I1081" s="7" t="s">
        <v>3634</v>
      </c>
      <c r="L1081" s="7" t="s">
        <v>100</v>
      </c>
      <c r="M1081" s="7" t="s">
        <v>94</v>
      </c>
      <c r="N1081" s="7" t="s">
        <v>56</v>
      </c>
      <c r="O1081" s="7" t="s">
        <v>2528</v>
      </c>
      <c r="P1081" s="7" t="s">
        <v>3124</v>
      </c>
      <c r="Q1081" s="7" t="s">
        <v>3125</v>
      </c>
      <c r="R1081" t="s">
        <v>3632</v>
      </c>
    </row>
    <row r="1082" spans="1:20" x14ac:dyDescent="0.3">
      <c r="A1082" s="7" t="str">
        <f>HYPERLINK("https://hsdes.intel.com/resource/14013179066","14013179066")</f>
        <v>14013179066</v>
      </c>
      <c r="B1082" s="7" t="s">
        <v>3126</v>
      </c>
      <c r="C1082" s="7" t="s">
        <v>845</v>
      </c>
      <c r="D1082" s="7" t="s">
        <v>3612</v>
      </c>
      <c r="E1082" s="7" t="s">
        <v>3617</v>
      </c>
      <c r="F1082" s="8" t="s">
        <v>3628</v>
      </c>
      <c r="H1082" s="7" t="s">
        <v>3619</v>
      </c>
      <c r="I1082" s="7" t="s">
        <v>3622</v>
      </c>
      <c r="L1082" s="7" t="s">
        <v>142</v>
      </c>
      <c r="M1082" s="7" t="s">
        <v>9</v>
      </c>
      <c r="N1082" s="7" t="s">
        <v>56</v>
      </c>
      <c r="O1082" s="7" t="s">
        <v>3127</v>
      </c>
      <c r="P1082" s="7" t="s">
        <v>3128</v>
      </c>
      <c r="Q1082" s="7" t="s">
        <v>3129</v>
      </c>
      <c r="R1082" t="s">
        <v>3632</v>
      </c>
    </row>
    <row r="1083" spans="1:20" x14ac:dyDescent="0.3">
      <c r="A1083" s="7" t="str">
        <f>HYPERLINK("https://hsdes.intel.com/resource/14013179076","14013179076")</f>
        <v>14013179076</v>
      </c>
      <c r="B1083" s="7" t="s">
        <v>3130</v>
      </c>
      <c r="C1083" s="7" t="s">
        <v>845</v>
      </c>
      <c r="D1083" s="7" t="s">
        <v>3612</v>
      </c>
      <c r="E1083" s="7" t="s">
        <v>3617</v>
      </c>
      <c r="F1083" s="8" t="s">
        <v>3628</v>
      </c>
      <c r="H1083" s="7" t="s">
        <v>3619</v>
      </c>
      <c r="I1083" s="7" t="s">
        <v>3622</v>
      </c>
      <c r="L1083" s="7" t="s">
        <v>142</v>
      </c>
      <c r="M1083" s="7" t="s">
        <v>94</v>
      </c>
      <c r="N1083" s="7" t="s">
        <v>3131</v>
      </c>
      <c r="O1083" s="7" t="s">
        <v>3132</v>
      </c>
      <c r="P1083" s="7" t="s">
        <v>3132</v>
      </c>
      <c r="Q1083" s="7" t="s">
        <v>3133</v>
      </c>
      <c r="R1083" t="s">
        <v>3633</v>
      </c>
    </row>
    <row r="1084" spans="1:20" x14ac:dyDescent="0.3">
      <c r="A1084" s="7" t="str">
        <f>HYPERLINK("https://hsdes.intel.com/resource/14013179078","14013179078")</f>
        <v>14013179078</v>
      </c>
      <c r="B1084" s="7" t="s">
        <v>3134</v>
      </c>
      <c r="C1084" s="7" t="s">
        <v>225</v>
      </c>
      <c r="D1084" s="7" t="s">
        <v>3612</v>
      </c>
      <c r="E1084" s="7" t="s">
        <v>3617</v>
      </c>
      <c r="F1084" s="8" t="s">
        <v>3628</v>
      </c>
      <c r="H1084" s="7" t="s">
        <v>3619</v>
      </c>
      <c r="I1084" s="7" t="s">
        <v>3622</v>
      </c>
      <c r="L1084" s="7" t="s">
        <v>100</v>
      </c>
      <c r="M1084" s="7" t="s">
        <v>94</v>
      </c>
      <c r="N1084" s="7" t="s">
        <v>3135</v>
      </c>
      <c r="O1084" s="7" t="s">
        <v>3136</v>
      </c>
      <c r="P1084" s="7" t="s">
        <v>3136</v>
      </c>
      <c r="Q1084" s="7" t="s">
        <v>3137</v>
      </c>
      <c r="R1084" t="s">
        <v>3633</v>
      </c>
    </row>
    <row r="1085" spans="1:20" x14ac:dyDescent="0.3">
      <c r="A1085" s="7" t="str">
        <f>HYPERLINK("https://hsdes.intel.com/resource/14013179082","14013179082")</f>
        <v>14013179082</v>
      </c>
      <c r="B1085" s="7" t="s">
        <v>3138</v>
      </c>
      <c r="C1085" s="7" t="s">
        <v>845</v>
      </c>
      <c r="D1085" s="7" t="s">
        <v>3612</v>
      </c>
      <c r="E1085" s="7" t="s">
        <v>3617</v>
      </c>
      <c r="F1085" s="8" t="s">
        <v>3628</v>
      </c>
      <c r="H1085" s="7" t="s">
        <v>3619</v>
      </c>
      <c r="I1085" s="7" t="s">
        <v>3622</v>
      </c>
      <c r="L1085" s="7" t="s">
        <v>142</v>
      </c>
      <c r="M1085" s="7" t="s">
        <v>9</v>
      </c>
      <c r="N1085" s="7" t="s">
        <v>1063</v>
      </c>
      <c r="O1085" s="7" t="s">
        <v>3139</v>
      </c>
      <c r="P1085" s="7" t="s">
        <v>3139</v>
      </c>
      <c r="Q1085" s="7" t="s">
        <v>3140</v>
      </c>
      <c r="R1085" t="s">
        <v>3632</v>
      </c>
    </row>
    <row r="1086" spans="1:20" x14ac:dyDescent="0.3">
      <c r="A1086" s="7" t="str">
        <f>HYPERLINK("https://hsdes.intel.com/resource/14013179088","14013179088")</f>
        <v>14013179088</v>
      </c>
      <c r="B1086" s="7" t="s">
        <v>3141</v>
      </c>
      <c r="C1086" s="7" t="s">
        <v>845</v>
      </c>
      <c r="D1086" s="7" t="s">
        <v>3612</v>
      </c>
      <c r="E1086" s="7" t="s">
        <v>3617</v>
      </c>
      <c r="F1086" s="8" t="s">
        <v>3628</v>
      </c>
      <c r="H1086" s="7" t="s">
        <v>3619</v>
      </c>
      <c r="I1086" s="7" t="s">
        <v>3622</v>
      </c>
      <c r="L1086" s="7" t="s">
        <v>142</v>
      </c>
      <c r="M1086" s="7" t="s">
        <v>9</v>
      </c>
      <c r="N1086" s="7" t="s">
        <v>56</v>
      </c>
      <c r="O1086" s="7" t="s">
        <v>3139</v>
      </c>
      <c r="P1086" s="7" t="s">
        <v>3139</v>
      </c>
      <c r="Q1086" s="7" t="s">
        <v>3142</v>
      </c>
      <c r="R1086" t="s">
        <v>3632</v>
      </c>
    </row>
    <row r="1087" spans="1:20" x14ac:dyDescent="0.3">
      <c r="A1087" s="7" t="str">
        <f>HYPERLINK("https://hsdes.intel.com/resource/14013179099","14013179099")</f>
        <v>14013179099</v>
      </c>
      <c r="B1087" s="7" t="s">
        <v>3143</v>
      </c>
      <c r="C1087" s="7" t="s">
        <v>121</v>
      </c>
      <c r="D1087" s="7" t="s">
        <v>3612</v>
      </c>
      <c r="E1087" s="7" t="s">
        <v>3617</v>
      </c>
      <c r="F1087" s="8" t="s">
        <v>3628</v>
      </c>
      <c r="H1087" s="7" t="s">
        <v>3620</v>
      </c>
      <c r="I1087" s="7" t="s">
        <v>3622</v>
      </c>
      <c r="L1087" s="7" t="s">
        <v>100</v>
      </c>
      <c r="M1087" s="7" t="s">
        <v>94</v>
      </c>
      <c r="N1087" s="7" t="s">
        <v>134</v>
      </c>
      <c r="O1087" s="7" t="s">
        <v>227</v>
      </c>
      <c r="P1087" s="7" t="s">
        <v>2487</v>
      </c>
      <c r="Q1087" s="7" t="s">
        <v>3144</v>
      </c>
      <c r="R1087" t="s">
        <v>3632</v>
      </c>
    </row>
    <row r="1088" spans="1:20" x14ac:dyDescent="0.3">
      <c r="A1088" s="7" t="str">
        <f>HYPERLINK("https://hsdes.intel.com/resource/14013179126","14013179126")</f>
        <v>14013179126</v>
      </c>
      <c r="B1088" s="7" t="s">
        <v>3145</v>
      </c>
      <c r="C1088" s="7" t="s">
        <v>341</v>
      </c>
      <c r="D1088" s="7" t="s">
        <v>3612</v>
      </c>
      <c r="E1088" s="7" t="s">
        <v>3617</v>
      </c>
      <c r="F1088" s="8" t="s">
        <v>3628</v>
      </c>
      <c r="H1088" s="7" t="s">
        <v>3619</v>
      </c>
      <c r="I1088" s="7" t="s">
        <v>3645</v>
      </c>
      <c r="L1088" s="7" t="s">
        <v>64</v>
      </c>
      <c r="M1088" s="7" t="s">
        <v>9</v>
      </c>
      <c r="N1088" s="7" t="s">
        <v>56</v>
      </c>
      <c r="O1088" s="7" t="s">
        <v>3146</v>
      </c>
      <c r="P1088" s="7" t="s">
        <v>3146</v>
      </c>
      <c r="Q1088" s="7" t="s">
        <v>3147</v>
      </c>
      <c r="R1088" t="s">
        <v>3631</v>
      </c>
      <c r="T1088" s="22">
        <v>44818</v>
      </c>
    </row>
    <row r="1089" spans="1:20" x14ac:dyDescent="0.3">
      <c r="A1089" s="7" t="str">
        <f>HYPERLINK("https://hsdes.intel.com/resource/14013179135","14013179135")</f>
        <v>14013179135</v>
      </c>
      <c r="B1089" s="7" t="s">
        <v>3148</v>
      </c>
      <c r="C1089" s="7" t="s">
        <v>161</v>
      </c>
      <c r="D1089" s="7" t="s">
        <v>3612</v>
      </c>
      <c r="E1089" s="7" t="s">
        <v>3617</v>
      </c>
      <c r="F1089" s="8" t="s">
        <v>3628</v>
      </c>
      <c r="H1089" s="7" t="s">
        <v>3620</v>
      </c>
      <c r="I1089" s="7" t="s">
        <v>3641</v>
      </c>
      <c r="L1089" s="7" t="s">
        <v>100</v>
      </c>
      <c r="M1089" s="7" t="s">
        <v>94</v>
      </c>
      <c r="N1089" s="7" t="s">
        <v>39</v>
      </c>
      <c r="O1089" s="7" t="s">
        <v>3149</v>
      </c>
      <c r="P1089" s="7" t="s">
        <v>3150</v>
      </c>
      <c r="Q1089" s="7" t="s">
        <v>3151</v>
      </c>
      <c r="R1089" t="s">
        <v>3633</v>
      </c>
    </row>
    <row r="1090" spans="1:20" x14ac:dyDescent="0.3">
      <c r="A1090" s="7" t="str">
        <f>HYPERLINK("https://hsdes.intel.com/resource/14013179154","14013179154")</f>
        <v>14013179154</v>
      </c>
      <c r="B1090" s="7" t="s">
        <v>3152</v>
      </c>
      <c r="C1090" s="7" t="s">
        <v>99</v>
      </c>
      <c r="D1090" s="7" t="s">
        <v>3612</v>
      </c>
      <c r="E1090" s="7" t="s">
        <v>3617</v>
      </c>
      <c r="F1090" s="8" t="s">
        <v>3628</v>
      </c>
      <c r="H1090" s="7" t="s">
        <v>3620</v>
      </c>
      <c r="I1090" s="7" t="s">
        <v>3622</v>
      </c>
      <c r="L1090" s="7" t="s">
        <v>100</v>
      </c>
      <c r="M1090" s="7" t="s">
        <v>94</v>
      </c>
      <c r="N1090" s="7" t="s">
        <v>56</v>
      </c>
      <c r="O1090" s="7" t="s">
        <v>3153</v>
      </c>
      <c r="P1090" s="7" t="s">
        <v>3154</v>
      </c>
      <c r="Q1090" s="7" t="s">
        <v>3155</v>
      </c>
      <c r="R1090" t="s">
        <v>3633</v>
      </c>
    </row>
    <row r="1091" spans="1:20" x14ac:dyDescent="0.3">
      <c r="A1091" s="7" t="str">
        <f>HYPERLINK("https://hsdes.intel.com/resource/14013179158","14013179158")</f>
        <v>14013179158</v>
      </c>
      <c r="B1091" s="7" t="s">
        <v>3156</v>
      </c>
      <c r="C1091" s="7" t="s">
        <v>63</v>
      </c>
      <c r="D1091" s="7" t="s">
        <v>3612</v>
      </c>
      <c r="E1091" s="7" t="s">
        <v>3617</v>
      </c>
      <c r="F1091" s="8" t="s">
        <v>3628</v>
      </c>
      <c r="H1091" s="7" t="s">
        <v>3619</v>
      </c>
      <c r="I1091" s="7" t="s">
        <v>3622</v>
      </c>
      <c r="L1091" s="7" t="s">
        <v>64</v>
      </c>
      <c r="M1091" s="7" t="s">
        <v>9</v>
      </c>
      <c r="N1091" s="7" t="s">
        <v>56</v>
      </c>
      <c r="O1091" s="7" t="s">
        <v>3157</v>
      </c>
      <c r="P1091" s="7" t="s">
        <v>3158</v>
      </c>
      <c r="Q1091" s="7" t="s">
        <v>3159</v>
      </c>
      <c r="R1091" t="s">
        <v>3633</v>
      </c>
    </row>
    <row r="1092" spans="1:20" x14ac:dyDescent="0.3">
      <c r="A1092" s="7" t="str">
        <f>HYPERLINK("https://hsdes.intel.com/resource/14013179160","14013179160")</f>
        <v>14013179160</v>
      </c>
      <c r="B1092" s="7" t="s">
        <v>3160</v>
      </c>
      <c r="C1092" s="7" t="s">
        <v>99</v>
      </c>
      <c r="D1092" s="7" t="s">
        <v>3612</v>
      </c>
      <c r="E1092" s="7" t="s">
        <v>3617</v>
      </c>
      <c r="F1092" s="8" t="s">
        <v>3628</v>
      </c>
      <c r="H1092" s="7" t="s">
        <v>3620</v>
      </c>
      <c r="I1092" s="7" t="s">
        <v>3654</v>
      </c>
      <c r="J1092" s="7" t="s">
        <v>3526</v>
      </c>
      <c r="L1092" s="7" t="s">
        <v>100</v>
      </c>
      <c r="M1092" s="7" t="s">
        <v>94</v>
      </c>
      <c r="N1092" s="7" t="s">
        <v>2726</v>
      </c>
      <c r="O1092" s="7" t="s">
        <v>3161</v>
      </c>
      <c r="P1092" s="7" t="s">
        <v>3154</v>
      </c>
      <c r="Q1092" s="7" t="s">
        <v>3162</v>
      </c>
      <c r="R1092" t="s">
        <v>3632</v>
      </c>
    </row>
    <row r="1093" spans="1:20" x14ac:dyDescent="0.3">
      <c r="A1093" s="7" t="str">
        <f>HYPERLINK("https://hsdes.intel.com/resource/14013179182","14013179182")</f>
        <v>14013179182</v>
      </c>
      <c r="B1093" s="7" t="s">
        <v>3163</v>
      </c>
      <c r="C1093" s="7" t="s">
        <v>7</v>
      </c>
      <c r="D1093" s="7" t="s">
        <v>3612</v>
      </c>
      <c r="E1093" s="7" t="s">
        <v>3617</v>
      </c>
      <c r="F1093" s="8" t="s">
        <v>3628</v>
      </c>
      <c r="H1093" s="7" t="s">
        <v>3619</v>
      </c>
      <c r="I1093" s="7" t="s">
        <v>3624</v>
      </c>
      <c r="L1093" s="7" t="s">
        <v>8</v>
      </c>
      <c r="M1093" s="7" t="s">
        <v>9</v>
      </c>
      <c r="N1093" s="7" t="s">
        <v>313</v>
      </c>
      <c r="O1093" s="7" t="s">
        <v>3164</v>
      </c>
      <c r="P1093" s="7" t="s">
        <v>323</v>
      </c>
      <c r="Q1093" s="7" t="s">
        <v>3165</v>
      </c>
      <c r="R1093" t="s">
        <v>3631</v>
      </c>
    </row>
    <row r="1094" spans="1:20" x14ac:dyDescent="0.3">
      <c r="A1094" s="7" t="str">
        <f>HYPERLINK("https://hsdes.intel.com/resource/14013179187","14013179187")</f>
        <v>14013179187</v>
      </c>
      <c r="B1094" s="7" t="s">
        <v>3166</v>
      </c>
      <c r="C1094" s="7" t="s">
        <v>845</v>
      </c>
      <c r="D1094" s="7" t="s">
        <v>3612</v>
      </c>
      <c r="E1094" s="7" t="s">
        <v>3617</v>
      </c>
      <c r="F1094" s="8" t="s">
        <v>3628</v>
      </c>
      <c r="H1094" s="7" t="s">
        <v>3619</v>
      </c>
      <c r="I1094" s="7" t="s">
        <v>3622</v>
      </c>
      <c r="L1094" s="7" t="s">
        <v>142</v>
      </c>
      <c r="M1094" s="7" t="s">
        <v>94</v>
      </c>
      <c r="N1094" s="7" t="s">
        <v>56</v>
      </c>
      <c r="O1094" s="7" t="s">
        <v>2094</v>
      </c>
      <c r="P1094" s="7" t="s">
        <v>709</v>
      </c>
      <c r="Q1094" s="7" t="s">
        <v>3167</v>
      </c>
      <c r="R1094" t="s">
        <v>3632</v>
      </c>
    </row>
    <row r="1095" spans="1:20" x14ac:dyDescent="0.3">
      <c r="A1095" s="7" t="str">
        <f>HYPERLINK("https://hsdes.intel.com/resource/14013179188","14013179188")</f>
        <v>14013179188</v>
      </c>
      <c r="B1095" s="7" t="s">
        <v>3168</v>
      </c>
      <c r="C1095" s="7" t="s">
        <v>7</v>
      </c>
      <c r="D1095" s="7" t="s">
        <v>3612</v>
      </c>
      <c r="E1095" s="7" t="s">
        <v>3617</v>
      </c>
      <c r="F1095" s="8" t="s">
        <v>3628</v>
      </c>
      <c r="H1095" s="7" t="s">
        <v>3619</v>
      </c>
      <c r="I1095" s="7" t="s">
        <v>3624</v>
      </c>
      <c r="L1095" s="7" t="s">
        <v>8</v>
      </c>
      <c r="M1095" s="7" t="s">
        <v>9</v>
      </c>
      <c r="N1095" s="7" t="s">
        <v>313</v>
      </c>
      <c r="O1095" s="7" t="s">
        <v>3169</v>
      </c>
      <c r="P1095" s="7" t="s">
        <v>3170</v>
      </c>
      <c r="Q1095" s="7" t="s">
        <v>3171</v>
      </c>
      <c r="R1095" t="s">
        <v>3632</v>
      </c>
    </row>
    <row r="1096" spans="1:20" x14ac:dyDescent="0.3">
      <c r="A1096" s="7" t="str">
        <f>HYPERLINK("https://hsdes.intel.com/resource/14013179190","14013179190")</f>
        <v>14013179190</v>
      </c>
      <c r="B1096" s="7" t="s">
        <v>3172</v>
      </c>
      <c r="C1096" s="7" t="s">
        <v>112</v>
      </c>
      <c r="D1096" s="7" t="s">
        <v>3612</v>
      </c>
      <c r="E1096" s="7" t="s">
        <v>3617</v>
      </c>
      <c r="F1096" s="8" t="s">
        <v>3628</v>
      </c>
      <c r="H1096" s="7" t="s">
        <v>3620</v>
      </c>
      <c r="I1096" s="7" t="s">
        <v>3622</v>
      </c>
      <c r="L1096" s="7" t="s">
        <v>30</v>
      </c>
      <c r="M1096" s="7" t="s">
        <v>94</v>
      </c>
      <c r="N1096" s="7" t="s">
        <v>226</v>
      </c>
      <c r="O1096" s="7" t="s">
        <v>3173</v>
      </c>
      <c r="P1096" s="7" t="s">
        <v>2737</v>
      </c>
      <c r="Q1096" s="7" t="s">
        <v>3174</v>
      </c>
      <c r="R1096" t="s">
        <v>3632</v>
      </c>
    </row>
    <row r="1097" spans="1:20" x14ac:dyDescent="0.3">
      <c r="A1097" s="7" t="str">
        <f>HYPERLINK("https://hsdes.intel.com/resource/14013179192","14013179192")</f>
        <v>14013179192</v>
      </c>
      <c r="B1097" s="7" t="s">
        <v>3175</v>
      </c>
      <c r="C1097" s="7" t="s">
        <v>112</v>
      </c>
      <c r="D1097" s="7" t="s">
        <v>3612</v>
      </c>
      <c r="E1097" s="7" t="s">
        <v>3617</v>
      </c>
      <c r="F1097" s="8" t="s">
        <v>3628</v>
      </c>
      <c r="H1097" s="7" t="s">
        <v>3620</v>
      </c>
      <c r="I1097" s="7" t="s">
        <v>3622</v>
      </c>
      <c r="L1097" s="7" t="s">
        <v>30</v>
      </c>
      <c r="M1097" s="7" t="s">
        <v>94</v>
      </c>
      <c r="N1097" s="7" t="s">
        <v>226</v>
      </c>
      <c r="O1097" s="7" t="s">
        <v>3176</v>
      </c>
      <c r="P1097" s="7" t="s">
        <v>3177</v>
      </c>
      <c r="Q1097" s="7" t="s">
        <v>3178</v>
      </c>
      <c r="R1097" t="s">
        <v>3632</v>
      </c>
    </row>
    <row r="1098" spans="1:20" x14ac:dyDescent="0.3">
      <c r="A1098" s="7" t="str">
        <f>HYPERLINK("https://hsdes.intel.com/resource/14013179194","14013179194")</f>
        <v>14013179194</v>
      </c>
      <c r="B1098" s="7" t="s">
        <v>3179</v>
      </c>
      <c r="C1098" s="7" t="s">
        <v>63</v>
      </c>
      <c r="D1098" s="7" t="s">
        <v>3612</v>
      </c>
      <c r="E1098" s="7" t="s">
        <v>3617</v>
      </c>
      <c r="F1098" s="8" t="s">
        <v>3628</v>
      </c>
      <c r="H1098" s="7" t="s">
        <v>3620</v>
      </c>
      <c r="I1098" s="7" t="s">
        <v>3640</v>
      </c>
      <c r="L1098" s="7" t="s">
        <v>64</v>
      </c>
      <c r="M1098" s="7" t="s">
        <v>9</v>
      </c>
      <c r="N1098" s="7" t="s">
        <v>1063</v>
      </c>
      <c r="O1098" s="7" t="s">
        <v>765</v>
      </c>
      <c r="P1098" s="7" t="s">
        <v>766</v>
      </c>
      <c r="Q1098" s="7" t="s">
        <v>3180</v>
      </c>
      <c r="R1098" t="s">
        <v>3633</v>
      </c>
    </row>
    <row r="1099" spans="1:20" x14ac:dyDescent="0.3">
      <c r="A1099" s="7" t="str">
        <f>HYPERLINK("https://hsdes.intel.com/resource/14013179201","14013179201")</f>
        <v>14013179201</v>
      </c>
      <c r="B1099" s="7" t="s">
        <v>3181</v>
      </c>
      <c r="C1099" s="7" t="s">
        <v>121</v>
      </c>
      <c r="D1099" s="7" t="s">
        <v>3613</v>
      </c>
      <c r="E1099" s="7" t="s">
        <v>3617</v>
      </c>
      <c r="F1099" s="8" t="s">
        <v>3628</v>
      </c>
      <c r="H1099" s="7" t="s">
        <v>3620</v>
      </c>
      <c r="I1099" s="7" t="s">
        <v>3645</v>
      </c>
      <c r="L1099" s="7" t="s">
        <v>30</v>
      </c>
      <c r="M1099" s="7" t="s">
        <v>9</v>
      </c>
      <c r="N1099" s="7" t="s">
        <v>122</v>
      </c>
      <c r="O1099" s="7" t="s">
        <v>45</v>
      </c>
      <c r="P1099" s="7" t="s">
        <v>45</v>
      </c>
      <c r="Q1099" s="7" t="s">
        <v>3182</v>
      </c>
      <c r="R1099" t="s">
        <v>3631</v>
      </c>
      <c r="T1099" s="22">
        <v>44818</v>
      </c>
    </row>
    <row r="1100" spans="1:20" x14ac:dyDescent="0.3">
      <c r="A1100" s="7" t="str">
        <f>HYPERLINK("https://hsdes.intel.com/resource/14013179352","14013179352")</f>
        <v>14013179352</v>
      </c>
      <c r="B1100" s="7" t="s">
        <v>3183</v>
      </c>
      <c r="C1100" s="7" t="s">
        <v>212</v>
      </c>
      <c r="D1100" s="7" t="s">
        <v>3613</v>
      </c>
      <c r="E1100" s="7" t="s">
        <v>3617</v>
      </c>
      <c r="F1100" s="8" t="s">
        <v>3628</v>
      </c>
      <c r="H1100" s="7" t="s">
        <v>3620</v>
      </c>
      <c r="I1100" s="7" t="s">
        <v>3645</v>
      </c>
      <c r="L1100" s="7" t="s">
        <v>24</v>
      </c>
      <c r="M1100" s="7" t="s">
        <v>9</v>
      </c>
      <c r="N1100" s="7" t="s">
        <v>39</v>
      </c>
      <c r="O1100" s="7" t="s">
        <v>712</v>
      </c>
      <c r="P1100" s="7" t="s">
        <v>1762</v>
      </c>
      <c r="Q1100" s="7" t="s">
        <v>3184</v>
      </c>
      <c r="R1100" t="s">
        <v>3631</v>
      </c>
      <c r="T1100" s="22">
        <v>44819</v>
      </c>
    </row>
    <row r="1101" spans="1:20" x14ac:dyDescent="0.3">
      <c r="A1101" s="7" t="str">
        <f>HYPERLINK("https://hsdes.intel.com/resource/14013179362","14013179362")</f>
        <v>14013179362</v>
      </c>
      <c r="B1101" s="7" t="s">
        <v>3185</v>
      </c>
      <c r="C1101" s="7" t="s">
        <v>212</v>
      </c>
      <c r="D1101" s="7" t="s">
        <v>3612</v>
      </c>
      <c r="E1101" s="7" t="s">
        <v>3617</v>
      </c>
      <c r="F1101" s="8" t="s">
        <v>3628</v>
      </c>
      <c r="H1101" s="7" t="s">
        <v>3620</v>
      </c>
      <c r="I1101" s="7" t="s">
        <v>3654</v>
      </c>
      <c r="J1101" s="7" t="s">
        <v>3527</v>
      </c>
      <c r="L1101" s="7" t="s">
        <v>24</v>
      </c>
      <c r="M1101" s="7" t="s">
        <v>9</v>
      </c>
      <c r="N1101" s="7" t="s">
        <v>39</v>
      </c>
      <c r="O1101" s="7" t="s">
        <v>3186</v>
      </c>
      <c r="P1101" s="7" t="s">
        <v>3187</v>
      </c>
      <c r="Q1101" s="7" t="s">
        <v>3188</v>
      </c>
      <c r="R1101" t="s">
        <v>3631</v>
      </c>
    </row>
    <row r="1102" spans="1:20" x14ac:dyDescent="0.3">
      <c r="A1102" s="7" t="str">
        <f>HYPERLINK("https://hsdes.intel.com/resource/14013179366","14013179366")</f>
        <v>14013179366</v>
      </c>
      <c r="B1102" s="7" t="s">
        <v>3189</v>
      </c>
      <c r="C1102" s="7" t="s">
        <v>212</v>
      </c>
      <c r="D1102" s="7" t="s">
        <v>3612</v>
      </c>
      <c r="E1102" s="7" t="s">
        <v>3617</v>
      </c>
      <c r="F1102" s="8" t="s">
        <v>3628</v>
      </c>
      <c r="H1102" s="7" t="s">
        <v>3620</v>
      </c>
      <c r="I1102" s="7" t="s">
        <v>3654</v>
      </c>
      <c r="J1102" s="7" t="s">
        <v>3527</v>
      </c>
      <c r="L1102" s="7" t="s">
        <v>24</v>
      </c>
      <c r="M1102" s="7" t="s">
        <v>9</v>
      </c>
      <c r="N1102" s="7" t="s">
        <v>39</v>
      </c>
      <c r="O1102" s="7" t="s">
        <v>3190</v>
      </c>
      <c r="P1102" s="7" t="s">
        <v>3191</v>
      </c>
      <c r="Q1102" s="7" t="s">
        <v>3192</v>
      </c>
      <c r="R1102" t="s">
        <v>3631</v>
      </c>
    </row>
    <row r="1103" spans="1:20" x14ac:dyDescent="0.3">
      <c r="A1103" s="7" t="str">
        <f>HYPERLINK("https://hsdes.intel.com/resource/14013179370","14013179370")</f>
        <v>14013179370</v>
      </c>
      <c r="B1103" s="7" t="s">
        <v>3193</v>
      </c>
      <c r="C1103" s="7" t="s">
        <v>212</v>
      </c>
      <c r="D1103" s="7" t="s">
        <v>3613</v>
      </c>
      <c r="E1103" s="7" t="s">
        <v>3617</v>
      </c>
      <c r="F1103" s="8" t="s">
        <v>3628</v>
      </c>
      <c r="H1103" s="7" t="s">
        <v>3620</v>
      </c>
      <c r="I1103" s="7" t="s">
        <v>3645</v>
      </c>
      <c r="L1103" s="7" t="s">
        <v>24</v>
      </c>
      <c r="M1103" s="7" t="s">
        <v>9</v>
      </c>
      <c r="N1103" s="7" t="s">
        <v>39</v>
      </c>
      <c r="O1103" s="7" t="s">
        <v>3194</v>
      </c>
      <c r="P1103" s="7" t="s">
        <v>3195</v>
      </c>
      <c r="Q1103" s="7" t="s">
        <v>3196</v>
      </c>
      <c r="R1103" t="s">
        <v>3632</v>
      </c>
      <c r="T1103" s="22">
        <v>44819</v>
      </c>
    </row>
    <row r="1104" spans="1:20" x14ac:dyDescent="0.3">
      <c r="A1104" s="7" t="str">
        <f>HYPERLINK("https://hsdes.intel.com/resource/14013179385","14013179385")</f>
        <v>14013179385</v>
      </c>
      <c r="B1104" s="7" t="s">
        <v>3197</v>
      </c>
      <c r="C1104" s="7" t="s">
        <v>63</v>
      </c>
      <c r="D1104" s="7" t="s">
        <v>3612</v>
      </c>
      <c r="E1104" s="7" t="s">
        <v>3617</v>
      </c>
      <c r="F1104" s="8" t="s">
        <v>3628</v>
      </c>
      <c r="H1104" s="7" t="s">
        <v>3619</v>
      </c>
      <c r="I1104" s="7" t="s">
        <v>3622</v>
      </c>
      <c r="L1104" s="7" t="s">
        <v>64</v>
      </c>
      <c r="M1104" s="7" t="s">
        <v>9</v>
      </c>
      <c r="N1104" s="7" t="s">
        <v>56</v>
      </c>
      <c r="O1104" s="7" t="s">
        <v>3186</v>
      </c>
      <c r="P1104" s="7" t="s">
        <v>3198</v>
      </c>
      <c r="Q1104" s="7" t="s">
        <v>3199</v>
      </c>
      <c r="R1104" t="s">
        <v>3632</v>
      </c>
    </row>
    <row r="1105" spans="1:20" x14ac:dyDescent="0.3">
      <c r="A1105" s="7" t="str">
        <f>HYPERLINK("https://hsdes.intel.com/resource/14013179407","14013179407")</f>
        <v>14013179407</v>
      </c>
      <c r="B1105" s="7" t="s">
        <v>3200</v>
      </c>
      <c r="C1105" s="7" t="s">
        <v>845</v>
      </c>
      <c r="D1105" s="7" t="s">
        <v>3612</v>
      </c>
      <c r="E1105" s="7" t="s">
        <v>3617</v>
      </c>
      <c r="F1105" s="8" t="s">
        <v>3628</v>
      </c>
      <c r="H1105" s="7" t="s">
        <v>3619</v>
      </c>
      <c r="I1105" s="7" t="s">
        <v>3622</v>
      </c>
      <c r="L1105" s="7" t="s">
        <v>142</v>
      </c>
      <c r="M1105" s="7" t="s">
        <v>94</v>
      </c>
      <c r="N1105" s="7" t="s">
        <v>1063</v>
      </c>
      <c r="O1105" s="7" t="s">
        <v>991</v>
      </c>
      <c r="P1105" s="7" t="s">
        <v>991</v>
      </c>
      <c r="Q1105" s="7" t="s">
        <v>3201</v>
      </c>
      <c r="R1105" t="s">
        <v>3632</v>
      </c>
    </row>
    <row r="1106" spans="1:20" x14ac:dyDescent="0.3">
      <c r="A1106" s="7" t="str">
        <f>HYPERLINK("https://hsdes.intel.com/resource/14013179427","14013179427")</f>
        <v>14013179427</v>
      </c>
      <c r="B1106" s="7" t="s">
        <v>3202</v>
      </c>
      <c r="C1106" s="7" t="s">
        <v>845</v>
      </c>
      <c r="D1106" s="7" t="s">
        <v>3612</v>
      </c>
      <c r="E1106" s="7" t="s">
        <v>3617</v>
      </c>
      <c r="F1106" s="8" t="s">
        <v>3628</v>
      </c>
      <c r="H1106" s="7" t="s">
        <v>3619</v>
      </c>
      <c r="I1106" s="7" t="s">
        <v>3622</v>
      </c>
      <c r="J1106" s="7" t="s">
        <v>3550</v>
      </c>
      <c r="L1106" s="7" t="s">
        <v>142</v>
      </c>
      <c r="M1106" s="7" t="s">
        <v>9</v>
      </c>
      <c r="N1106" s="7" t="s">
        <v>2872</v>
      </c>
      <c r="O1106" s="7" t="s">
        <v>1755</v>
      </c>
      <c r="P1106" s="7" t="s">
        <v>1756</v>
      </c>
      <c r="Q1106" s="7" t="s">
        <v>3203</v>
      </c>
      <c r="R1106" t="s">
        <v>3632</v>
      </c>
    </row>
    <row r="1107" spans="1:20" x14ac:dyDescent="0.3">
      <c r="A1107" s="7" t="str">
        <f>HYPERLINK("https://hsdes.intel.com/resource/14013179431","14013179431")</f>
        <v>14013179431</v>
      </c>
      <c r="B1107" s="7" t="s">
        <v>3204</v>
      </c>
      <c r="C1107" s="7" t="s">
        <v>845</v>
      </c>
      <c r="D1107" s="7" t="s">
        <v>3612</v>
      </c>
      <c r="E1107" s="7" t="s">
        <v>3617</v>
      </c>
      <c r="F1107" s="8" t="s">
        <v>3628</v>
      </c>
      <c r="H1107" s="7" t="s">
        <v>3619</v>
      </c>
      <c r="I1107" s="7" t="s">
        <v>3622</v>
      </c>
      <c r="J1107" s="7" t="s">
        <v>3557</v>
      </c>
      <c r="L1107" s="7" t="s">
        <v>142</v>
      </c>
      <c r="M1107" s="7" t="s">
        <v>9</v>
      </c>
      <c r="N1107" s="7" t="s">
        <v>56</v>
      </c>
      <c r="O1107" s="7" t="s">
        <v>1362</v>
      </c>
      <c r="P1107" s="7" t="s">
        <v>1362</v>
      </c>
      <c r="Q1107" s="7" t="s">
        <v>3205</v>
      </c>
      <c r="R1107" t="s">
        <v>3632</v>
      </c>
    </row>
    <row r="1108" spans="1:20" x14ac:dyDescent="0.3">
      <c r="A1108" s="7" t="str">
        <f>HYPERLINK("https://hsdes.intel.com/resource/14013179580","14013179580")</f>
        <v>14013179580</v>
      </c>
      <c r="B1108" s="7" t="s">
        <v>3206</v>
      </c>
      <c r="C1108" s="7" t="s">
        <v>175</v>
      </c>
      <c r="D1108" s="7" t="s">
        <v>3612</v>
      </c>
      <c r="E1108" s="7" t="s">
        <v>3617</v>
      </c>
      <c r="F1108" s="8" t="s">
        <v>3628</v>
      </c>
      <c r="H1108" s="7" t="s">
        <v>3618</v>
      </c>
      <c r="J1108" s="7" t="s">
        <v>3569</v>
      </c>
      <c r="L1108" s="7" t="s">
        <v>38</v>
      </c>
      <c r="M1108" s="7" t="s">
        <v>94</v>
      </c>
      <c r="N1108" s="7" t="s">
        <v>176</v>
      </c>
      <c r="O1108" s="7" t="s">
        <v>178</v>
      </c>
      <c r="P1108" s="7" t="s">
        <v>178</v>
      </c>
      <c r="Q1108" s="7" t="s">
        <v>3207</v>
      </c>
      <c r="R1108" t="s">
        <v>3632</v>
      </c>
    </row>
    <row r="1109" spans="1:20" x14ac:dyDescent="0.3">
      <c r="A1109" s="7" t="str">
        <f>HYPERLINK("https://hsdes.intel.com/resource/14013179691","14013179691")</f>
        <v>14013179691</v>
      </c>
      <c r="B1109" s="7" t="s">
        <v>3208</v>
      </c>
      <c r="C1109" s="7" t="s">
        <v>29</v>
      </c>
      <c r="D1109" s="7" t="s">
        <v>3612</v>
      </c>
      <c r="E1109" s="7" t="s">
        <v>3617</v>
      </c>
      <c r="F1109" s="8" t="s">
        <v>3628</v>
      </c>
      <c r="H1109" s="7" t="s">
        <v>3620</v>
      </c>
      <c r="I1109" s="7" t="s">
        <v>3640</v>
      </c>
      <c r="L1109" s="7" t="s">
        <v>8</v>
      </c>
      <c r="M1109" s="7" t="s">
        <v>94</v>
      </c>
      <c r="N1109" s="7" t="s">
        <v>39</v>
      </c>
      <c r="O1109" s="7" t="s">
        <v>378</v>
      </c>
      <c r="P1109" s="7" t="s">
        <v>394</v>
      </c>
      <c r="Q1109" s="7" t="s">
        <v>3209</v>
      </c>
      <c r="R1109" t="s">
        <v>3632</v>
      </c>
    </row>
    <row r="1110" spans="1:20" x14ac:dyDescent="0.3">
      <c r="A1110" s="7" t="str">
        <f>HYPERLINK("https://hsdes.intel.com/resource/14013179692","14013179692")</f>
        <v>14013179692</v>
      </c>
      <c r="B1110" s="7" t="s">
        <v>3210</v>
      </c>
      <c r="C1110" s="7" t="s">
        <v>29</v>
      </c>
      <c r="D1110" s="7" t="s">
        <v>3612</v>
      </c>
      <c r="E1110" s="7" t="s">
        <v>3617</v>
      </c>
      <c r="F1110" s="8" t="s">
        <v>3628</v>
      </c>
      <c r="H1110" s="7" t="s">
        <v>3619</v>
      </c>
      <c r="I1110" s="7" t="s">
        <v>3640</v>
      </c>
      <c r="L1110" s="7" t="s">
        <v>8</v>
      </c>
      <c r="M1110" s="7" t="s">
        <v>94</v>
      </c>
      <c r="N1110" s="7" t="s">
        <v>39</v>
      </c>
      <c r="O1110" s="7" t="s">
        <v>3211</v>
      </c>
      <c r="P1110" s="7" t="s">
        <v>31</v>
      </c>
      <c r="Q1110" s="7" t="s">
        <v>3212</v>
      </c>
      <c r="R1110" t="s">
        <v>3632</v>
      </c>
    </row>
    <row r="1111" spans="1:20" x14ac:dyDescent="0.3">
      <c r="A1111" s="7" t="str">
        <f>HYPERLINK("https://hsdes.intel.com/resource/14013179698","14013179698")</f>
        <v>14013179698</v>
      </c>
      <c r="B1111" s="7" t="s">
        <v>3213</v>
      </c>
      <c r="C1111" s="7" t="s">
        <v>55</v>
      </c>
      <c r="D1111" s="7" t="s">
        <v>3612</v>
      </c>
      <c r="E1111" s="7" t="s">
        <v>3617</v>
      </c>
      <c r="F1111" s="8" t="s">
        <v>3628</v>
      </c>
      <c r="H1111" s="7" t="s">
        <v>3620</v>
      </c>
      <c r="I1111" s="7" t="s">
        <v>3643</v>
      </c>
      <c r="L1111" s="7" t="s">
        <v>30</v>
      </c>
      <c r="M1111" s="7" t="s">
        <v>9</v>
      </c>
      <c r="N1111" s="7" t="s">
        <v>303</v>
      </c>
      <c r="O1111" s="7" t="s">
        <v>414</v>
      </c>
      <c r="P1111" s="7" t="s">
        <v>414</v>
      </c>
      <c r="Q1111" s="7" t="s">
        <v>3214</v>
      </c>
      <c r="R1111" t="s">
        <v>3631</v>
      </c>
    </row>
    <row r="1112" spans="1:20" x14ac:dyDescent="0.3">
      <c r="A1112" s="7" t="str">
        <f>HYPERLINK("https://hsdes.intel.com/resource/14013179754","14013179754")</f>
        <v>14013179754</v>
      </c>
      <c r="B1112" s="7" t="s">
        <v>3215</v>
      </c>
      <c r="C1112" s="7" t="s">
        <v>845</v>
      </c>
      <c r="D1112" s="7" t="s">
        <v>3612</v>
      </c>
      <c r="E1112" s="7" t="s">
        <v>3617</v>
      </c>
      <c r="F1112" s="8" t="s">
        <v>3628</v>
      </c>
      <c r="H1112" s="7" t="s">
        <v>3619</v>
      </c>
      <c r="I1112" s="7" t="s">
        <v>3622</v>
      </c>
      <c r="J1112" s="6"/>
      <c r="L1112" s="7" t="s">
        <v>142</v>
      </c>
      <c r="M1112" s="7" t="s">
        <v>9</v>
      </c>
      <c r="N1112" s="7" t="s">
        <v>2872</v>
      </c>
      <c r="O1112" s="7" t="s">
        <v>3216</v>
      </c>
      <c r="P1112" s="7" t="s">
        <v>3217</v>
      </c>
      <c r="Q1112" s="7" t="s">
        <v>3218</v>
      </c>
      <c r="R1112" t="s">
        <v>3632</v>
      </c>
    </row>
    <row r="1113" spans="1:20" x14ac:dyDescent="0.3">
      <c r="A1113" s="7" t="str">
        <f>HYPERLINK("https://hsdes.intel.com/resource/14013179861","14013179861")</f>
        <v>14013179861</v>
      </c>
      <c r="B1113" s="7" t="s">
        <v>3219</v>
      </c>
      <c r="C1113" s="7" t="s">
        <v>55</v>
      </c>
      <c r="D1113" s="7" t="s">
        <v>3612</v>
      </c>
      <c r="E1113" s="7" t="s">
        <v>3617</v>
      </c>
      <c r="F1113" s="8" t="s">
        <v>3628</v>
      </c>
      <c r="H1113" s="7" t="s">
        <v>3619</v>
      </c>
      <c r="I1113" s="7" t="s">
        <v>3622</v>
      </c>
      <c r="L1113" s="7" t="s">
        <v>30</v>
      </c>
      <c r="M1113" s="7" t="s">
        <v>9</v>
      </c>
      <c r="N1113" s="7" t="s">
        <v>25</v>
      </c>
      <c r="O1113" s="7" t="s">
        <v>423</v>
      </c>
      <c r="P1113" s="7" t="s">
        <v>423</v>
      </c>
      <c r="Q1113" s="7" t="s">
        <v>3220</v>
      </c>
      <c r="R1113" t="s">
        <v>3631</v>
      </c>
    </row>
    <row r="1114" spans="1:20" x14ac:dyDescent="0.3">
      <c r="A1114" s="7" t="str">
        <f>HYPERLINK("https://hsdes.intel.com/resource/14013179902","14013179902")</f>
        <v>14013179902</v>
      </c>
      <c r="B1114" s="7" t="s">
        <v>3221</v>
      </c>
      <c r="C1114" s="7" t="s">
        <v>55</v>
      </c>
      <c r="D1114" s="7" t="s">
        <v>3612</v>
      </c>
      <c r="E1114" s="7" t="s">
        <v>3617</v>
      </c>
      <c r="F1114" s="8" t="s">
        <v>3628</v>
      </c>
      <c r="H1114" s="7" t="s">
        <v>3618</v>
      </c>
      <c r="J1114" s="7" t="s">
        <v>3531</v>
      </c>
      <c r="L1114" s="7" t="s">
        <v>8</v>
      </c>
      <c r="M1114" s="7" t="s">
        <v>9</v>
      </c>
      <c r="N1114" s="7" t="s">
        <v>185</v>
      </c>
      <c r="O1114" s="7" t="s">
        <v>3222</v>
      </c>
      <c r="P1114" s="7" t="s">
        <v>3223</v>
      </c>
      <c r="Q1114" s="7" t="s">
        <v>3224</v>
      </c>
      <c r="R1114" t="s">
        <v>3632</v>
      </c>
    </row>
    <row r="1115" spans="1:20" x14ac:dyDescent="0.3">
      <c r="A1115" s="7" t="str">
        <f>HYPERLINK("https://hsdes.intel.com/resource/14013179993","14013179993")</f>
        <v>14013179993</v>
      </c>
      <c r="B1115" s="7" t="s">
        <v>3225</v>
      </c>
      <c r="C1115" s="7" t="s">
        <v>212</v>
      </c>
      <c r="D1115" s="7" t="s">
        <v>3612</v>
      </c>
      <c r="E1115" s="7" t="s">
        <v>3617</v>
      </c>
      <c r="F1115" s="8" t="s">
        <v>3628</v>
      </c>
      <c r="H1115" s="7" t="s">
        <v>3620</v>
      </c>
      <c r="I1115" s="7" t="s">
        <v>3645</v>
      </c>
      <c r="L1115" s="7" t="s">
        <v>24</v>
      </c>
      <c r="M1115" s="7" t="s">
        <v>9</v>
      </c>
      <c r="N1115" s="7" t="s">
        <v>39</v>
      </c>
      <c r="O1115" s="7" t="s">
        <v>3226</v>
      </c>
      <c r="P1115" s="7" t="s">
        <v>2391</v>
      </c>
      <c r="Q1115" s="7" t="s">
        <v>3227</v>
      </c>
      <c r="R1115" t="s">
        <v>3632</v>
      </c>
      <c r="T1115" s="22">
        <v>44819</v>
      </c>
    </row>
    <row r="1116" spans="1:20" x14ac:dyDescent="0.3">
      <c r="A1116" s="7" t="str">
        <f>HYPERLINK("https://hsdes.intel.com/resource/14013179998","14013179998")</f>
        <v>14013179998</v>
      </c>
      <c r="B1116" s="7" t="s">
        <v>3228</v>
      </c>
      <c r="C1116" s="7" t="s">
        <v>23</v>
      </c>
      <c r="D1116" s="7" t="s">
        <v>3612</v>
      </c>
      <c r="E1116" s="7" t="s">
        <v>3617</v>
      </c>
      <c r="F1116" s="8" t="s">
        <v>3628</v>
      </c>
      <c r="H1116" s="7" t="s">
        <v>3620</v>
      </c>
      <c r="I1116" s="7" t="s">
        <v>3641</v>
      </c>
      <c r="L1116" s="7" t="s">
        <v>24</v>
      </c>
      <c r="M1116" s="7" t="s">
        <v>9</v>
      </c>
      <c r="N1116" s="7" t="s">
        <v>10</v>
      </c>
      <c r="O1116" s="7" t="s">
        <v>45</v>
      </c>
      <c r="P1116" s="7" t="s">
        <v>45</v>
      </c>
      <c r="Q1116" s="7" t="s">
        <v>3229</v>
      </c>
      <c r="R1116" t="s">
        <v>3632</v>
      </c>
    </row>
    <row r="1117" spans="1:20" x14ac:dyDescent="0.3">
      <c r="A1117" s="7" t="str">
        <f>HYPERLINK("https://hsdes.intel.com/resource/14013180187","14013180187")</f>
        <v>14013180187</v>
      </c>
      <c r="B1117" s="7" t="s">
        <v>3230</v>
      </c>
      <c r="C1117" s="7" t="s">
        <v>1666</v>
      </c>
      <c r="D1117" s="7" t="s">
        <v>3612</v>
      </c>
      <c r="E1117" s="7" t="s">
        <v>3617</v>
      </c>
      <c r="F1117" s="8" t="s">
        <v>3628</v>
      </c>
      <c r="H1117" s="7" t="s">
        <v>3620</v>
      </c>
      <c r="I1117" s="7" t="s">
        <v>3649</v>
      </c>
      <c r="L1117" s="7" t="s">
        <v>38</v>
      </c>
      <c r="M1117" s="7" t="s">
        <v>94</v>
      </c>
      <c r="N1117" s="7" t="s">
        <v>1667</v>
      </c>
      <c r="O1117" s="7" t="s">
        <v>3231</v>
      </c>
      <c r="P1117" s="7" t="s">
        <v>3231</v>
      </c>
      <c r="Q1117" s="7" t="s">
        <v>3232</v>
      </c>
      <c r="R1117" t="s">
        <v>3632</v>
      </c>
    </row>
    <row r="1118" spans="1:20" x14ac:dyDescent="0.3">
      <c r="A1118" s="7" t="str">
        <f>HYPERLINK("https://hsdes.intel.com/resource/14013180190","14013180190")</f>
        <v>14013180190</v>
      </c>
      <c r="B1118" s="7" t="s">
        <v>3233</v>
      </c>
      <c r="C1118" s="7" t="s">
        <v>1666</v>
      </c>
      <c r="D1118" s="7" t="s">
        <v>3612</v>
      </c>
      <c r="E1118" s="7" t="s">
        <v>3617</v>
      </c>
      <c r="F1118" s="8" t="s">
        <v>3628</v>
      </c>
      <c r="H1118" s="7" t="s">
        <v>3619</v>
      </c>
      <c r="I1118" s="7" t="s">
        <v>3622</v>
      </c>
      <c r="L1118" s="7" t="s">
        <v>142</v>
      </c>
      <c r="M1118" s="7" t="s">
        <v>94</v>
      </c>
      <c r="N1118" s="7" t="s">
        <v>1667</v>
      </c>
      <c r="O1118" s="7" t="s">
        <v>3234</v>
      </c>
      <c r="P1118" s="7" t="s">
        <v>1675</v>
      </c>
      <c r="Q1118" s="7" t="s">
        <v>3235</v>
      </c>
      <c r="R1118" t="s">
        <v>3632</v>
      </c>
    </row>
    <row r="1119" spans="1:20" x14ac:dyDescent="0.3">
      <c r="A1119" s="7" t="str">
        <f>HYPERLINK("https://hsdes.intel.com/resource/14013180191","14013180191")</f>
        <v>14013180191</v>
      </c>
      <c r="B1119" s="7" t="s">
        <v>3236</v>
      </c>
      <c r="C1119" s="7" t="s">
        <v>1666</v>
      </c>
      <c r="D1119" s="7" t="s">
        <v>3612</v>
      </c>
      <c r="E1119" s="7" t="s">
        <v>3617</v>
      </c>
      <c r="F1119" s="8" t="s">
        <v>3628</v>
      </c>
      <c r="H1119" s="16" t="s">
        <v>3619</v>
      </c>
      <c r="I1119" s="16" t="s">
        <v>3622</v>
      </c>
      <c r="L1119" s="7" t="s">
        <v>142</v>
      </c>
      <c r="M1119" s="7" t="s">
        <v>94</v>
      </c>
      <c r="N1119" s="7" t="s">
        <v>1667</v>
      </c>
      <c r="O1119" s="7" t="s">
        <v>3237</v>
      </c>
      <c r="P1119" s="7" t="s">
        <v>3237</v>
      </c>
      <c r="Q1119" s="7" t="s">
        <v>3238</v>
      </c>
      <c r="R1119" t="s">
        <v>3632</v>
      </c>
    </row>
    <row r="1120" spans="1:20" x14ac:dyDescent="0.3">
      <c r="A1120" s="7" t="str">
        <f>HYPERLINK("https://hsdes.intel.com/resource/14013180193","14013180193")</f>
        <v>14013180193</v>
      </c>
      <c r="B1120" s="7" t="s">
        <v>3239</v>
      </c>
      <c r="C1120" s="7" t="s">
        <v>212</v>
      </c>
      <c r="D1120" s="7" t="s">
        <v>3612</v>
      </c>
      <c r="E1120" s="7" t="s">
        <v>3617</v>
      </c>
      <c r="F1120" s="8" t="s">
        <v>3628</v>
      </c>
      <c r="H1120" s="7" t="s">
        <v>3619</v>
      </c>
      <c r="I1120" s="7" t="s">
        <v>3645</v>
      </c>
      <c r="L1120" s="7" t="s">
        <v>24</v>
      </c>
      <c r="M1120" s="7" t="s">
        <v>94</v>
      </c>
      <c r="N1120" s="7" t="s">
        <v>39</v>
      </c>
      <c r="O1120" s="7" t="s">
        <v>3240</v>
      </c>
      <c r="P1120" s="7" t="s">
        <v>3240</v>
      </c>
      <c r="Q1120" s="7" t="s">
        <v>3241</v>
      </c>
      <c r="R1120" t="s">
        <v>3632</v>
      </c>
      <c r="T1120" s="22">
        <v>44819</v>
      </c>
    </row>
    <row r="1121" spans="1:18" x14ac:dyDescent="0.3">
      <c r="A1121" s="7" t="str">
        <f>HYPERLINK("https://hsdes.intel.com/resource/14013180197","14013180197")</f>
        <v>14013180197</v>
      </c>
      <c r="B1121" s="7" t="s">
        <v>3242</v>
      </c>
      <c r="C1121" s="7" t="s">
        <v>1666</v>
      </c>
      <c r="D1121" s="7" t="s">
        <v>3612</v>
      </c>
      <c r="E1121" s="7" t="s">
        <v>3617</v>
      </c>
      <c r="F1121" s="8" t="s">
        <v>3628</v>
      </c>
      <c r="H1121" s="16" t="s">
        <v>3619</v>
      </c>
      <c r="I1121" s="16" t="s">
        <v>3622</v>
      </c>
      <c r="L1121" s="7" t="s">
        <v>38</v>
      </c>
      <c r="M1121" s="7" t="s">
        <v>94</v>
      </c>
      <c r="N1121" s="7" t="s">
        <v>1667</v>
      </c>
      <c r="O1121" s="7" t="s">
        <v>3243</v>
      </c>
      <c r="P1121" s="7" t="s">
        <v>3244</v>
      </c>
      <c r="Q1121" s="7" t="s">
        <v>3245</v>
      </c>
      <c r="R1121" t="s">
        <v>3632</v>
      </c>
    </row>
    <row r="1122" spans="1:18" x14ac:dyDescent="0.3">
      <c r="A1122" s="7" t="str">
        <f>HYPERLINK("https://hsdes.intel.com/resource/14013180214","14013180214")</f>
        <v>14013180214</v>
      </c>
      <c r="B1122" s="7" t="s">
        <v>3246</v>
      </c>
      <c r="C1122" s="7" t="s">
        <v>1666</v>
      </c>
      <c r="D1122" s="7" t="s">
        <v>3612</v>
      </c>
      <c r="E1122" s="7" t="s">
        <v>3617</v>
      </c>
      <c r="F1122" s="8" t="s">
        <v>3628</v>
      </c>
      <c r="H1122" s="7" t="s">
        <v>3619</v>
      </c>
      <c r="I1122" s="7" t="s">
        <v>3622</v>
      </c>
      <c r="L1122" s="7" t="s">
        <v>38</v>
      </c>
      <c r="M1122" s="7" t="s">
        <v>2213</v>
      </c>
      <c r="N1122" s="7" t="s">
        <v>1667</v>
      </c>
      <c r="O1122" s="7" t="s">
        <v>3247</v>
      </c>
      <c r="P1122" s="7" t="s">
        <v>3248</v>
      </c>
      <c r="Q1122" s="7" t="s">
        <v>3249</v>
      </c>
      <c r="R1122" t="s">
        <v>3631</v>
      </c>
    </row>
    <row r="1123" spans="1:18" x14ac:dyDescent="0.3">
      <c r="A1123" s="7" t="str">
        <f>HYPERLINK("https://hsdes.intel.com/resource/14013180217","14013180217")</f>
        <v>14013180217</v>
      </c>
      <c r="B1123" s="7" t="s">
        <v>3250</v>
      </c>
      <c r="C1123" s="7" t="s">
        <v>1666</v>
      </c>
      <c r="D1123" s="7" t="s">
        <v>3612</v>
      </c>
      <c r="E1123" s="7" t="s">
        <v>3617</v>
      </c>
      <c r="F1123" s="8" t="s">
        <v>3628</v>
      </c>
      <c r="H1123" s="7" t="s">
        <v>3620</v>
      </c>
      <c r="I1123" s="7" t="s">
        <v>3643</v>
      </c>
      <c r="L1123" s="7" t="s">
        <v>142</v>
      </c>
      <c r="M1123" s="7" t="s">
        <v>94</v>
      </c>
      <c r="N1123" s="7" t="s">
        <v>1667</v>
      </c>
      <c r="O1123" s="7" t="s">
        <v>358</v>
      </c>
      <c r="P1123" s="7" t="s">
        <v>358</v>
      </c>
      <c r="Q1123" s="7" t="s">
        <v>3251</v>
      </c>
      <c r="R1123" t="s">
        <v>3631</v>
      </c>
    </row>
    <row r="1124" spans="1:18" x14ac:dyDescent="0.3">
      <c r="A1124" s="7" t="str">
        <f>HYPERLINK("https://hsdes.intel.com/resource/14013180228","14013180228")</f>
        <v>14013180228</v>
      </c>
      <c r="B1124" s="7" t="s">
        <v>3252</v>
      </c>
      <c r="C1124" s="7" t="s">
        <v>121</v>
      </c>
      <c r="D1124" s="7" t="s">
        <v>3612</v>
      </c>
      <c r="E1124" s="7" t="s">
        <v>3617</v>
      </c>
      <c r="F1124" s="8" t="s">
        <v>3628</v>
      </c>
      <c r="H1124" s="7" t="s">
        <v>3618</v>
      </c>
      <c r="J1124" s="6" t="s">
        <v>3534</v>
      </c>
      <c r="L1124" s="7" t="s">
        <v>142</v>
      </c>
      <c r="M1124" s="7" t="s">
        <v>94</v>
      </c>
      <c r="N1124" s="7" t="s">
        <v>3253</v>
      </c>
      <c r="O1124" s="7" t="s">
        <v>358</v>
      </c>
      <c r="P1124" s="7" t="s">
        <v>358</v>
      </c>
      <c r="Q1124" s="7" t="s">
        <v>3254</v>
      </c>
      <c r="R1124" t="s">
        <v>3631</v>
      </c>
    </row>
    <row r="1125" spans="1:18" x14ac:dyDescent="0.3">
      <c r="A1125" s="7" t="str">
        <f>HYPERLINK("https://hsdes.intel.com/resource/14013180236","14013180236")</f>
        <v>14013180236</v>
      </c>
      <c r="B1125" s="7" t="s">
        <v>3255</v>
      </c>
      <c r="C1125" s="7" t="s">
        <v>121</v>
      </c>
      <c r="D1125" s="7" t="s">
        <v>3612</v>
      </c>
      <c r="E1125" s="7" t="s">
        <v>3617</v>
      </c>
      <c r="F1125" s="8" t="s">
        <v>3628</v>
      </c>
      <c r="H1125" s="7" t="s">
        <v>3620</v>
      </c>
      <c r="I1125" s="7" t="s">
        <v>3634</v>
      </c>
      <c r="L1125" s="7" t="s">
        <v>142</v>
      </c>
      <c r="M1125" s="7" t="s">
        <v>94</v>
      </c>
      <c r="N1125" s="7" t="s">
        <v>1667</v>
      </c>
      <c r="O1125" s="7" t="s">
        <v>358</v>
      </c>
      <c r="P1125" s="7" t="s">
        <v>358</v>
      </c>
      <c r="Q1125" s="7" t="s">
        <v>3256</v>
      </c>
      <c r="R1125" t="s">
        <v>3631</v>
      </c>
    </row>
    <row r="1126" spans="1:18" x14ac:dyDescent="0.3">
      <c r="A1126" s="7" t="str">
        <f>HYPERLINK("https://hsdes.intel.com/resource/14013180239","14013180239")</f>
        <v>14013180239</v>
      </c>
      <c r="B1126" s="7" t="s">
        <v>3257</v>
      </c>
      <c r="C1126" s="7" t="s">
        <v>121</v>
      </c>
      <c r="D1126" s="7" t="s">
        <v>3612</v>
      </c>
      <c r="E1126" s="7" t="s">
        <v>3617</v>
      </c>
      <c r="F1126" s="8" t="s">
        <v>3628</v>
      </c>
      <c r="H1126" s="7" t="s">
        <v>3618</v>
      </c>
      <c r="I1126" s="7" t="s">
        <v>3645</v>
      </c>
      <c r="L1126" s="7" t="s">
        <v>142</v>
      </c>
      <c r="M1126" s="7" t="s">
        <v>94</v>
      </c>
      <c r="N1126" s="7" t="s">
        <v>56</v>
      </c>
      <c r="O1126" s="7" t="s">
        <v>358</v>
      </c>
      <c r="P1126" s="7" t="s">
        <v>358</v>
      </c>
      <c r="Q1126" s="7" t="s">
        <v>3258</v>
      </c>
      <c r="R1126" t="s">
        <v>3632</v>
      </c>
    </row>
    <row r="1127" spans="1:18" x14ac:dyDescent="0.3">
      <c r="A1127" s="7" t="str">
        <f>HYPERLINK("https://hsdes.intel.com/resource/14013180248","14013180248")</f>
        <v>14013180248</v>
      </c>
      <c r="B1127" s="7" t="s">
        <v>3259</v>
      </c>
      <c r="C1127" s="7" t="s">
        <v>121</v>
      </c>
      <c r="D1127" s="7" t="s">
        <v>3612</v>
      </c>
      <c r="E1127" s="7" t="s">
        <v>3617</v>
      </c>
      <c r="F1127" s="8" t="s">
        <v>3628</v>
      </c>
      <c r="H1127" s="7" t="s">
        <v>3620</v>
      </c>
      <c r="I1127" s="7" t="s">
        <v>3634</v>
      </c>
      <c r="L1127" s="7" t="s">
        <v>142</v>
      </c>
      <c r="M1127" s="7" t="s">
        <v>94</v>
      </c>
      <c r="N1127" s="7" t="s">
        <v>1667</v>
      </c>
      <c r="O1127" s="7" t="s">
        <v>358</v>
      </c>
      <c r="P1127" s="7" t="s">
        <v>358</v>
      </c>
      <c r="Q1127" s="7" t="s">
        <v>3260</v>
      </c>
      <c r="R1127" t="s">
        <v>3631</v>
      </c>
    </row>
    <row r="1128" spans="1:18" x14ac:dyDescent="0.3">
      <c r="A1128" s="7" t="str">
        <f>HYPERLINK("https://hsdes.intel.com/resource/14013180286","14013180286")</f>
        <v>14013180286</v>
      </c>
      <c r="B1128" s="7" t="s">
        <v>3261</v>
      </c>
      <c r="C1128" s="7" t="s">
        <v>1666</v>
      </c>
      <c r="D1128" s="7" t="s">
        <v>3612</v>
      </c>
      <c r="E1128" s="7" t="s">
        <v>3617</v>
      </c>
      <c r="F1128" s="8" t="s">
        <v>3628</v>
      </c>
      <c r="H1128" s="7" t="s">
        <v>3620</v>
      </c>
      <c r="I1128" s="7" t="s">
        <v>3622</v>
      </c>
      <c r="L1128" s="7" t="s">
        <v>142</v>
      </c>
      <c r="M1128" s="7" t="s">
        <v>94</v>
      </c>
      <c r="N1128" s="7" t="s">
        <v>3262</v>
      </c>
      <c r="O1128" s="7" t="s">
        <v>3244</v>
      </c>
      <c r="P1128" s="7" t="s">
        <v>48</v>
      </c>
      <c r="Q1128" s="7" t="s">
        <v>3263</v>
      </c>
      <c r="R1128" t="s">
        <v>3631</v>
      </c>
    </row>
    <row r="1129" spans="1:18" x14ac:dyDescent="0.3">
      <c r="A1129" s="7" t="str">
        <f>HYPERLINK("https://hsdes.intel.com/resource/14013180355","14013180355")</f>
        <v>14013180355</v>
      </c>
      <c r="B1129" s="7" t="s">
        <v>3264</v>
      </c>
      <c r="C1129" s="7" t="s">
        <v>231</v>
      </c>
      <c r="D1129" s="7" t="s">
        <v>3612</v>
      </c>
      <c r="E1129" s="7" t="s">
        <v>3617</v>
      </c>
      <c r="F1129" s="8" t="s">
        <v>3628</v>
      </c>
      <c r="H1129" s="7" t="s">
        <v>3620</v>
      </c>
      <c r="I1129" s="7" t="s">
        <v>3622</v>
      </c>
      <c r="L1129" s="7" t="s">
        <v>142</v>
      </c>
      <c r="M1129" s="7" t="s">
        <v>94</v>
      </c>
      <c r="N1129" s="7" t="s">
        <v>1667</v>
      </c>
      <c r="O1129" s="7" t="s">
        <v>3265</v>
      </c>
      <c r="P1129" s="7" t="s">
        <v>3266</v>
      </c>
      <c r="Q1129" s="7" t="s">
        <v>3267</v>
      </c>
      <c r="R1129" t="s">
        <v>3631</v>
      </c>
    </row>
    <row r="1130" spans="1:18" x14ac:dyDescent="0.3">
      <c r="A1130" s="7" t="str">
        <f>HYPERLINK("https://hsdes.intel.com/resource/14013184048","14013184048")</f>
        <v>14013184048</v>
      </c>
      <c r="B1130" s="7" t="s">
        <v>3268</v>
      </c>
      <c r="C1130" s="7" t="s">
        <v>7</v>
      </c>
      <c r="D1130" s="7" t="s">
        <v>3612</v>
      </c>
      <c r="E1130" s="7" t="s">
        <v>3617</v>
      </c>
      <c r="F1130" s="8" t="s">
        <v>3628</v>
      </c>
      <c r="H1130" s="7" t="s">
        <v>3620</v>
      </c>
      <c r="I1130" s="7" t="s">
        <v>3622</v>
      </c>
      <c r="L1130" s="7" t="s">
        <v>8</v>
      </c>
      <c r="M1130" s="7" t="s">
        <v>9</v>
      </c>
      <c r="N1130" s="7" t="s">
        <v>738</v>
      </c>
      <c r="O1130" s="7" t="s">
        <v>3269</v>
      </c>
      <c r="P1130" s="7" t="s">
        <v>2404</v>
      </c>
      <c r="Q1130" s="7" t="s">
        <v>3270</v>
      </c>
      <c r="R1130" t="s">
        <v>3631</v>
      </c>
    </row>
    <row r="1131" spans="1:18" x14ac:dyDescent="0.3">
      <c r="A1131" s="7" t="str">
        <f>HYPERLINK("https://hsdes.intel.com/resource/14013184052","14013184052")</f>
        <v>14013184052</v>
      </c>
      <c r="B1131" s="7" t="s">
        <v>3271</v>
      </c>
      <c r="C1131" s="7" t="s">
        <v>7</v>
      </c>
      <c r="D1131" s="7" t="s">
        <v>3612</v>
      </c>
      <c r="E1131" s="7" t="s">
        <v>3617</v>
      </c>
      <c r="F1131" s="8" t="s">
        <v>3628</v>
      </c>
      <c r="H1131" s="7" t="s">
        <v>3620</v>
      </c>
      <c r="I1131" s="7" t="s">
        <v>3644</v>
      </c>
      <c r="L1131" s="7" t="s">
        <v>8</v>
      </c>
      <c r="M1131" s="7" t="s">
        <v>9</v>
      </c>
      <c r="N1131" s="7" t="s">
        <v>738</v>
      </c>
      <c r="O1131" s="7" t="s">
        <v>3269</v>
      </c>
      <c r="P1131" s="7" t="s">
        <v>3272</v>
      </c>
      <c r="Q1131" s="7" t="s">
        <v>3273</v>
      </c>
      <c r="R1131" t="s">
        <v>3631</v>
      </c>
    </row>
    <row r="1132" spans="1:18" x14ac:dyDescent="0.3">
      <c r="A1132" s="7" t="str">
        <f>HYPERLINK("https://hsdes.intel.com/resource/14013184070","14013184070")</f>
        <v>14013184070</v>
      </c>
      <c r="B1132" s="7" t="s">
        <v>3274</v>
      </c>
      <c r="C1132" s="7" t="s">
        <v>7</v>
      </c>
      <c r="D1132" s="7" t="s">
        <v>3612</v>
      </c>
      <c r="E1132" s="7" t="s">
        <v>3617</v>
      </c>
      <c r="F1132" s="8" t="s">
        <v>3628</v>
      </c>
      <c r="H1132" s="7" t="s">
        <v>3620</v>
      </c>
      <c r="I1132" s="7" t="s">
        <v>3644</v>
      </c>
      <c r="L1132" s="7" t="s">
        <v>8</v>
      </c>
      <c r="M1132" s="7" t="s">
        <v>9</v>
      </c>
      <c r="N1132" s="7" t="s">
        <v>738</v>
      </c>
      <c r="O1132" s="7" t="s">
        <v>3269</v>
      </c>
      <c r="P1132" s="7" t="s">
        <v>3272</v>
      </c>
      <c r="Q1132" s="7" t="s">
        <v>3275</v>
      </c>
      <c r="R1132" t="s">
        <v>3631</v>
      </c>
    </row>
    <row r="1133" spans="1:18" x14ac:dyDescent="0.3">
      <c r="A1133" s="7" t="str">
        <f>HYPERLINK("https://hsdes.intel.com/resource/14013184074","14013184074")</f>
        <v>14013184074</v>
      </c>
      <c r="B1133" s="7" t="s">
        <v>3276</v>
      </c>
      <c r="C1133" s="7" t="s">
        <v>7</v>
      </c>
      <c r="D1133" s="7" t="s">
        <v>3612</v>
      </c>
      <c r="E1133" s="7" t="s">
        <v>3617</v>
      </c>
      <c r="F1133" s="8" t="s">
        <v>3628</v>
      </c>
      <c r="H1133" s="7" t="s">
        <v>3620</v>
      </c>
      <c r="I1133" s="7" t="s">
        <v>3644</v>
      </c>
      <c r="L1133" s="7" t="s">
        <v>8</v>
      </c>
      <c r="M1133" s="7" t="s">
        <v>9</v>
      </c>
      <c r="N1133" s="7" t="s">
        <v>738</v>
      </c>
      <c r="O1133" s="7" t="s">
        <v>314</v>
      </c>
      <c r="P1133" s="7" t="s">
        <v>319</v>
      </c>
      <c r="Q1133" s="7" t="s">
        <v>3277</v>
      </c>
      <c r="R1133" t="s">
        <v>3631</v>
      </c>
    </row>
    <row r="1134" spans="1:18" x14ac:dyDescent="0.3">
      <c r="A1134" s="7" t="str">
        <f>HYPERLINK("https://hsdes.intel.com/resource/14013184079","14013184079")</f>
        <v>14013184079</v>
      </c>
      <c r="B1134" s="7" t="s">
        <v>3278</v>
      </c>
      <c r="C1134" s="7" t="s">
        <v>7</v>
      </c>
      <c r="D1134" s="7" t="s">
        <v>3612</v>
      </c>
      <c r="E1134" s="7" t="s">
        <v>3617</v>
      </c>
      <c r="F1134" s="8" t="s">
        <v>3628</v>
      </c>
      <c r="H1134" s="7" t="s">
        <v>3620</v>
      </c>
      <c r="I1134" s="7" t="s">
        <v>3644</v>
      </c>
      <c r="L1134" s="7" t="s">
        <v>8</v>
      </c>
      <c r="M1134" s="7" t="s">
        <v>9</v>
      </c>
      <c r="N1134" s="7" t="s">
        <v>738</v>
      </c>
      <c r="O1134" s="7" t="s">
        <v>318</v>
      </c>
      <c r="P1134" s="7" t="s">
        <v>319</v>
      </c>
      <c r="Q1134" s="7" t="s">
        <v>3279</v>
      </c>
      <c r="R1134" t="s">
        <v>3632</v>
      </c>
    </row>
    <row r="1135" spans="1:18" x14ac:dyDescent="0.3">
      <c r="A1135" s="7" t="str">
        <f>HYPERLINK("https://hsdes.intel.com/resource/14013184081","14013184081")</f>
        <v>14013184081</v>
      </c>
      <c r="B1135" s="7" t="s">
        <v>3280</v>
      </c>
      <c r="C1135" s="7" t="s">
        <v>7</v>
      </c>
      <c r="D1135" s="7" t="s">
        <v>3612</v>
      </c>
      <c r="E1135" s="7" t="s">
        <v>3617</v>
      </c>
      <c r="F1135" s="8" t="s">
        <v>3628</v>
      </c>
      <c r="H1135" s="7" t="s">
        <v>3620</v>
      </c>
      <c r="I1135" s="7" t="s">
        <v>3644</v>
      </c>
      <c r="L1135" s="7" t="s">
        <v>8</v>
      </c>
      <c r="M1135" s="7" t="s">
        <v>9</v>
      </c>
      <c r="N1135" s="7" t="s">
        <v>738</v>
      </c>
      <c r="O1135" s="7" t="s">
        <v>318</v>
      </c>
      <c r="P1135" s="7" t="s">
        <v>323</v>
      </c>
      <c r="Q1135" s="7" t="s">
        <v>3281</v>
      </c>
      <c r="R1135" t="s">
        <v>3632</v>
      </c>
    </row>
    <row r="1136" spans="1:18" x14ac:dyDescent="0.3">
      <c r="A1136" s="7" t="str">
        <f>HYPERLINK("https://hsdes.intel.com/resource/14013184549","14013184549")</f>
        <v>14013184549</v>
      </c>
      <c r="B1136" s="7" t="s">
        <v>3282</v>
      </c>
      <c r="C1136" s="7" t="s">
        <v>225</v>
      </c>
      <c r="D1136" s="7" t="s">
        <v>3612</v>
      </c>
      <c r="E1136" s="7" t="s">
        <v>3617</v>
      </c>
      <c r="F1136" s="8" t="s">
        <v>3628</v>
      </c>
      <c r="H1136" s="7" t="s">
        <v>3620</v>
      </c>
      <c r="I1136" s="7" t="s">
        <v>3622</v>
      </c>
      <c r="L1136" s="7" t="s">
        <v>100</v>
      </c>
      <c r="M1136" s="7" t="s">
        <v>94</v>
      </c>
      <c r="N1136" s="7" t="s">
        <v>3283</v>
      </c>
      <c r="O1136" s="7" t="s">
        <v>3284</v>
      </c>
      <c r="P1136" s="7" t="s">
        <v>411</v>
      </c>
      <c r="Q1136" s="7" t="s">
        <v>3285</v>
      </c>
      <c r="R1136" t="s">
        <v>3631</v>
      </c>
    </row>
    <row r="1137" spans="1:19" x14ac:dyDescent="0.3">
      <c r="A1137" s="7" t="str">
        <f>HYPERLINK("https://hsdes.intel.com/resource/14013184882","14013184882")</f>
        <v>14013184882</v>
      </c>
      <c r="B1137" s="7" t="s">
        <v>3286</v>
      </c>
      <c r="C1137" s="7" t="s">
        <v>2535</v>
      </c>
      <c r="D1137" s="7" t="s">
        <v>3612</v>
      </c>
      <c r="E1137" s="7" t="s">
        <v>3617</v>
      </c>
      <c r="F1137" s="8" t="s">
        <v>3628</v>
      </c>
      <c r="H1137" s="7" t="s">
        <v>3620</v>
      </c>
      <c r="I1137" s="7" t="s">
        <v>3634</v>
      </c>
      <c r="L1137" s="7" t="s">
        <v>100</v>
      </c>
      <c r="M1137" s="7" t="s">
        <v>94</v>
      </c>
      <c r="N1137" s="7" t="s">
        <v>134</v>
      </c>
      <c r="O1137" s="7" t="s">
        <v>3287</v>
      </c>
      <c r="P1137" s="7" t="s">
        <v>3288</v>
      </c>
      <c r="Q1137" s="7" t="s">
        <v>3289</v>
      </c>
      <c r="R1137" t="s">
        <v>3632</v>
      </c>
    </row>
    <row r="1138" spans="1:19" x14ac:dyDescent="0.3">
      <c r="A1138" s="7" t="str">
        <f>HYPERLINK("https://hsdes.intel.com/resource/14013184884","14013184884")</f>
        <v>14013184884</v>
      </c>
      <c r="B1138" s="7" t="s">
        <v>3290</v>
      </c>
      <c r="C1138" s="7" t="s">
        <v>2535</v>
      </c>
      <c r="D1138" s="7" t="s">
        <v>3612</v>
      </c>
      <c r="E1138" s="7" t="s">
        <v>3617</v>
      </c>
      <c r="F1138" s="8" t="s">
        <v>3628</v>
      </c>
      <c r="H1138" s="7" t="s">
        <v>3620</v>
      </c>
      <c r="I1138" s="7" t="s">
        <v>3634</v>
      </c>
      <c r="L1138" s="7" t="s">
        <v>100</v>
      </c>
      <c r="M1138" s="7" t="s">
        <v>94</v>
      </c>
      <c r="N1138" s="7" t="s">
        <v>134</v>
      </c>
      <c r="O1138" s="7" t="s">
        <v>3287</v>
      </c>
      <c r="P1138" s="7" t="s">
        <v>3288</v>
      </c>
      <c r="Q1138" s="7" t="s">
        <v>3291</v>
      </c>
      <c r="R1138" t="s">
        <v>3633</v>
      </c>
      <c r="S1138" s="22"/>
    </row>
    <row r="1139" spans="1:19" x14ac:dyDescent="0.3">
      <c r="A1139" s="7" t="str">
        <f>HYPERLINK("https://hsdes.intel.com/resource/14013184885","14013184885")</f>
        <v>14013184885</v>
      </c>
      <c r="B1139" s="7" t="s">
        <v>3292</v>
      </c>
      <c r="C1139" s="7" t="s">
        <v>2535</v>
      </c>
      <c r="D1139" s="7" t="s">
        <v>3612</v>
      </c>
      <c r="E1139" s="7" t="s">
        <v>3617</v>
      </c>
      <c r="F1139" s="8" t="s">
        <v>3628</v>
      </c>
      <c r="H1139" s="7" t="s">
        <v>3620</v>
      </c>
      <c r="I1139" s="7" t="s">
        <v>3634</v>
      </c>
      <c r="L1139" s="7" t="s">
        <v>100</v>
      </c>
      <c r="M1139" s="7" t="s">
        <v>94</v>
      </c>
      <c r="N1139" s="7" t="s">
        <v>3293</v>
      </c>
      <c r="O1139" s="7" t="s">
        <v>3287</v>
      </c>
      <c r="P1139" s="7" t="s">
        <v>3288</v>
      </c>
      <c r="Q1139" s="7" t="s">
        <v>3294</v>
      </c>
      <c r="R1139" t="s">
        <v>3632</v>
      </c>
    </row>
    <row r="1140" spans="1:19" x14ac:dyDescent="0.3">
      <c r="A1140" s="7" t="str">
        <f>HYPERLINK("https://hsdes.intel.com/resource/14013184886","14013184886")</f>
        <v>14013184886</v>
      </c>
      <c r="B1140" s="7" t="s">
        <v>3295</v>
      </c>
      <c r="C1140" s="7" t="s">
        <v>2535</v>
      </c>
      <c r="D1140" s="7" t="s">
        <v>3612</v>
      </c>
      <c r="E1140" s="7" t="s">
        <v>3617</v>
      </c>
      <c r="F1140" s="8" t="s">
        <v>3628</v>
      </c>
      <c r="H1140" s="7" t="s">
        <v>3620</v>
      </c>
      <c r="I1140" s="7" t="s">
        <v>3634</v>
      </c>
      <c r="L1140" s="7" t="s">
        <v>100</v>
      </c>
      <c r="M1140" s="7" t="s">
        <v>9</v>
      </c>
      <c r="N1140" s="7" t="s">
        <v>3293</v>
      </c>
      <c r="O1140" s="7" t="s">
        <v>3287</v>
      </c>
      <c r="P1140" s="7" t="s">
        <v>3288</v>
      </c>
      <c r="Q1140" s="7" t="s">
        <v>3296</v>
      </c>
      <c r="R1140" t="s">
        <v>3631</v>
      </c>
    </row>
    <row r="1141" spans="1:19" x14ac:dyDescent="0.3">
      <c r="A1141" s="7" t="str">
        <f>HYPERLINK("https://hsdes.intel.com/resource/14013184965","14013184965")</f>
        <v>14013184965</v>
      </c>
      <c r="B1141" s="7" t="s">
        <v>3297</v>
      </c>
      <c r="C1141" s="7" t="s">
        <v>2535</v>
      </c>
      <c r="D1141" s="7" t="s">
        <v>3612</v>
      </c>
      <c r="E1141" s="7" t="s">
        <v>3617</v>
      </c>
      <c r="F1141" s="8" t="s">
        <v>3628</v>
      </c>
      <c r="H1141" s="7" t="s">
        <v>3619</v>
      </c>
      <c r="I1141" s="7" t="s">
        <v>3622</v>
      </c>
      <c r="L1141" s="7" t="s">
        <v>100</v>
      </c>
      <c r="M1141" s="7" t="s">
        <v>94</v>
      </c>
      <c r="N1141" s="7" t="s">
        <v>134</v>
      </c>
      <c r="O1141" s="7" t="s">
        <v>3287</v>
      </c>
      <c r="P1141" s="7" t="s">
        <v>3288</v>
      </c>
      <c r="Q1141" s="7" t="s">
        <v>3298</v>
      </c>
      <c r="R1141" t="s">
        <v>3631</v>
      </c>
    </row>
    <row r="1142" spans="1:19" x14ac:dyDescent="0.3">
      <c r="A1142" s="7" t="str">
        <f>HYPERLINK("https://hsdes.intel.com/resource/14013185088","14013185088")</f>
        <v>14013185088</v>
      </c>
      <c r="B1142" s="7" t="s">
        <v>3299</v>
      </c>
      <c r="C1142" s="7" t="s">
        <v>2535</v>
      </c>
      <c r="D1142" s="7" t="s">
        <v>3612</v>
      </c>
      <c r="E1142" s="7" t="s">
        <v>3617</v>
      </c>
      <c r="F1142" s="8" t="s">
        <v>3628</v>
      </c>
      <c r="H1142" s="7" t="s">
        <v>3620</v>
      </c>
      <c r="I1142" s="7" t="s">
        <v>3634</v>
      </c>
      <c r="L1142" s="7" t="s">
        <v>100</v>
      </c>
      <c r="M1142" s="7" t="s">
        <v>94</v>
      </c>
      <c r="N1142" s="7" t="s">
        <v>134</v>
      </c>
      <c r="O1142" s="7" t="s">
        <v>3300</v>
      </c>
      <c r="P1142" s="7" t="s">
        <v>3301</v>
      </c>
      <c r="Q1142" s="7" t="s">
        <v>3302</v>
      </c>
      <c r="R1142" t="s">
        <v>3631</v>
      </c>
    </row>
    <row r="1143" spans="1:19" x14ac:dyDescent="0.3">
      <c r="A1143" s="7" t="str">
        <f>HYPERLINK("https://hsdes.intel.com/resource/14013185094","14013185094")</f>
        <v>14013185094</v>
      </c>
      <c r="B1143" s="7" t="s">
        <v>3303</v>
      </c>
      <c r="C1143" s="7" t="s">
        <v>2535</v>
      </c>
      <c r="D1143" s="7" t="s">
        <v>3612</v>
      </c>
      <c r="E1143" s="7" t="s">
        <v>3617</v>
      </c>
      <c r="F1143" s="8" t="s">
        <v>3628</v>
      </c>
      <c r="H1143" s="7" t="s">
        <v>3620</v>
      </c>
      <c r="I1143" s="7" t="s">
        <v>3634</v>
      </c>
      <c r="L1143" s="7" t="s">
        <v>100</v>
      </c>
      <c r="M1143" s="7" t="s">
        <v>94</v>
      </c>
      <c r="N1143" s="7" t="s">
        <v>134</v>
      </c>
      <c r="O1143" s="7" t="s">
        <v>3300</v>
      </c>
      <c r="P1143" s="7" t="s">
        <v>3301</v>
      </c>
      <c r="Q1143" s="7" t="s">
        <v>3304</v>
      </c>
      <c r="R1143" t="s">
        <v>3631</v>
      </c>
    </row>
    <row r="1144" spans="1:19" x14ac:dyDescent="0.3">
      <c r="A1144" s="7" t="str">
        <f>HYPERLINK("https://hsdes.intel.com/resource/14013185096","14013185096")</f>
        <v>14013185096</v>
      </c>
      <c r="B1144" s="7" t="s">
        <v>3305</v>
      </c>
      <c r="C1144" s="7" t="s">
        <v>2535</v>
      </c>
      <c r="D1144" s="7" t="s">
        <v>3612</v>
      </c>
      <c r="E1144" s="7" t="s">
        <v>3617</v>
      </c>
      <c r="F1144" s="8" t="s">
        <v>3628</v>
      </c>
      <c r="H1144" s="7" t="s">
        <v>3620</v>
      </c>
      <c r="I1144" s="7" t="s">
        <v>3634</v>
      </c>
      <c r="L1144" s="7" t="s">
        <v>100</v>
      </c>
      <c r="M1144" s="7" t="s">
        <v>94</v>
      </c>
      <c r="N1144" s="7" t="s">
        <v>134</v>
      </c>
      <c r="O1144" s="7" t="s">
        <v>3300</v>
      </c>
      <c r="P1144" s="7" t="s">
        <v>3301</v>
      </c>
      <c r="Q1144" s="7" t="s">
        <v>3306</v>
      </c>
      <c r="R1144" t="s">
        <v>3631</v>
      </c>
    </row>
    <row r="1145" spans="1:19" x14ac:dyDescent="0.3">
      <c r="A1145" s="7" t="str">
        <f>HYPERLINK("https://hsdes.intel.com/resource/14013185098","14013185098")</f>
        <v>14013185098</v>
      </c>
      <c r="B1145" s="7" t="s">
        <v>3307</v>
      </c>
      <c r="C1145" s="7" t="s">
        <v>2535</v>
      </c>
      <c r="D1145" s="7" t="s">
        <v>3612</v>
      </c>
      <c r="E1145" s="7" t="s">
        <v>3617</v>
      </c>
      <c r="F1145" s="8" t="s">
        <v>3628</v>
      </c>
      <c r="H1145" s="7" t="s">
        <v>3620</v>
      </c>
      <c r="I1145" s="7" t="s">
        <v>3634</v>
      </c>
      <c r="L1145" s="7" t="s">
        <v>100</v>
      </c>
      <c r="M1145" s="7" t="s">
        <v>94</v>
      </c>
      <c r="N1145" s="7" t="s">
        <v>134</v>
      </c>
      <c r="O1145" s="7" t="s">
        <v>3300</v>
      </c>
      <c r="P1145" s="7" t="s">
        <v>3301</v>
      </c>
      <c r="Q1145" s="7" t="s">
        <v>3308</v>
      </c>
      <c r="R1145" t="s">
        <v>3631</v>
      </c>
    </row>
    <row r="1146" spans="1:19" x14ac:dyDescent="0.3">
      <c r="A1146" s="7" t="str">
        <f>HYPERLINK("https://hsdes.intel.com/resource/14013185100","14013185100")</f>
        <v>14013185100</v>
      </c>
      <c r="B1146" s="7" t="s">
        <v>3309</v>
      </c>
      <c r="C1146" s="7" t="s">
        <v>2535</v>
      </c>
      <c r="D1146" s="7" t="s">
        <v>3612</v>
      </c>
      <c r="E1146" s="7" t="s">
        <v>3617</v>
      </c>
      <c r="F1146" s="8" t="s">
        <v>3628</v>
      </c>
      <c r="H1146" s="7" t="s">
        <v>3620</v>
      </c>
      <c r="I1146" s="7" t="s">
        <v>3622</v>
      </c>
      <c r="L1146" s="7" t="s">
        <v>100</v>
      </c>
      <c r="M1146" s="7" t="s">
        <v>94</v>
      </c>
      <c r="N1146" s="7" t="s">
        <v>134</v>
      </c>
      <c r="O1146" s="7" t="s">
        <v>3300</v>
      </c>
      <c r="P1146" s="7" t="s">
        <v>3301</v>
      </c>
      <c r="Q1146" s="7" t="s">
        <v>3310</v>
      </c>
      <c r="R1146" t="s">
        <v>3632</v>
      </c>
    </row>
    <row r="1147" spans="1:19" x14ac:dyDescent="0.3">
      <c r="A1147" s="7" t="str">
        <f>HYPERLINK("https://hsdes.intel.com/resource/14013185197","14013185197")</f>
        <v>14013185197</v>
      </c>
      <c r="B1147" s="7" t="s">
        <v>3311</v>
      </c>
      <c r="C1147" s="7" t="s">
        <v>2535</v>
      </c>
      <c r="D1147" s="7" t="s">
        <v>3612</v>
      </c>
      <c r="E1147" s="7" t="s">
        <v>3617</v>
      </c>
      <c r="F1147" s="8" t="s">
        <v>3628</v>
      </c>
      <c r="H1147" s="7" t="s">
        <v>3620</v>
      </c>
      <c r="I1147" s="7" t="s">
        <v>3634</v>
      </c>
      <c r="L1147" s="7" t="s">
        <v>100</v>
      </c>
      <c r="M1147" s="7" t="s">
        <v>94</v>
      </c>
      <c r="N1147" s="7" t="s">
        <v>3293</v>
      </c>
      <c r="O1147" s="7" t="s">
        <v>3312</v>
      </c>
      <c r="P1147" s="7" t="s">
        <v>3313</v>
      </c>
      <c r="Q1147" s="7" t="s">
        <v>3314</v>
      </c>
      <c r="R1147" t="s">
        <v>3632</v>
      </c>
    </row>
    <row r="1148" spans="1:19" x14ac:dyDescent="0.3">
      <c r="A1148" s="7" t="str">
        <f>HYPERLINK("https://hsdes.intel.com/resource/14013185495","14013185495")</f>
        <v>14013185495</v>
      </c>
      <c r="B1148" s="7" t="s">
        <v>3315</v>
      </c>
      <c r="C1148" s="7" t="s">
        <v>225</v>
      </c>
      <c r="D1148" s="7" t="s">
        <v>3612</v>
      </c>
      <c r="E1148" s="7" t="s">
        <v>3617</v>
      </c>
      <c r="F1148" s="8" t="s">
        <v>3628</v>
      </c>
      <c r="H1148" s="7" t="s">
        <v>3620</v>
      </c>
      <c r="I1148" s="7" t="s">
        <v>3622</v>
      </c>
      <c r="L1148" s="7" t="s">
        <v>100</v>
      </c>
      <c r="M1148" s="7" t="s">
        <v>94</v>
      </c>
      <c r="N1148" s="7" t="s">
        <v>3283</v>
      </c>
      <c r="O1148" s="7" t="s">
        <v>3316</v>
      </c>
      <c r="P1148" s="7" t="s">
        <v>3317</v>
      </c>
      <c r="Q1148" s="7" t="s">
        <v>3318</v>
      </c>
      <c r="R1148" t="s">
        <v>3633</v>
      </c>
    </row>
    <row r="1149" spans="1:19" x14ac:dyDescent="0.3">
      <c r="A1149" s="7" t="str">
        <f>HYPERLINK("https://hsdes.intel.com/resource/14013185512","14013185512")</f>
        <v>14013185512</v>
      </c>
      <c r="B1149" s="7" t="s">
        <v>3319</v>
      </c>
      <c r="C1149" s="7" t="s">
        <v>2535</v>
      </c>
      <c r="D1149" s="7" t="s">
        <v>3612</v>
      </c>
      <c r="E1149" s="7" t="s">
        <v>3617</v>
      </c>
      <c r="F1149" s="8" t="s">
        <v>3628</v>
      </c>
      <c r="H1149" s="7" t="s">
        <v>3620</v>
      </c>
      <c r="I1149" s="7" t="s">
        <v>3634</v>
      </c>
      <c r="L1149" s="7" t="s">
        <v>100</v>
      </c>
      <c r="M1149" s="7" t="s">
        <v>94</v>
      </c>
      <c r="N1149" s="7" t="s">
        <v>3293</v>
      </c>
      <c r="O1149" s="7" t="s">
        <v>2528</v>
      </c>
      <c r="P1149" s="7" t="s">
        <v>3320</v>
      </c>
      <c r="Q1149" s="7" t="s">
        <v>3321</v>
      </c>
      <c r="R1149" t="s">
        <v>3631</v>
      </c>
    </row>
    <row r="1150" spans="1:19" x14ac:dyDescent="0.3">
      <c r="A1150" s="7" t="str">
        <f>HYPERLINK("https://hsdes.intel.com/resource/14013185587","14013185587")</f>
        <v>14013185587</v>
      </c>
      <c r="B1150" s="7" t="s">
        <v>3322</v>
      </c>
      <c r="C1150" s="7" t="s">
        <v>37</v>
      </c>
      <c r="D1150" s="7" t="s">
        <v>3613</v>
      </c>
      <c r="E1150" s="7" t="s">
        <v>3617</v>
      </c>
      <c r="F1150" s="8" t="s">
        <v>3628</v>
      </c>
      <c r="H1150" s="7" t="s">
        <v>3618</v>
      </c>
      <c r="J1150" s="6" t="s">
        <v>3534</v>
      </c>
      <c r="L1150" s="7" t="s">
        <v>38</v>
      </c>
      <c r="M1150" s="7" t="s">
        <v>94</v>
      </c>
      <c r="N1150" s="7" t="s">
        <v>39</v>
      </c>
      <c r="O1150" s="7" t="s">
        <v>3323</v>
      </c>
      <c r="P1150" s="7" t="s">
        <v>3324</v>
      </c>
      <c r="Q1150" s="7" t="s">
        <v>3325</v>
      </c>
      <c r="R1150" t="s">
        <v>3632</v>
      </c>
    </row>
    <row r="1151" spans="1:19" x14ac:dyDescent="0.3">
      <c r="A1151" s="7" t="str">
        <f>HYPERLINK("https://hsdes.intel.com/resource/14013185636","14013185636")</f>
        <v>14013185636</v>
      </c>
      <c r="B1151" s="7" t="s">
        <v>3326</v>
      </c>
      <c r="C1151" s="7" t="s">
        <v>7</v>
      </c>
      <c r="D1151" s="7" t="s">
        <v>3612</v>
      </c>
      <c r="E1151" s="7" t="s">
        <v>3617</v>
      </c>
      <c r="F1151" s="8" t="s">
        <v>3628</v>
      </c>
      <c r="H1151" s="7" t="s">
        <v>3620</v>
      </c>
      <c r="I1151" s="7" t="s">
        <v>3644</v>
      </c>
      <c r="L1151" s="7" t="s">
        <v>8</v>
      </c>
      <c r="M1151" s="7" t="s">
        <v>9</v>
      </c>
      <c r="N1151" s="7" t="s">
        <v>738</v>
      </c>
      <c r="O1151" s="7" t="s">
        <v>3269</v>
      </c>
      <c r="P1151" s="7" t="s">
        <v>2404</v>
      </c>
      <c r="Q1151" s="7" t="s">
        <v>3327</v>
      </c>
      <c r="R1151" t="s">
        <v>3632</v>
      </c>
    </row>
    <row r="1152" spans="1:19" x14ac:dyDescent="0.3">
      <c r="A1152" s="7" t="str">
        <f>HYPERLINK("https://hsdes.intel.com/resource/14013185653","14013185653")</f>
        <v>14013185653</v>
      </c>
      <c r="B1152" s="7" t="s">
        <v>3328</v>
      </c>
      <c r="C1152" s="7" t="s">
        <v>845</v>
      </c>
      <c r="D1152" s="7" t="s">
        <v>3612</v>
      </c>
      <c r="E1152" s="7" t="s">
        <v>3617</v>
      </c>
      <c r="F1152" s="8" t="s">
        <v>3628</v>
      </c>
      <c r="H1152" s="7" t="s">
        <v>3619</v>
      </c>
      <c r="I1152" s="7" t="s">
        <v>3622</v>
      </c>
      <c r="L1152" s="7" t="s">
        <v>142</v>
      </c>
      <c r="M1152" s="7" t="s">
        <v>9</v>
      </c>
      <c r="N1152" s="7" t="s">
        <v>56</v>
      </c>
      <c r="O1152" s="7" t="s">
        <v>1756</v>
      </c>
      <c r="P1152" s="7" t="s">
        <v>1756</v>
      </c>
      <c r="Q1152" s="7" t="s">
        <v>3329</v>
      </c>
      <c r="R1152" t="s">
        <v>3632</v>
      </c>
    </row>
    <row r="1153" spans="1:18" x14ac:dyDescent="0.3">
      <c r="A1153" s="7" t="str">
        <f>HYPERLINK("https://hsdes.intel.com/resource/14013185659","14013185659")</f>
        <v>14013185659</v>
      </c>
      <c r="B1153" s="7" t="s">
        <v>3330</v>
      </c>
      <c r="C1153" s="7" t="s">
        <v>845</v>
      </c>
      <c r="D1153" s="7" t="s">
        <v>3612</v>
      </c>
      <c r="E1153" s="7" t="s">
        <v>3617</v>
      </c>
      <c r="F1153" s="8" t="s">
        <v>3628</v>
      </c>
      <c r="H1153" s="7" t="s">
        <v>3619</v>
      </c>
      <c r="I1153" s="7" t="s">
        <v>3622</v>
      </c>
      <c r="L1153" s="7" t="s">
        <v>142</v>
      </c>
      <c r="M1153" s="7" t="s">
        <v>9</v>
      </c>
      <c r="N1153" s="7" t="s">
        <v>2872</v>
      </c>
      <c r="O1153" s="7" t="s">
        <v>1619</v>
      </c>
      <c r="P1153" s="7" t="s">
        <v>1620</v>
      </c>
      <c r="Q1153" s="7" t="s">
        <v>3331</v>
      </c>
      <c r="R1153" t="s">
        <v>3632</v>
      </c>
    </row>
    <row r="1154" spans="1:18" x14ac:dyDescent="0.3">
      <c r="A1154" s="7" t="str">
        <f>HYPERLINK("https://hsdes.intel.com/resource/14013185661","14013185661")</f>
        <v>14013185661</v>
      </c>
      <c r="B1154" s="7" t="s">
        <v>3332</v>
      </c>
      <c r="C1154" s="7" t="s">
        <v>845</v>
      </c>
      <c r="D1154" s="7" t="s">
        <v>3612</v>
      </c>
      <c r="E1154" s="7" t="s">
        <v>3617</v>
      </c>
      <c r="F1154" s="8" t="s">
        <v>3628</v>
      </c>
      <c r="H1154" s="7" t="s">
        <v>3619</v>
      </c>
      <c r="I1154" s="7" t="s">
        <v>3622</v>
      </c>
      <c r="L1154" s="7" t="s">
        <v>142</v>
      </c>
      <c r="M1154" s="7" t="s">
        <v>9</v>
      </c>
      <c r="N1154" s="7" t="s">
        <v>56</v>
      </c>
      <c r="O1154" s="7" t="s">
        <v>1756</v>
      </c>
      <c r="P1154" s="7" t="s">
        <v>1756</v>
      </c>
      <c r="Q1154" s="7" t="s">
        <v>3333</v>
      </c>
      <c r="R1154" t="s">
        <v>3632</v>
      </c>
    </row>
    <row r="1155" spans="1:18" x14ac:dyDescent="0.3">
      <c r="A1155" s="7" t="str">
        <f>HYPERLINK("https://hsdes.intel.com/resource/14013185672","14013185672")</f>
        <v>14013185672</v>
      </c>
      <c r="B1155" s="7" t="s">
        <v>3334</v>
      </c>
      <c r="C1155" s="7" t="s">
        <v>845</v>
      </c>
      <c r="D1155" s="7" t="s">
        <v>3612</v>
      </c>
      <c r="E1155" s="7" t="s">
        <v>3617</v>
      </c>
      <c r="F1155" s="8" t="s">
        <v>3628</v>
      </c>
      <c r="H1155" s="7" t="s">
        <v>3619</v>
      </c>
      <c r="I1155" s="7" t="s">
        <v>3622</v>
      </c>
      <c r="L1155" s="7" t="s">
        <v>142</v>
      </c>
      <c r="M1155" s="7" t="s">
        <v>9</v>
      </c>
      <c r="N1155" s="7" t="s">
        <v>2872</v>
      </c>
      <c r="O1155" s="7" t="s">
        <v>1619</v>
      </c>
      <c r="P1155" s="7" t="s">
        <v>1620</v>
      </c>
      <c r="Q1155" s="7" t="s">
        <v>3335</v>
      </c>
      <c r="R1155" t="s">
        <v>3632</v>
      </c>
    </row>
    <row r="1156" spans="1:18" x14ac:dyDescent="0.3">
      <c r="A1156" s="7" t="str">
        <f>HYPERLINK("https://hsdes.intel.com/resource/14013185674","14013185674")</f>
        <v>14013185674</v>
      </c>
      <c r="B1156" s="7" t="s">
        <v>3336</v>
      </c>
      <c r="C1156" s="7" t="s">
        <v>845</v>
      </c>
      <c r="D1156" s="7" t="s">
        <v>3612</v>
      </c>
      <c r="E1156" s="7" t="s">
        <v>3617</v>
      </c>
      <c r="F1156" s="8" t="s">
        <v>3628</v>
      </c>
      <c r="H1156" s="7" t="s">
        <v>3619</v>
      </c>
      <c r="I1156" s="7" t="s">
        <v>3622</v>
      </c>
      <c r="J1156" s="7" t="s">
        <v>3557</v>
      </c>
      <c r="L1156" s="7" t="s">
        <v>142</v>
      </c>
      <c r="M1156" s="7" t="s">
        <v>9</v>
      </c>
      <c r="N1156" s="7" t="s">
        <v>56</v>
      </c>
      <c r="O1156" s="7" t="s">
        <v>1362</v>
      </c>
      <c r="P1156" s="7" t="s">
        <v>1362</v>
      </c>
      <c r="Q1156" s="7" t="s">
        <v>3337</v>
      </c>
      <c r="R1156" t="s">
        <v>3631</v>
      </c>
    </row>
    <row r="1157" spans="1:18" ht="15" thickBot="1" x14ac:dyDescent="0.35">
      <c r="A1157" s="7" t="str">
        <f>HYPERLINK("https://hsdes.intel.com/resource/14013185716","14013185716")</f>
        <v>14013185716</v>
      </c>
      <c r="B1157" s="7" t="s">
        <v>3338</v>
      </c>
      <c r="C1157" s="7" t="s">
        <v>133</v>
      </c>
      <c r="D1157" s="7" t="s">
        <v>3612</v>
      </c>
      <c r="E1157" s="7" t="s">
        <v>3617</v>
      </c>
      <c r="F1157" s="8" t="s">
        <v>3628</v>
      </c>
      <c r="H1157" s="7" t="s">
        <v>3619</v>
      </c>
      <c r="I1157" s="7" t="s">
        <v>3649</v>
      </c>
      <c r="L1157" s="7" t="s">
        <v>24</v>
      </c>
      <c r="M1157" s="7" t="s">
        <v>9</v>
      </c>
      <c r="N1157" s="7" t="s">
        <v>1076</v>
      </c>
      <c r="O1157" s="7" t="s">
        <v>48</v>
      </c>
      <c r="P1157" s="7" t="s">
        <v>48</v>
      </c>
      <c r="Q1157" s="7" t="s">
        <v>3339</v>
      </c>
      <c r="R1157" t="s">
        <v>3632</v>
      </c>
    </row>
    <row r="1158" spans="1:18" ht="15" thickBot="1" x14ac:dyDescent="0.35">
      <c r="A1158" s="14">
        <v>14013185802</v>
      </c>
      <c r="B1158" s="7" t="s">
        <v>3340</v>
      </c>
      <c r="C1158" s="7" t="s">
        <v>7</v>
      </c>
      <c r="D1158" s="7" t="s">
        <v>3612</v>
      </c>
      <c r="E1158" s="7" t="s">
        <v>3617</v>
      </c>
      <c r="F1158" s="8" t="s">
        <v>3628</v>
      </c>
      <c r="H1158" s="7" t="s">
        <v>3618</v>
      </c>
      <c r="J1158" s="7" t="s">
        <v>3585</v>
      </c>
      <c r="L1158" s="7" t="s">
        <v>8</v>
      </c>
      <c r="M1158" s="7" t="s">
        <v>9</v>
      </c>
      <c r="N1158" s="7" t="s">
        <v>3341</v>
      </c>
      <c r="O1158" s="7" t="s">
        <v>693</v>
      </c>
      <c r="P1158" s="7" t="s">
        <v>1161</v>
      </c>
      <c r="Q1158" s="7" t="s">
        <v>3342</v>
      </c>
      <c r="R1158" t="s">
        <v>3631</v>
      </c>
    </row>
    <row r="1159" spans="1:18" x14ac:dyDescent="0.3">
      <c r="A1159" s="7" t="str">
        <f>HYPERLINK("https://hsdes.intel.com/resource/14013185848","14013185848")</f>
        <v>14013185848</v>
      </c>
      <c r="B1159" s="7" t="s">
        <v>3343</v>
      </c>
      <c r="C1159" s="7" t="s">
        <v>175</v>
      </c>
      <c r="D1159" s="7" t="s">
        <v>3612</v>
      </c>
      <c r="E1159" s="7" t="s">
        <v>3617</v>
      </c>
      <c r="F1159" s="8" t="s">
        <v>3628</v>
      </c>
      <c r="H1159" s="7" t="s">
        <v>3618</v>
      </c>
      <c r="J1159" s="7" t="s">
        <v>3569</v>
      </c>
      <c r="L1159" s="7" t="s">
        <v>38</v>
      </c>
      <c r="M1159" s="7" t="s">
        <v>94</v>
      </c>
      <c r="N1159" s="7" t="s">
        <v>176</v>
      </c>
      <c r="O1159" s="7" t="s">
        <v>3344</v>
      </c>
      <c r="P1159" s="7" t="s">
        <v>3345</v>
      </c>
      <c r="Q1159" s="7" t="s">
        <v>3346</v>
      </c>
      <c r="R1159" t="s">
        <v>3632</v>
      </c>
    </row>
    <row r="1160" spans="1:18" x14ac:dyDescent="0.3">
      <c r="A1160" s="7" t="str">
        <f>HYPERLINK("https://hsdes.intel.com/resource/14013188164","14013188164")</f>
        <v>14013188164</v>
      </c>
      <c r="B1160" s="7" t="s">
        <v>3347</v>
      </c>
      <c r="C1160" s="7" t="s">
        <v>7</v>
      </c>
      <c r="D1160" s="7" t="s">
        <v>3612</v>
      </c>
      <c r="E1160" s="7" t="s">
        <v>3617</v>
      </c>
      <c r="F1160" s="8" t="s">
        <v>3628</v>
      </c>
      <c r="H1160" s="7" t="s">
        <v>3619</v>
      </c>
      <c r="I1160" s="7" t="s">
        <v>3624</v>
      </c>
      <c r="L1160" s="7" t="s">
        <v>8</v>
      </c>
      <c r="M1160" s="7" t="s">
        <v>94</v>
      </c>
      <c r="N1160" s="7" t="s">
        <v>10</v>
      </c>
      <c r="O1160" s="7" t="s">
        <v>2000</v>
      </c>
      <c r="P1160" s="7" t="s">
        <v>1133</v>
      </c>
      <c r="Q1160" s="7" t="s">
        <v>3348</v>
      </c>
      <c r="R1160" t="s">
        <v>3631</v>
      </c>
    </row>
    <row r="1161" spans="1:18" x14ac:dyDescent="0.3">
      <c r="A1161" s="7" t="str">
        <f>HYPERLINK("https://hsdes.intel.com/resource/16012598575","16012598575")</f>
        <v>16012598575</v>
      </c>
      <c r="B1161" s="7" t="s">
        <v>3349</v>
      </c>
      <c r="C1161" s="7" t="s">
        <v>231</v>
      </c>
      <c r="D1161" s="7" t="s">
        <v>3612</v>
      </c>
      <c r="E1161" s="7" t="s">
        <v>3617</v>
      </c>
      <c r="F1161" s="8" t="s">
        <v>3628</v>
      </c>
      <c r="H1161" s="7" t="s">
        <v>3620</v>
      </c>
      <c r="I1161" s="7" t="s">
        <v>3622</v>
      </c>
      <c r="L1161" s="7" t="s">
        <v>64</v>
      </c>
      <c r="M1161" s="7" t="s">
        <v>9</v>
      </c>
      <c r="N1161" s="7" t="s">
        <v>2355</v>
      </c>
      <c r="P1161" s="7" t="s">
        <v>233</v>
      </c>
      <c r="R1161" t="s">
        <v>3631</v>
      </c>
    </row>
    <row r="1162" spans="1:18" x14ac:dyDescent="0.3">
      <c r="A1162" s="7" t="str">
        <f>HYPERLINK("https://hsdes.intel.com/resource/16012652787","16012652787")</f>
        <v>16012652787</v>
      </c>
      <c r="B1162" s="7" t="s">
        <v>3350</v>
      </c>
      <c r="C1162" s="7" t="s">
        <v>2523</v>
      </c>
      <c r="D1162" s="7" t="s">
        <v>3612</v>
      </c>
      <c r="E1162" s="7" t="s">
        <v>3617</v>
      </c>
      <c r="F1162" s="8" t="s">
        <v>3628</v>
      </c>
      <c r="H1162" s="16" t="s">
        <v>3620</v>
      </c>
      <c r="I1162" s="7" t="s">
        <v>3640</v>
      </c>
      <c r="L1162" s="7" t="s">
        <v>100</v>
      </c>
      <c r="M1162" s="7" t="s">
        <v>94</v>
      </c>
      <c r="N1162" s="7" t="s">
        <v>3283</v>
      </c>
      <c r="O1162" s="7" t="s">
        <v>3351</v>
      </c>
      <c r="P1162" s="7" t="s">
        <v>2623</v>
      </c>
      <c r="Q1162" s="7" t="s">
        <v>3352</v>
      </c>
      <c r="R1162" t="s">
        <v>3631</v>
      </c>
    </row>
    <row r="1163" spans="1:18" x14ac:dyDescent="0.3">
      <c r="A1163" s="7" t="str">
        <f>HYPERLINK("https://hsdes.intel.com/resource/16012796102","16012796102")</f>
        <v>16012796102</v>
      </c>
      <c r="B1163" s="7" t="s">
        <v>3353</v>
      </c>
      <c r="C1163" s="7" t="s">
        <v>133</v>
      </c>
      <c r="D1163" s="7" t="s">
        <v>3613</v>
      </c>
      <c r="E1163" s="7" t="s">
        <v>3617</v>
      </c>
      <c r="F1163" s="8" t="s">
        <v>3628</v>
      </c>
      <c r="H1163" s="7" t="s">
        <v>3618</v>
      </c>
      <c r="J1163" s="7" t="s">
        <v>3530</v>
      </c>
      <c r="L1163" s="7" t="s">
        <v>24</v>
      </c>
      <c r="M1163" s="7" t="s">
        <v>94</v>
      </c>
      <c r="N1163" s="7" t="s">
        <v>39</v>
      </c>
      <c r="O1163" s="7" t="s">
        <v>3354</v>
      </c>
      <c r="P1163" s="7" t="s">
        <v>792</v>
      </c>
      <c r="Q1163" s="7" t="s">
        <v>3355</v>
      </c>
      <c r="R1163" t="s">
        <v>3632</v>
      </c>
    </row>
    <row r="1164" spans="1:18" x14ac:dyDescent="0.3">
      <c r="A1164" s="7" t="str">
        <f>HYPERLINK("https://hsdes.intel.com/resource/16012845469","16012845469")</f>
        <v>16012845469</v>
      </c>
      <c r="B1164" s="7" t="s">
        <v>3356</v>
      </c>
      <c r="C1164" s="7" t="s">
        <v>2609</v>
      </c>
      <c r="D1164" s="7" t="s">
        <v>3613</v>
      </c>
      <c r="E1164" s="7" t="s">
        <v>3617</v>
      </c>
      <c r="F1164" s="8" t="s">
        <v>3628</v>
      </c>
      <c r="H1164" s="7" t="s">
        <v>3618</v>
      </c>
      <c r="J1164" s="7" t="s">
        <v>3554</v>
      </c>
      <c r="L1164" s="7" t="s">
        <v>3357</v>
      </c>
      <c r="M1164" s="7" t="s">
        <v>94</v>
      </c>
      <c r="N1164" s="7" t="s">
        <v>232</v>
      </c>
      <c r="O1164" s="7" t="s">
        <v>263</v>
      </c>
      <c r="P1164" s="7" t="s">
        <v>233</v>
      </c>
      <c r="Q1164" s="7" t="s">
        <v>265</v>
      </c>
      <c r="R1164" t="s">
        <v>3632</v>
      </c>
    </row>
    <row r="1165" spans="1:18" x14ac:dyDescent="0.3">
      <c r="A1165" s="9" t="str">
        <f>HYPERLINK("https://hsdes.intel.com/resource/16012878689","16012878689")</f>
        <v>16012878689</v>
      </c>
      <c r="B1165" s="7" t="s">
        <v>3358</v>
      </c>
      <c r="C1165" s="7" t="s">
        <v>29</v>
      </c>
      <c r="D1165" s="7" t="s">
        <v>3613</v>
      </c>
      <c r="E1165" s="7" t="s">
        <v>3617</v>
      </c>
      <c r="F1165" s="8" t="s">
        <v>3628</v>
      </c>
      <c r="H1165" s="7" t="s">
        <v>3620</v>
      </c>
      <c r="I1165" s="7" t="s">
        <v>3640</v>
      </c>
      <c r="L1165" s="7" t="s">
        <v>8</v>
      </c>
      <c r="M1165" s="7" t="s">
        <v>9</v>
      </c>
      <c r="N1165" s="7" t="s">
        <v>483</v>
      </c>
      <c r="O1165" s="7" t="s">
        <v>3359</v>
      </c>
      <c r="P1165" s="7" t="s">
        <v>3360</v>
      </c>
      <c r="Q1165" s="7" t="s">
        <v>3361</v>
      </c>
      <c r="R1165" t="s">
        <v>3632</v>
      </c>
    </row>
    <row r="1166" spans="1:18" x14ac:dyDescent="0.3">
      <c r="A1166" s="7" t="str">
        <f>HYPERLINK("https://hsdes.intel.com/resource/16013020534","16013020534")</f>
        <v>16013020534</v>
      </c>
      <c r="B1166" s="7" t="s">
        <v>3362</v>
      </c>
      <c r="C1166" s="7" t="s">
        <v>121</v>
      </c>
      <c r="D1166" s="7" t="s">
        <v>3613</v>
      </c>
      <c r="E1166" s="7" t="s">
        <v>3617</v>
      </c>
      <c r="F1166" s="8" t="s">
        <v>3628</v>
      </c>
      <c r="H1166" s="7" t="s">
        <v>3618</v>
      </c>
      <c r="J1166" s="7" t="s">
        <v>3530</v>
      </c>
      <c r="L1166" s="7" t="s">
        <v>30</v>
      </c>
      <c r="M1166" s="7" t="s">
        <v>94</v>
      </c>
      <c r="N1166" s="7" t="s">
        <v>39</v>
      </c>
      <c r="O1166" s="7" t="s">
        <v>3088</v>
      </c>
      <c r="P1166" s="7" t="s">
        <v>3363</v>
      </c>
      <c r="Q1166" s="7" t="s">
        <v>3364</v>
      </c>
      <c r="R1166" t="s">
        <v>3632</v>
      </c>
    </row>
    <row r="1167" spans="1:18" x14ac:dyDescent="0.3">
      <c r="A1167" s="7" t="str">
        <f>HYPERLINK("https://hsdes.intel.com/resource/16013029245","16013029245")</f>
        <v>16013029245</v>
      </c>
      <c r="B1167" s="7" t="s">
        <v>3365</v>
      </c>
      <c r="C1167" s="7" t="s">
        <v>112</v>
      </c>
      <c r="D1167" s="7" t="s">
        <v>3613</v>
      </c>
      <c r="E1167" s="7" t="s">
        <v>3617</v>
      </c>
      <c r="F1167" s="8" t="s">
        <v>3628</v>
      </c>
      <c r="H1167" s="7" t="s">
        <v>3619</v>
      </c>
      <c r="I1167" s="7" t="s">
        <v>3622</v>
      </c>
      <c r="J1167" s="7" t="s">
        <v>3539</v>
      </c>
      <c r="L1167" s="7" t="s">
        <v>30</v>
      </c>
      <c r="M1167" s="7" t="s">
        <v>94</v>
      </c>
      <c r="N1167" s="7" t="s">
        <v>226</v>
      </c>
      <c r="P1167" s="7" t="s">
        <v>3366</v>
      </c>
      <c r="R1167" t="s">
        <v>3632</v>
      </c>
    </row>
    <row r="1168" spans="1:18" x14ac:dyDescent="0.3">
      <c r="A1168" s="7" t="str">
        <f>HYPERLINK("https://hsdes.intel.com/resource/16013044817","16013044817")</f>
        <v>16013044817</v>
      </c>
      <c r="B1168" s="7" t="s">
        <v>3367</v>
      </c>
      <c r="C1168" s="7" t="s">
        <v>7</v>
      </c>
      <c r="D1168" s="7" t="s">
        <v>3613</v>
      </c>
      <c r="E1168" s="7" t="s">
        <v>3617</v>
      </c>
      <c r="F1168" s="8" t="s">
        <v>3628</v>
      </c>
      <c r="H1168" s="7" t="s">
        <v>3619</v>
      </c>
      <c r="I1168" s="7" t="s">
        <v>3624</v>
      </c>
      <c r="L1168" s="7" t="s">
        <v>8</v>
      </c>
      <c r="M1168" s="7" t="s">
        <v>9</v>
      </c>
      <c r="N1168" s="7" t="s">
        <v>10</v>
      </c>
      <c r="P1168" s="7" t="s">
        <v>694</v>
      </c>
      <c r="R1168" t="s">
        <v>3631</v>
      </c>
    </row>
    <row r="1169" spans="1:20" x14ac:dyDescent="0.3">
      <c r="A1169" s="7" t="str">
        <f>HYPERLINK("https://hsdes.intel.com/resource/16013162806","16013162806")</f>
        <v>16013162806</v>
      </c>
      <c r="B1169" s="7" t="s">
        <v>3368</v>
      </c>
      <c r="C1169" s="7" t="s">
        <v>55</v>
      </c>
      <c r="D1169" s="7" t="s">
        <v>3613</v>
      </c>
      <c r="E1169" s="7" t="s">
        <v>3617</v>
      </c>
      <c r="F1169" s="8" t="s">
        <v>3628</v>
      </c>
      <c r="H1169" s="7" t="s">
        <v>3619</v>
      </c>
      <c r="I1169" s="7" t="s">
        <v>3622</v>
      </c>
      <c r="L1169" s="7" t="s">
        <v>30</v>
      </c>
      <c r="M1169" s="7" t="s">
        <v>9</v>
      </c>
      <c r="N1169" s="7" t="s">
        <v>39</v>
      </c>
      <c r="O1169" s="7" t="s">
        <v>3369</v>
      </c>
      <c r="P1169" s="7" t="s">
        <v>3370</v>
      </c>
      <c r="Q1169" s="7" t="s">
        <v>3371</v>
      </c>
      <c r="R1169" t="s">
        <v>3631</v>
      </c>
    </row>
    <row r="1170" spans="1:20" x14ac:dyDescent="0.3">
      <c r="A1170" s="7" t="str">
        <f>HYPERLINK("https://hsdes.intel.com/resource/16013169992","16013169992")</f>
        <v>16013169992</v>
      </c>
      <c r="B1170" s="7" t="s">
        <v>3372</v>
      </c>
      <c r="C1170" s="7" t="s">
        <v>7</v>
      </c>
      <c r="D1170" s="7" t="s">
        <v>3613</v>
      </c>
      <c r="E1170" s="7" t="s">
        <v>3617</v>
      </c>
      <c r="F1170" s="8" t="s">
        <v>3628</v>
      </c>
      <c r="H1170" s="7" t="s">
        <v>3619</v>
      </c>
      <c r="I1170" s="7" t="s">
        <v>3624</v>
      </c>
      <c r="L1170" s="7" t="s">
        <v>8</v>
      </c>
      <c r="M1170" s="7" t="s">
        <v>9</v>
      </c>
      <c r="N1170" s="7" t="s">
        <v>10</v>
      </c>
      <c r="P1170" s="7" t="s">
        <v>3373</v>
      </c>
      <c r="R1170" t="s">
        <v>3631</v>
      </c>
    </row>
    <row r="1171" spans="1:20" x14ac:dyDescent="0.3">
      <c r="A1171" s="7" t="str">
        <f>HYPERLINK("https://hsdes.intel.com/resource/16013177946","16013177946")</f>
        <v>16013177946</v>
      </c>
      <c r="B1171" s="7" t="s">
        <v>3374</v>
      </c>
      <c r="C1171" s="7" t="s">
        <v>7</v>
      </c>
      <c r="D1171" s="7" t="s">
        <v>3613</v>
      </c>
      <c r="E1171" s="7" t="s">
        <v>3617</v>
      </c>
      <c r="F1171" s="8" t="s">
        <v>3628</v>
      </c>
      <c r="H1171" s="7" t="s">
        <v>3618</v>
      </c>
      <c r="J1171" s="6" t="s">
        <v>3532</v>
      </c>
      <c r="L1171" s="7" t="s">
        <v>8</v>
      </c>
      <c r="M1171" s="7" t="s">
        <v>9</v>
      </c>
      <c r="N1171" s="7" t="s">
        <v>10</v>
      </c>
      <c r="P1171" s="7" t="s">
        <v>3375</v>
      </c>
      <c r="R1171" t="s">
        <v>3631</v>
      </c>
    </row>
    <row r="1172" spans="1:20" x14ac:dyDescent="0.3">
      <c r="A1172" s="7" t="str">
        <f>HYPERLINK("https://hsdes.intel.com/resource/16013178306","16013178306")</f>
        <v>16013178306</v>
      </c>
      <c r="B1172" s="7" t="s">
        <v>3376</v>
      </c>
      <c r="C1172" s="7" t="s">
        <v>7</v>
      </c>
      <c r="D1172" s="7" t="s">
        <v>3613</v>
      </c>
      <c r="E1172" s="7" t="s">
        <v>3617</v>
      </c>
      <c r="F1172" s="8" t="s">
        <v>3628</v>
      </c>
      <c r="H1172" s="7" t="s">
        <v>3618</v>
      </c>
      <c r="J1172" s="6" t="s">
        <v>3532</v>
      </c>
      <c r="L1172" s="7" t="s">
        <v>8</v>
      </c>
      <c r="M1172" s="7" t="s">
        <v>9</v>
      </c>
      <c r="N1172" s="7" t="s">
        <v>10</v>
      </c>
      <c r="P1172" s="7" t="s">
        <v>3377</v>
      </c>
      <c r="R1172" t="s">
        <v>3632</v>
      </c>
    </row>
    <row r="1173" spans="1:20" ht="57.6" x14ac:dyDescent="0.3">
      <c r="A1173" s="7" t="str">
        <f>HYPERLINK("https://hsdes.intel.com/resource/16013185250","16013185250")</f>
        <v>16013185250</v>
      </c>
      <c r="B1173" s="7" t="s">
        <v>3378</v>
      </c>
      <c r="C1173" s="7" t="s">
        <v>129</v>
      </c>
      <c r="D1173" s="7" t="s">
        <v>3613</v>
      </c>
      <c r="E1173" s="7" t="s">
        <v>3617</v>
      </c>
      <c r="F1173" s="8" t="s">
        <v>3628</v>
      </c>
      <c r="H1173" s="7" t="s">
        <v>3618</v>
      </c>
      <c r="J1173" s="11" t="s">
        <v>3577</v>
      </c>
      <c r="L1173" s="7" t="s">
        <v>8</v>
      </c>
      <c r="M1173" s="7" t="s">
        <v>9</v>
      </c>
      <c r="N1173" s="7" t="s">
        <v>10</v>
      </c>
      <c r="P1173" s="7" t="s">
        <v>3379</v>
      </c>
      <c r="R1173" t="s">
        <v>3632</v>
      </c>
    </row>
    <row r="1174" spans="1:20" x14ac:dyDescent="0.3">
      <c r="A1174" s="7" t="str">
        <f>HYPERLINK("https://hsdes.intel.com/resource/16013191780","16013191780")</f>
        <v>16013191780</v>
      </c>
      <c r="B1174" s="7" t="s">
        <v>3380</v>
      </c>
      <c r="C1174" s="7" t="s">
        <v>55</v>
      </c>
      <c r="D1174" s="7" t="s">
        <v>3613</v>
      </c>
      <c r="E1174" s="7" t="s">
        <v>3617</v>
      </c>
      <c r="F1174" s="8" t="s">
        <v>3628</v>
      </c>
      <c r="H1174" s="7" t="s">
        <v>3618</v>
      </c>
      <c r="J1174" s="6" t="s">
        <v>3552</v>
      </c>
      <c r="L1174" s="7" t="s">
        <v>30</v>
      </c>
      <c r="M1174" s="7" t="s">
        <v>9</v>
      </c>
      <c r="N1174" s="7" t="s">
        <v>56</v>
      </c>
      <c r="O1174" s="7" t="s">
        <v>639</v>
      </c>
      <c r="P1174" s="7" t="s">
        <v>639</v>
      </c>
      <c r="Q1174" s="7" t="s">
        <v>3381</v>
      </c>
      <c r="R1174" t="s">
        <v>3632</v>
      </c>
    </row>
    <row r="1175" spans="1:20" x14ac:dyDescent="0.3">
      <c r="A1175" s="7" t="str">
        <f>HYPERLINK("https://hsdes.intel.com/resource/16013191789","16013191789")</f>
        <v>16013191789</v>
      </c>
      <c r="B1175" s="7" t="s">
        <v>3382</v>
      </c>
      <c r="C1175" s="7" t="s">
        <v>55</v>
      </c>
      <c r="D1175" s="7" t="s">
        <v>3613</v>
      </c>
      <c r="E1175" s="7" t="s">
        <v>3617</v>
      </c>
      <c r="F1175" s="8" t="s">
        <v>3628</v>
      </c>
      <c r="H1175" s="7" t="s">
        <v>3618</v>
      </c>
      <c r="J1175" s="6" t="s">
        <v>3552</v>
      </c>
      <c r="L1175" s="7" t="s">
        <v>30</v>
      </c>
      <c r="M1175" s="7" t="s">
        <v>9</v>
      </c>
      <c r="N1175" s="7" t="s">
        <v>56</v>
      </c>
      <c r="O1175" s="7" t="s">
        <v>639</v>
      </c>
      <c r="P1175" s="7" t="s">
        <v>639</v>
      </c>
      <c r="Q1175" s="7" t="s">
        <v>3381</v>
      </c>
      <c r="R1175" t="s">
        <v>3631</v>
      </c>
    </row>
    <row r="1176" spans="1:20" x14ac:dyDescent="0.3">
      <c r="A1176" s="7" t="str">
        <f>HYPERLINK("https://hsdes.intel.com/resource/16013240669","16013240669")</f>
        <v>16013240669</v>
      </c>
      <c r="B1176" s="7" t="s">
        <v>3383</v>
      </c>
      <c r="C1176" s="7" t="s">
        <v>23</v>
      </c>
      <c r="D1176" s="7" t="s">
        <v>3613</v>
      </c>
      <c r="E1176" s="7" t="s">
        <v>3617</v>
      </c>
      <c r="F1176" s="8" t="s">
        <v>3628</v>
      </c>
      <c r="H1176" s="7" t="s">
        <v>3620</v>
      </c>
      <c r="I1176" s="7" t="s">
        <v>3624</v>
      </c>
      <c r="L1176" s="7" t="s">
        <v>24</v>
      </c>
      <c r="M1176" s="7" t="s">
        <v>94</v>
      </c>
      <c r="N1176" s="7" t="s">
        <v>25</v>
      </c>
      <c r="O1176" s="7" t="s">
        <v>26</v>
      </c>
      <c r="P1176" s="7" t="s">
        <v>26</v>
      </c>
      <c r="Q1176" s="7" t="s">
        <v>592</v>
      </c>
      <c r="R1176" t="s">
        <v>3631</v>
      </c>
    </row>
    <row r="1177" spans="1:20" x14ac:dyDescent="0.3">
      <c r="A1177" s="7" t="str">
        <f>HYPERLINK("https://hsdes.intel.com/resource/16013241572","16013241572")</f>
        <v>16013241572</v>
      </c>
      <c r="B1177" s="7" t="s">
        <v>3384</v>
      </c>
      <c r="C1177" s="7" t="s">
        <v>55</v>
      </c>
      <c r="D1177" s="7" t="s">
        <v>3612</v>
      </c>
      <c r="E1177" s="7" t="s">
        <v>3617</v>
      </c>
      <c r="F1177" s="8" t="s">
        <v>3628</v>
      </c>
      <c r="H1177" s="7" t="s">
        <v>3620</v>
      </c>
      <c r="I1177" s="7" t="s">
        <v>3622</v>
      </c>
      <c r="L1177" s="7" t="s">
        <v>30</v>
      </c>
      <c r="M1177" s="7" t="s">
        <v>94</v>
      </c>
      <c r="N1177" s="7" t="s">
        <v>39</v>
      </c>
      <c r="P1177" s="7" t="s">
        <v>2856</v>
      </c>
      <c r="R1177" t="s">
        <v>3631</v>
      </c>
    </row>
    <row r="1178" spans="1:20" x14ac:dyDescent="0.3">
      <c r="A1178" s="7" t="str">
        <f>HYPERLINK("https://hsdes.intel.com/resource/16013286725","16013286725")</f>
        <v>16013286725</v>
      </c>
      <c r="B1178" s="7" t="s">
        <v>3385</v>
      </c>
      <c r="C1178" s="7" t="s">
        <v>3019</v>
      </c>
      <c r="D1178" s="7" t="s">
        <v>3613</v>
      </c>
      <c r="E1178" s="7" t="s">
        <v>3617</v>
      </c>
      <c r="F1178" s="8" t="s">
        <v>3628</v>
      </c>
      <c r="H1178" s="7" t="s">
        <v>3618</v>
      </c>
      <c r="J1178" s="7" t="s">
        <v>3537</v>
      </c>
      <c r="L1178" s="7" t="s">
        <v>30</v>
      </c>
      <c r="M1178" s="7" t="s">
        <v>94</v>
      </c>
      <c r="N1178" s="7" t="s">
        <v>39</v>
      </c>
      <c r="O1178" s="7" t="s">
        <v>3386</v>
      </c>
      <c r="P1178" s="7" t="s">
        <v>3025</v>
      </c>
      <c r="Q1178" s="7" t="s">
        <v>3387</v>
      </c>
      <c r="R1178" t="s">
        <v>3631</v>
      </c>
    </row>
    <row r="1179" spans="1:20" x14ac:dyDescent="0.3">
      <c r="A1179" s="7" t="str">
        <f>HYPERLINK("https://hsdes.intel.com/resource/16013286895","16013286895")</f>
        <v>16013286895</v>
      </c>
      <c r="B1179" s="7" t="s">
        <v>3388</v>
      </c>
      <c r="C1179" s="7" t="s">
        <v>3019</v>
      </c>
      <c r="D1179" s="7" t="s">
        <v>3613</v>
      </c>
      <c r="E1179" s="7" t="s">
        <v>3617</v>
      </c>
      <c r="F1179" s="8" t="s">
        <v>3628</v>
      </c>
      <c r="H1179" s="7" t="s">
        <v>3618</v>
      </c>
      <c r="J1179" s="7" t="s">
        <v>3537</v>
      </c>
      <c r="L1179" s="7" t="s">
        <v>30</v>
      </c>
      <c r="M1179" s="7" t="s">
        <v>94</v>
      </c>
      <c r="N1179" s="7" t="s">
        <v>39</v>
      </c>
      <c r="O1179" s="7" t="s">
        <v>3386</v>
      </c>
      <c r="P1179" s="7" t="s">
        <v>3025</v>
      </c>
      <c r="Q1179" s="7" t="s">
        <v>3387</v>
      </c>
      <c r="R1179" t="s">
        <v>3632</v>
      </c>
    </row>
    <row r="1180" spans="1:20" x14ac:dyDescent="0.3">
      <c r="A1180" s="9" t="str">
        <f>HYPERLINK("https://hsdes.intel.com/resource/16013287117","16013287117")</f>
        <v>16013287117</v>
      </c>
      <c r="B1180" s="7" t="s">
        <v>3389</v>
      </c>
      <c r="C1180" s="7" t="s">
        <v>3019</v>
      </c>
      <c r="D1180" s="7" t="s">
        <v>3613</v>
      </c>
      <c r="E1180" s="7" t="s">
        <v>3617</v>
      </c>
      <c r="F1180" s="8" t="s">
        <v>3628</v>
      </c>
      <c r="H1180" s="7" t="s">
        <v>3618</v>
      </c>
      <c r="L1180" s="7" t="s">
        <v>30</v>
      </c>
      <c r="M1180" s="7" t="s">
        <v>94</v>
      </c>
      <c r="N1180" s="7" t="s">
        <v>39</v>
      </c>
      <c r="O1180" s="7" t="s">
        <v>3386</v>
      </c>
      <c r="P1180" s="7" t="s">
        <v>3025</v>
      </c>
      <c r="Q1180" s="7" t="s">
        <v>3387</v>
      </c>
      <c r="R1180" t="s">
        <v>3633</v>
      </c>
    </row>
    <row r="1181" spans="1:20" x14ac:dyDescent="0.3">
      <c r="A1181" s="7" t="str">
        <f>HYPERLINK("https://hsdes.intel.com/resource/16013305578","16013305578")</f>
        <v>16013305578</v>
      </c>
      <c r="B1181" s="11" t="s">
        <v>3390</v>
      </c>
      <c r="C1181" s="7" t="s">
        <v>99</v>
      </c>
      <c r="D1181" s="7" t="s">
        <v>3612</v>
      </c>
      <c r="E1181" s="7" t="s">
        <v>3617</v>
      </c>
      <c r="F1181" s="8" t="s">
        <v>3628</v>
      </c>
      <c r="H1181" s="7" t="s">
        <v>3620</v>
      </c>
      <c r="I1181" s="7" t="s">
        <v>3645</v>
      </c>
      <c r="J1181" s="7" t="s">
        <v>212</v>
      </c>
      <c r="L1181" s="7" t="s">
        <v>100</v>
      </c>
      <c r="M1181" s="7" t="s">
        <v>94</v>
      </c>
      <c r="N1181" s="7" t="s">
        <v>56</v>
      </c>
      <c r="O1181" s="7" t="s">
        <v>16</v>
      </c>
      <c r="P1181" s="7" t="s">
        <v>16</v>
      </c>
      <c r="Q1181" s="7" t="s">
        <v>3391</v>
      </c>
      <c r="R1181" t="s">
        <v>3632</v>
      </c>
      <c r="T1181" s="22">
        <v>44818</v>
      </c>
    </row>
    <row r="1182" spans="1:20" x14ac:dyDescent="0.3">
      <c r="A1182" s="7" t="str">
        <f>HYPERLINK("https://hsdes.intel.com/resource/16013626053","16013626053")</f>
        <v>16013626053</v>
      </c>
      <c r="B1182" s="7" t="s">
        <v>3392</v>
      </c>
      <c r="C1182" s="7" t="s">
        <v>231</v>
      </c>
      <c r="D1182" s="7" t="s">
        <v>3612</v>
      </c>
      <c r="E1182" s="7" t="s">
        <v>3617</v>
      </c>
      <c r="F1182" s="8" t="s">
        <v>3628</v>
      </c>
      <c r="H1182" s="7" t="s">
        <v>3620</v>
      </c>
      <c r="I1182" s="7" t="s">
        <v>3622</v>
      </c>
      <c r="J1182" s="7" t="s">
        <v>3555</v>
      </c>
      <c r="L1182" s="7" t="s">
        <v>64</v>
      </c>
      <c r="M1182" s="7" t="s">
        <v>94</v>
      </c>
      <c r="N1182" s="7" t="s">
        <v>2355</v>
      </c>
      <c r="P1182" s="7" t="s">
        <v>233</v>
      </c>
      <c r="R1182" t="s">
        <v>3632</v>
      </c>
    </row>
    <row r="1183" spans="1:20" x14ac:dyDescent="0.3">
      <c r="A1183" s="7" t="str">
        <f>HYPERLINK("https://hsdes.intel.com/resource/16013691380","16013691380")</f>
        <v>16013691380</v>
      </c>
      <c r="B1183" s="7" t="s">
        <v>3393</v>
      </c>
      <c r="C1183" s="7" t="s">
        <v>7</v>
      </c>
      <c r="D1183" s="7" t="s">
        <v>3613</v>
      </c>
      <c r="E1183" s="7" t="s">
        <v>3617</v>
      </c>
      <c r="F1183" s="8" t="s">
        <v>3628</v>
      </c>
      <c r="H1183" s="7" t="s">
        <v>3620</v>
      </c>
      <c r="I1183" s="7" t="s">
        <v>3624</v>
      </c>
      <c r="L1183" s="7" t="s">
        <v>8</v>
      </c>
      <c r="M1183" s="7" t="s">
        <v>94</v>
      </c>
      <c r="N1183" s="7" t="s">
        <v>1921</v>
      </c>
      <c r="O1183" s="7" t="s">
        <v>1922</v>
      </c>
      <c r="P1183" s="7" t="s">
        <v>1923</v>
      </c>
      <c r="Q1183" s="7" t="s">
        <v>1924</v>
      </c>
      <c r="R1183" t="s">
        <v>3632</v>
      </c>
    </row>
    <row r="1184" spans="1:20" x14ac:dyDescent="0.3">
      <c r="A1184" s="7" t="str">
        <f>HYPERLINK("https://hsdes.intel.com/resource/16013696484","16013696484")</f>
        <v>16013696484</v>
      </c>
      <c r="B1184" s="7" t="s">
        <v>3394</v>
      </c>
      <c r="C1184" s="7" t="s">
        <v>7</v>
      </c>
      <c r="D1184" s="7" t="s">
        <v>3613</v>
      </c>
      <c r="E1184" s="7" t="s">
        <v>3617</v>
      </c>
      <c r="F1184" s="8" t="s">
        <v>3628</v>
      </c>
      <c r="H1184" s="7" t="s">
        <v>3620</v>
      </c>
      <c r="I1184" s="7" t="s">
        <v>3624</v>
      </c>
      <c r="L1184" s="7" t="s">
        <v>8</v>
      </c>
      <c r="M1184" s="7" t="s">
        <v>94</v>
      </c>
      <c r="N1184" s="7" t="s">
        <v>10</v>
      </c>
      <c r="O1184" s="7" t="s">
        <v>2003</v>
      </c>
      <c r="P1184" s="7" t="s">
        <v>1923</v>
      </c>
      <c r="Q1184" s="7" t="s">
        <v>2004</v>
      </c>
      <c r="R1184" t="s">
        <v>3632</v>
      </c>
    </row>
    <row r="1185" spans="1:18" x14ac:dyDescent="0.3">
      <c r="A1185" s="7" t="str">
        <f>HYPERLINK("https://hsdes.intel.com/resource/16013697915","16013697915")</f>
        <v>16013697915</v>
      </c>
      <c r="B1185" s="7" t="s">
        <v>3395</v>
      </c>
      <c r="C1185" s="7" t="s">
        <v>7</v>
      </c>
      <c r="D1185" s="7" t="s">
        <v>3613</v>
      </c>
      <c r="E1185" s="7" t="s">
        <v>3617</v>
      </c>
      <c r="F1185" s="8" t="s">
        <v>3628</v>
      </c>
      <c r="H1185" s="7" t="s">
        <v>3620</v>
      </c>
      <c r="I1185" s="7" t="s">
        <v>3624</v>
      </c>
      <c r="L1185" s="7" t="s">
        <v>8</v>
      </c>
      <c r="M1185" s="7" t="s">
        <v>9</v>
      </c>
      <c r="N1185" s="7" t="s">
        <v>10</v>
      </c>
      <c r="O1185" s="7" t="s">
        <v>1912</v>
      </c>
      <c r="P1185" s="7" t="s">
        <v>1913</v>
      </c>
      <c r="Q1185" s="7" t="s">
        <v>1914</v>
      </c>
      <c r="R1185" t="s">
        <v>3632</v>
      </c>
    </row>
    <row r="1186" spans="1:18" x14ac:dyDescent="0.3">
      <c r="A1186" s="7" t="str">
        <f>HYPERLINK("https://hsdes.intel.com/resource/16013698260","16013698260")</f>
        <v>16013698260</v>
      </c>
      <c r="B1186" s="7" t="s">
        <v>3396</v>
      </c>
      <c r="C1186" s="7" t="s">
        <v>7</v>
      </c>
      <c r="D1186" s="7" t="s">
        <v>3613</v>
      </c>
      <c r="E1186" s="7" t="s">
        <v>3617</v>
      </c>
      <c r="F1186" s="8" t="s">
        <v>3628</v>
      </c>
      <c r="H1186" s="7" t="s">
        <v>3620</v>
      </c>
      <c r="I1186" s="7" t="s">
        <v>3624</v>
      </c>
      <c r="L1186" s="7" t="s">
        <v>8</v>
      </c>
      <c r="M1186" s="7" t="s">
        <v>94</v>
      </c>
      <c r="N1186" s="7" t="s">
        <v>10</v>
      </c>
      <c r="O1186" s="7" t="s">
        <v>1099</v>
      </c>
      <c r="P1186" s="7" t="s">
        <v>792</v>
      </c>
      <c r="Q1186" s="7" t="s">
        <v>1197</v>
      </c>
      <c r="R1186" t="s">
        <v>3632</v>
      </c>
    </row>
    <row r="1187" spans="1:18" x14ac:dyDescent="0.3">
      <c r="A1187" s="7" t="str">
        <f>HYPERLINK("https://hsdes.intel.com/resource/16013699710","16013699710")</f>
        <v>16013699710</v>
      </c>
      <c r="B1187" s="7" t="s">
        <v>3397</v>
      </c>
      <c r="C1187" s="7" t="s">
        <v>7</v>
      </c>
      <c r="D1187" s="7" t="s">
        <v>3613</v>
      </c>
      <c r="E1187" s="7" t="s">
        <v>3617</v>
      </c>
      <c r="F1187" s="8" t="s">
        <v>3628</v>
      </c>
      <c r="H1187" s="7" t="s">
        <v>3620</v>
      </c>
      <c r="I1187" s="7" t="s">
        <v>3624</v>
      </c>
      <c r="L1187" s="7" t="s">
        <v>8</v>
      </c>
      <c r="M1187" s="7" t="s">
        <v>94</v>
      </c>
      <c r="N1187" s="7" t="s">
        <v>10</v>
      </c>
      <c r="O1187" s="7" t="s">
        <v>2000</v>
      </c>
      <c r="P1187" s="7" t="s">
        <v>1133</v>
      </c>
      <c r="Q1187" s="7" t="s">
        <v>2001</v>
      </c>
      <c r="R1187" t="s">
        <v>3633</v>
      </c>
    </row>
    <row r="1188" spans="1:18" x14ac:dyDescent="0.3">
      <c r="A1188" s="7" t="str">
        <f>HYPERLINK("https://hsdes.intel.com/resource/16013700594","16013700594")</f>
        <v>16013700594</v>
      </c>
      <c r="B1188" s="7" t="s">
        <v>3398</v>
      </c>
      <c r="C1188" s="7" t="s">
        <v>7</v>
      </c>
      <c r="D1188" s="7" t="s">
        <v>3613</v>
      </c>
      <c r="E1188" s="7" t="s">
        <v>3617</v>
      </c>
      <c r="F1188" s="8" t="s">
        <v>3628</v>
      </c>
      <c r="H1188" s="7" t="s">
        <v>3620</v>
      </c>
      <c r="I1188" s="7" t="s">
        <v>3624</v>
      </c>
      <c r="L1188" s="7" t="s">
        <v>8</v>
      </c>
      <c r="M1188" s="7" t="s">
        <v>9</v>
      </c>
      <c r="N1188" s="7" t="s">
        <v>10</v>
      </c>
      <c r="O1188" s="7" t="s">
        <v>1099</v>
      </c>
      <c r="P1188" s="7" t="s">
        <v>1073</v>
      </c>
      <c r="Q1188" s="7" t="s">
        <v>1355</v>
      </c>
      <c r="R1188" t="s">
        <v>3632</v>
      </c>
    </row>
    <row r="1189" spans="1:18" x14ac:dyDescent="0.3">
      <c r="A1189" s="7" t="str">
        <f>HYPERLINK("https://hsdes.intel.com/resource/16013700981","16013700981")</f>
        <v>16013700981</v>
      </c>
      <c r="B1189" s="7" t="s">
        <v>3399</v>
      </c>
      <c r="C1189" s="7" t="s">
        <v>7</v>
      </c>
      <c r="D1189" s="7" t="s">
        <v>3613</v>
      </c>
      <c r="E1189" s="7" t="s">
        <v>3617</v>
      </c>
      <c r="F1189" s="8" t="s">
        <v>3628</v>
      </c>
      <c r="H1189" s="7" t="s">
        <v>3620</v>
      </c>
      <c r="I1189" s="7" t="s">
        <v>3624</v>
      </c>
      <c r="L1189" s="7" t="s">
        <v>8</v>
      </c>
      <c r="M1189" s="7" t="s">
        <v>9</v>
      </c>
      <c r="N1189" s="7" t="s">
        <v>10</v>
      </c>
      <c r="O1189" s="7" t="s">
        <v>3400</v>
      </c>
      <c r="P1189" s="7" t="s">
        <v>694</v>
      </c>
      <c r="Q1189" s="7" t="s">
        <v>3401</v>
      </c>
      <c r="R1189" t="s">
        <v>3632</v>
      </c>
    </row>
    <row r="1190" spans="1:18" x14ac:dyDescent="0.3">
      <c r="A1190" s="7" t="str">
        <f>HYPERLINK("https://hsdes.intel.com/resource/16013701110","16013701110")</f>
        <v>16013701110</v>
      </c>
      <c r="B1190" s="7" t="s">
        <v>3402</v>
      </c>
      <c r="C1190" s="7" t="s">
        <v>7</v>
      </c>
      <c r="D1190" s="7" t="s">
        <v>3613</v>
      </c>
      <c r="E1190" s="7" t="s">
        <v>3617</v>
      </c>
      <c r="F1190" s="8" t="s">
        <v>3628</v>
      </c>
      <c r="H1190" s="7" t="s">
        <v>3620</v>
      </c>
      <c r="I1190" s="7" t="s">
        <v>3624</v>
      </c>
      <c r="L1190" s="7" t="s">
        <v>8</v>
      </c>
      <c r="M1190" s="7" t="s">
        <v>94</v>
      </c>
      <c r="N1190" s="7" t="s">
        <v>738</v>
      </c>
      <c r="O1190" s="7" t="s">
        <v>1099</v>
      </c>
      <c r="P1190" s="7" t="s">
        <v>792</v>
      </c>
      <c r="Q1190" s="7" t="s">
        <v>1199</v>
      </c>
      <c r="R1190" t="s">
        <v>3632</v>
      </c>
    </row>
    <row r="1191" spans="1:18" x14ac:dyDescent="0.3">
      <c r="A1191" s="7" t="str">
        <f>HYPERLINK("https://hsdes.intel.com/resource/16013701830","16013701830")</f>
        <v>16013701830</v>
      </c>
      <c r="B1191" s="7" t="s">
        <v>3403</v>
      </c>
      <c r="C1191" s="7" t="s">
        <v>7</v>
      </c>
      <c r="D1191" s="7" t="s">
        <v>3613</v>
      </c>
      <c r="E1191" s="7" t="s">
        <v>3617</v>
      </c>
      <c r="F1191" s="8" t="s">
        <v>3628</v>
      </c>
      <c r="H1191" s="7" t="s">
        <v>3620</v>
      </c>
      <c r="I1191" s="7" t="s">
        <v>3624</v>
      </c>
      <c r="L1191" s="7" t="s">
        <v>8</v>
      </c>
      <c r="M1191" s="7" t="s">
        <v>9</v>
      </c>
      <c r="N1191" s="7" t="s">
        <v>10</v>
      </c>
      <c r="O1191" s="7" t="s">
        <v>1144</v>
      </c>
      <c r="P1191" s="7" t="s">
        <v>1536</v>
      </c>
      <c r="Q1191" s="7" t="s">
        <v>1537</v>
      </c>
      <c r="R1191" t="s">
        <v>3632</v>
      </c>
    </row>
    <row r="1192" spans="1:18" x14ac:dyDescent="0.3">
      <c r="A1192" s="7" t="str">
        <f>HYPERLINK("https://hsdes.intel.com/resource/16013702245","16013702245")</f>
        <v>16013702245</v>
      </c>
      <c r="B1192" s="7" t="s">
        <v>3404</v>
      </c>
      <c r="C1192" s="7" t="s">
        <v>7</v>
      </c>
      <c r="D1192" s="7" t="s">
        <v>3613</v>
      </c>
      <c r="E1192" s="7" t="s">
        <v>3617</v>
      </c>
      <c r="F1192" s="8" t="s">
        <v>3628</v>
      </c>
      <c r="H1192" s="7" t="s">
        <v>3620</v>
      </c>
      <c r="I1192" s="7" t="s">
        <v>3624</v>
      </c>
      <c r="L1192" s="7" t="s">
        <v>8</v>
      </c>
      <c r="M1192" s="7" t="s">
        <v>9</v>
      </c>
      <c r="N1192" s="7" t="s">
        <v>10</v>
      </c>
      <c r="O1192" s="7" t="s">
        <v>1144</v>
      </c>
      <c r="P1192" s="7" t="s">
        <v>792</v>
      </c>
      <c r="Q1192" s="7" t="s">
        <v>1518</v>
      </c>
      <c r="R1192" t="s">
        <v>3632</v>
      </c>
    </row>
    <row r="1193" spans="1:18" x14ac:dyDescent="0.3">
      <c r="A1193" s="7" t="str">
        <f>HYPERLINK("https://hsdes.intel.com/resource/16013702337","16013702337")</f>
        <v>16013702337</v>
      </c>
      <c r="B1193" s="7" t="s">
        <v>3405</v>
      </c>
      <c r="C1193" s="7" t="s">
        <v>7</v>
      </c>
      <c r="D1193" s="7" t="s">
        <v>3613</v>
      </c>
      <c r="E1193" s="7" t="s">
        <v>3617</v>
      </c>
      <c r="F1193" s="8" t="s">
        <v>3628</v>
      </c>
      <c r="H1193" s="7" t="s">
        <v>3620</v>
      </c>
      <c r="I1193" s="7" t="s">
        <v>3624</v>
      </c>
      <c r="L1193" s="7" t="s">
        <v>8</v>
      </c>
      <c r="M1193" s="7" t="s">
        <v>9</v>
      </c>
      <c r="N1193" s="7" t="s">
        <v>10</v>
      </c>
      <c r="O1193" s="7" t="s">
        <v>1144</v>
      </c>
      <c r="P1193" s="7" t="s">
        <v>1388</v>
      </c>
      <c r="Q1193" s="7" t="s">
        <v>1439</v>
      </c>
      <c r="R1193" t="s">
        <v>3633</v>
      </c>
    </row>
    <row r="1194" spans="1:18" x14ac:dyDescent="0.3">
      <c r="A1194" s="7" t="str">
        <f>HYPERLINK("https://hsdes.intel.com/resource/16013702493","16013702493")</f>
        <v>16013702493</v>
      </c>
      <c r="B1194" s="7" t="s">
        <v>3406</v>
      </c>
      <c r="C1194" s="7" t="s">
        <v>7</v>
      </c>
      <c r="D1194" s="7" t="s">
        <v>3613</v>
      </c>
      <c r="E1194" s="7" t="s">
        <v>3617</v>
      </c>
      <c r="F1194" s="8" t="s">
        <v>3628</v>
      </c>
      <c r="H1194" s="7" t="s">
        <v>3620</v>
      </c>
      <c r="I1194" s="7" t="s">
        <v>3624</v>
      </c>
      <c r="L1194" s="7" t="s">
        <v>8</v>
      </c>
      <c r="M1194" s="7" t="s">
        <v>9</v>
      </c>
      <c r="N1194" s="7" t="s">
        <v>10</v>
      </c>
      <c r="O1194" s="7" t="s">
        <v>1144</v>
      </c>
      <c r="P1194" s="7" t="s">
        <v>1524</v>
      </c>
      <c r="Q1194" s="7" t="s">
        <v>1525</v>
      </c>
      <c r="R1194" t="s">
        <v>3632</v>
      </c>
    </row>
    <row r="1195" spans="1:18" x14ac:dyDescent="0.3">
      <c r="A1195" s="7" t="str">
        <f>HYPERLINK("https://hsdes.intel.com/resource/16013871767","16013871767")</f>
        <v>16013871767</v>
      </c>
      <c r="B1195" s="7" t="s">
        <v>3407</v>
      </c>
      <c r="C1195" s="7" t="s">
        <v>2386</v>
      </c>
      <c r="D1195" s="7" t="s">
        <v>3613</v>
      </c>
      <c r="E1195" s="7" t="s">
        <v>3617</v>
      </c>
      <c r="F1195" s="8" t="s">
        <v>3628</v>
      </c>
      <c r="H1195" s="7" t="s">
        <v>3620</v>
      </c>
      <c r="I1195" s="7" t="s">
        <v>3622</v>
      </c>
      <c r="L1195" s="7" t="s">
        <v>30</v>
      </c>
      <c r="M1195" s="7" t="s">
        <v>9</v>
      </c>
      <c r="N1195" s="7" t="s">
        <v>25</v>
      </c>
      <c r="P1195" s="7" t="s">
        <v>233</v>
      </c>
      <c r="R1195" t="s">
        <v>3632</v>
      </c>
    </row>
    <row r="1196" spans="1:18" x14ac:dyDescent="0.3">
      <c r="A1196" s="7" t="str">
        <f>HYPERLINK("https://hsdes.intel.com/resource/16014185861","16014185861")</f>
        <v>16014185861</v>
      </c>
      <c r="B1196" s="7" t="s">
        <v>3408</v>
      </c>
      <c r="C1196" s="7" t="s">
        <v>7</v>
      </c>
      <c r="D1196" s="7" t="s">
        <v>3613</v>
      </c>
      <c r="E1196" s="7" t="s">
        <v>3617</v>
      </c>
      <c r="F1196" s="8" t="s">
        <v>3628</v>
      </c>
      <c r="H1196" s="7" t="s">
        <v>3620</v>
      </c>
      <c r="I1196" s="7" t="s">
        <v>3624</v>
      </c>
      <c r="J1196" s="7" t="s">
        <v>3653</v>
      </c>
      <c r="K1196" s="6"/>
      <c r="L1196" s="7" t="s">
        <v>8</v>
      </c>
      <c r="M1196" s="7" t="s">
        <v>9</v>
      </c>
      <c r="N1196" s="7" t="s">
        <v>39</v>
      </c>
      <c r="P1196" s="7" t="s">
        <v>3409</v>
      </c>
      <c r="R1196" t="s">
        <v>3632</v>
      </c>
    </row>
    <row r="1197" spans="1:18" x14ac:dyDescent="0.3">
      <c r="A1197" s="7" t="str">
        <f>HYPERLINK("https://hsdes.intel.com/resource/16014193686","16014193686")</f>
        <v>16014193686</v>
      </c>
      <c r="B1197" s="7" t="s">
        <v>3410</v>
      </c>
      <c r="C1197" s="7" t="s">
        <v>7</v>
      </c>
      <c r="D1197" s="7" t="s">
        <v>3613</v>
      </c>
      <c r="E1197" s="7" t="s">
        <v>3617</v>
      </c>
      <c r="F1197" s="8" t="s">
        <v>3628</v>
      </c>
      <c r="H1197" s="7" t="s">
        <v>3620</v>
      </c>
      <c r="I1197" s="7" t="s">
        <v>3624</v>
      </c>
      <c r="J1197" s="7" t="s">
        <v>3653</v>
      </c>
      <c r="K1197" s="6"/>
      <c r="L1197" s="7" t="s">
        <v>8</v>
      </c>
      <c r="M1197" s="7" t="s">
        <v>9</v>
      </c>
      <c r="N1197" s="7" t="s">
        <v>39</v>
      </c>
      <c r="P1197" s="7" t="s">
        <v>3409</v>
      </c>
      <c r="R1197" t="s">
        <v>3632</v>
      </c>
    </row>
    <row r="1198" spans="1:18" x14ac:dyDescent="0.3">
      <c r="A1198" s="7" t="str">
        <f>HYPERLINK("https://hsdes.intel.com/resource/16014193951","16014193951")</f>
        <v>16014193951</v>
      </c>
      <c r="B1198" s="7" t="s">
        <v>3411</v>
      </c>
      <c r="C1198" s="7" t="s">
        <v>7</v>
      </c>
      <c r="D1198" s="7" t="s">
        <v>3613</v>
      </c>
      <c r="E1198" s="7" t="s">
        <v>3617</v>
      </c>
      <c r="F1198" s="8" t="s">
        <v>3628</v>
      </c>
      <c r="H1198" s="7" t="s">
        <v>3620</v>
      </c>
      <c r="I1198" s="7" t="s">
        <v>3624</v>
      </c>
      <c r="J1198" s="7" t="s">
        <v>3653</v>
      </c>
      <c r="L1198" s="7" t="s">
        <v>8</v>
      </c>
      <c r="M1198" s="7" t="s">
        <v>9</v>
      </c>
      <c r="N1198" s="7" t="s">
        <v>39</v>
      </c>
      <c r="P1198" s="7" t="s">
        <v>3409</v>
      </c>
      <c r="R1198" t="s">
        <v>3632</v>
      </c>
    </row>
    <row r="1199" spans="1:18" x14ac:dyDescent="0.3">
      <c r="A1199" s="7" t="str">
        <f>HYPERLINK("https://hsdes.intel.com/resource/16014195660","16014195660")</f>
        <v>16014195660</v>
      </c>
      <c r="B1199" s="7" t="s">
        <v>3412</v>
      </c>
      <c r="C1199" s="7" t="s">
        <v>7</v>
      </c>
      <c r="D1199" s="7" t="s">
        <v>3613</v>
      </c>
      <c r="E1199" s="7" t="s">
        <v>3617</v>
      </c>
      <c r="F1199" s="8" t="s">
        <v>3628</v>
      </c>
      <c r="H1199" s="7" t="s">
        <v>3620</v>
      </c>
      <c r="I1199" s="7" t="s">
        <v>3624</v>
      </c>
      <c r="J1199" s="7" t="s">
        <v>3653</v>
      </c>
      <c r="L1199" s="7" t="s">
        <v>8</v>
      </c>
      <c r="M1199" s="7" t="s">
        <v>9</v>
      </c>
      <c r="N1199" s="7" t="s">
        <v>39</v>
      </c>
      <c r="P1199" s="7" t="s">
        <v>3409</v>
      </c>
      <c r="R1199" t="s">
        <v>3632</v>
      </c>
    </row>
    <row r="1200" spans="1:18" x14ac:dyDescent="0.3">
      <c r="A1200" s="7" t="str">
        <f>HYPERLINK("https://hsdes.intel.com/resource/16014195667","16014195667")</f>
        <v>16014195667</v>
      </c>
      <c r="B1200" s="7" t="s">
        <v>3413</v>
      </c>
      <c r="C1200" s="7" t="s">
        <v>7</v>
      </c>
      <c r="D1200" s="7" t="s">
        <v>3613</v>
      </c>
      <c r="E1200" s="7" t="s">
        <v>3617</v>
      </c>
      <c r="F1200" s="8" t="s">
        <v>3628</v>
      </c>
      <c r="H1200" s="7" t="s">
        <v>3620</v>
      </c>
      <c r="I1200" s="7" t="s">
        <v>3624</v>
      </c>
      <c r="J1200" s="7" t="s">
        <v>3653</v>
      </c>
      <c r="L1200" s="7" t="s">
        <v>8</v>
      </c>
      <c r="M1200" s="7" t="s">
        <v>9</v>
      </c>
      <c r="N1200" s="7" t="s">
        <v>39</v>
      </c>
      <c r="P1200" s="7" t="s">
        <v>3409</v>
      </c>
      <c r="R1200" t="s">
        <v>3632</v>
      </c>
    </row>
    <row r="1201" spans="1:18" x14ac:dyDescent="0.3">
      <c r="A1201" s="7" t="str">
        <f>HYPERLINK("https://hsdes.intel.com/resource/16014195680","16014195680")</f>
        <v>16014195680</v>
      </c>
      <c r="B1201" s="7" t="s">
        <v>3414</v>
      </c>
      <c r="C1201" s="7" t="s">
        <v>7</v>
      </c>
      <c r="D1201" s="7" t="s">
        <v>3613</v>
      </c>
      <c r="E1201" s="7" t="s">
        <v>3617</v>
      </c>
      <c r="F1201" s="8" t="s">
        <v>3628</v>
      </c>
      <c r="H1201" s="7" t="s">
        <v>3620</v>
      </c>
      <c r="I1201" s="7" t="s">
        <v>3624</v>
      </c>
      <c r="J1201" s="7" t="s">
        <v>3653</v>
      </c>
      <c r="L1201" s="7" t="s">
        <v>8</v>
      </c>
      <c r="M1201" s="7" t="s">
        <v>9</v>
      </c>
      <c r="N1201" s="7" t="s">
        <v>39</v>
      </c>
      <c r="P1201" s="7" t="s">
        <v>3409</v>
      </c>
      <c r="R1201" t="s">
        <v>3632</v>
      </c>
    </row>
    <row r="1202" spans="1:18" x14ac:dyDescent="0.3">
      <c r="A1202" s="7" t="str">
        <f>HYPERLINK("https://hsdes.intel.com/resource/16014195699","16014195699")</f>
        <v>16014195699</v>
      </c>
      <c r="B1202" s="7" t="s">
        <v>3415</v>
      </c>
      <c r="C1202" s="7" t="s">
        <v>7</v>
      </c>
      <c r="D1202" s="7" t="s">
        <v>3613</v>
      </c>
      <c r="E1202" s="7" t="s">
        <v>3617</v>
      </c>
      <c r="F1202" s="8" t="s">
        <v>3628</v>
      </c>
      <c r="H1202" s="7" t="s">
        <v>3620</v>
      </c>
      <c r="I1202" s="7" t="s">
        <v>3624</v>
      </c>
      <c r="J1202" s="7" t="s">
        <v>3653</v>
      </c>
      <c r="L1202" s="7" t="s">
        <v>8</v>
      </c>
      <c r="M1202" s="7" t="s">
        <v>9</v>
      </c>
      <c r="N1202" s="7" t="s">
        <v>39</v>
      </c>
      <c r="P1202" s="7" t="s">
        <v>3409</v>
      </c>
      <c r="R1202" t="s">
        <v>3632</v>
      </c>
    </row>
    <row r="1203" spans="1:18" x14ac:dyDescent="0.3">
      <c r="A1203" s="7" t="str">
        <f>HYPERLINK("https://hsdes.intel.com/resource/16014195710","16014195710")</f>
        <v>16014195710</v>
      </c>
      <c r="B1203" s="7" t="s">
        <v>3416</v>
      </c>
      <c r="C1203" s="7" t="s">
        <v>7</v>
      </c>
      <c r="D1203" s="7" t="s">
        <v>3613</v>
      </c>
      <c r="E1203" s="7" t="s">
        <v>3617</v>
      </c>
      <c r="F1203" s="8" t="s">
        <v>3628</v>
      </c>
      <c r="H1203" s="7" t="s">
        <v>3620</v>
      </c>
      <c r="I1203" s="7" t="s">
        <v>3624</v>
      </c>
      <c r="J1203" s="7" t="s">
        <v>3653</v>
      </c>
      <c r="L1203" s="7" t="s">
        <v>8</v>
      </c>
      <c r="M1203" s="7" t="s">
        <v>9</v>
      </c>
      <c r="N1203" s="7" t="s">
        <v>39</v>
      </c>
      <c r="P1203" s="7" t="s">
        <v>3409</v>
      </c>
      <c r="R1203" t="s">
        <v>3632</v>
      </c>
    </row>
    <row r="1204" spans="1:18" x14ac:dyDescent="0.3">
      <c r="A1204" s="7" t="str">
        <f>HYPERLINK("https://hsdes.intel.com/resource/16014195743","16014195743")</f>
        <v>16014195743</v>
      </c>
      <c r="B1204" s="7" t="s">
        <v>3417</v>
      </c>
      <c r="C1204" s="7" t="s">
        <v>7</v>
      </c>
      <c r="D1204" s="7" t="s">
        <v>3613</v>
      </c>
      <c r="E1204" s="7" t="s">
        <v>3617</v>
      </c>
      <c r="F1204" s="8" t="s">
        <v>3628</v>
      </c>
      <c r="H1204" s="7" t="s">
        <v>3620</v>
      </c>
      <c r="I1204" s="7" t="s">
        <v>3624</v>
      </c>
      <c r="J1204" s="7" t="s">
        <v>3653</v>
      </c>
      <c r="L1204" s="7" t="s">
        <v>8</v>
      </c>
      <c r="M1204" s="7" t="s">
        <v>9</v>
      </c>
      <c r="N1204" s="7" t="s">
        <v>39</v>
      </c>
      <c r="P1204" s="7" t="s">
        <v>3409</v>
      </c>
      <c r="R1204" t="s">
        <v>3632</v>
      </c>
    </row>
    <row r="1205" spans="1:18" x14ac:dyDescent="0.3">
      <c r="A1205" s="7" t="str">
        <f>HYPERLINK("https://hsdes.intel.com/resource/16014195796","16014195796")</f>
        <v>16014195796</v>
      </c>
      <c r="B1205" s="7" t="s">
        <v>3418</v>
      </c>
      <c r="C1205" s="7" t="s">
        <v>7</v>
      </c>
      <c r="D1205" s="7" t="s">
        <v>3613</v>
      </c>
      <c r="E1205" s="7" t="s">
        <v>3617</v>
      </c>
      <c r="F1205" s="8" t="s">
        <v>3628</v>
      </c>
      <c r="H1205" s="7" t="s">
        <v>3619</v>
      </c>
      <c r="I1205" s="7" t="s">
        <v>3624</v>
      </c>
      <c r="L1205" s="7" t="s">
        <v>8</v>
      </c>
      <c r="M1205" s="7" t="s">
        <v>9</v>
      </c>
      <c r="N1205" s="7" t="s">
        <v>39</v>
      </c>
      <c r="P1205" s="7" t="s">
        <v>3409</v>
      </c>
      <c r="R1205" t="s">
        <v>3632</v>
      </c>
    </row>
    <row r="1206" spans="1:18" x14ac:dyDescent="0.3">
      <c r="A1206" s="7" t="str">
        <f>HYPERLINK("https://hsdes.intel.com/resource/16014195873","16014195873")</f>
        <v>16014195873</v>
      </c>
      <c r="B1206" s="7" t="s">
        <v>3419</v>
      </c>
      <c r="C1206" s="7" t="s">
        <v>7</v>
      </c>
      <c r="D1206" s="7" t="s">
        <v>3613</v>
      </c>
      <c r="E1206" s="7" t="s">
        <v>3617</v>
      </c>
      <c r="F1206" s="8" t="s">
        <v>3628</v>
      </c>
      <c r="H1206" s="7" t="s">
        <v>3619</v>
      </c>
      <c r="I1206" s="7" t="s">
        <v>3624</v>
      </c>
      <c r="L1206" s="7" t="s">
        <v>8</v>
      </c>
      <c r="M1206" s="7" t="s">
        <v>9</v>
      </c>
      <c r="N1206" s="7" t="s">
        <v>39</v>
      </c>
      <c r="P1206" s="7" t="s">
        <v>3409</v>
      </c>
      <c r="R1206" t="s">
        <v>3632</v>
      </c>
    </row>
    <row r="1207" spans="1:18" x14ac:dyDescent="0.3">
      <c r="A1207" s="7" t="str">
        <f>HYPERLINK("https://hsdes.intel.com/resource/16014195880","16014195880")</f>
        <v>16014195880</v>
      </c>
      <c r="B1207" s="7" t="s">
        <v>3420</v>
      </c>
      <c r="C1207" s="7" t="s">
        <v>7</v>
      </c>
      <c r="D1207" s="7" t="s">
        <v>3613</v>
      </c>
      <c r="E1207" s="7" t="s">
        <v>3617</v>
      </c>
      <c r="F1207" s="8" t="s">
        <v>3628</v>
      </c>
      <c r="H1207" s="7" t="s">
        <v>3619</v>
      </c>
      <c r="I1207" s="7" t="s">
        <v>3624</v>
      </c>
      <c r="L1207" s="7" t="s">
        <v>8</v>
      </c>
      <c r="M1207" s="7" t="s">
        <v>9</v>
      </c>
      <c r="N1207" s="7" t="s">
        <v>39</v>
      </c>
      <c r="P1207" s="7" t="s">
        <v>3409</v>
      </c>
      <c r="R1207" t="s">
        <v>3633</v>
      </c>
    </row>
    <row r="1208" spans="1:18" x14ac:dyDescent="0.3">
      <c r="A1208" s="7" t="str">
        <f>HYPERLINK("https://hsdes.intel.com/resource/16014195895","16014195895")</f>
        <v>16014195895</v>
      </c>
      <c r="B1208" s="7" t="s">
        <v>3421</v>
      </c>
      <c r="C1208" s="7" t="s">
        <v>7</v>
      </c>
      <c r="D1208" s="7" t="s">
        <v>3613</v>
      </c>
      <c r="E1208" s="7" t="s">
        <v>3617</v>
      </c>
      <c r="F1208" s="8" t="s">
        <v>3628</v>
      </c>
      <c r="H1208" s="7" t="s">
        <v>3619</v>
      </c>
      <c r="I1208" s="7" t="s">
        <v>3622</v>
      </c>
      <c r="L1208" s="7" t="s">
        <v>8</v>
      </c>
      <c r="M1208" s="7" t="s">
        <v>9</v>
      </c>
      <c r="N1208" s="7" t="s">
        <v>39</v>
      </c>
      <c r="P1208" s="7" t="s">
        <v>3409</v>
      </c>
      <c r="R1208" t="s">
        <v>3633</v>
      </c>
    </row>
    <row r="1209" spans="1:18" x14ac:dyDescent="0.3">
      <c r="A1209" s="7" t="str">
        <f>HYPERLINK("https://hsdes.intel.com/resource/16014206075","16014206075")</f>
        <v>16014206075</v>
      </c>
      <c r="B1209" s="7" t="s">
        <v>3422</v>
      </c>
      <c r="C1209" s="7" t="s">
        <v>7</v>
      </c>
      <c r="D1209" s="7" t="s">
        <v>3613</v>
      </c>
      <c r="E1209" s="7" t="s">
        <v>3617</v>
      </c>
      <c r="F1209" s="8" t="s">
        <v>3628</v>
      </c>
      <c r="H1209" s="16" t="s">
        <v>3619</v>
      </c>
      <c r="I1209" s="16" t="s">
        <v>3622</v>
      </c>
      <c r="L1209" s="7" t="s">
        <v>8</v>
      </c>
      <c r="M1209" s="7" t="s">
        <v>9</v>
      </c>
      <c r="N1209" s="7" t="s">
        <v>738</v>
      </c>
      <c r="O1209" s="7" t="s">
        <v>1160</v>
      </c>
      <c r="P1209" s="7" t="s">
        <v>1161</v>
      </c>
      <c r="Q1209" s="7" t="s">
        <v>1162</v>
      </c>
      <c r="R1209" t="s">
        <v>3633</v>
      </c>
    </row>
    <row r="1210" spans="1:18" x14ac:dyDescent="0.3">
      <c r="A1210" s="7" t="str">
        <f>HYPERLINK("https://hsdes.intel.com/resource/16014206248","16014206248")</f>
        <v>16014206248</v>
      </c>
      <c r="B1210" s="7" t="s">
        <v>3423</v>
      </c>
      <c r="C1210" s="7" t="s">
        <v>7</v>
      </c>
      <c r="D1210" s="7" t="s">
        <v>3613</v>
      </c>
      <c r="E1210" s="7" t="s">
        <v>3617</v>
      </c>
      <c r="F1210" s="8" t="s">
        <v>3628</v>
      </c>
      <c r="H1210" s="7" t="s">
        <v>3619</v>
      </c>
      <c r="I1210" s="7" t="s">
        <v>3624</v>
      </c>
      <c r="L1210" s="7" t="s">
        <v>8</v>
      </c>
      <c r="M1210" s="7" t="s">
        <v>9</v>
      </c>
      <c r="N1210" s="7" t="s">
        <v>10</v>
      </c>
      <c r="O1210" s="7" t="s">
        <v>1160</v>
      </c>
      <c r="P1210" s="7" t="s">
        <v>3424</v>
      </c>
      <c r="Q1210" s="7" t="s">
        <v>1162</v>
      </c>
      <c r="R1210" t="s">
        <v>3633</v>
      </c>
    </row>
    <row r="1211" spans="1:18" x14ac:dyDescent="0.3">
      <c r="A1211" s="7" t="str">
        <f>HYPERLINK("https://hsdes.intel.com/resource/16014206609","16014206609")</f>
        <v>16014206609</v>
      </c>
      <c r="B1211" s="7" t="s">
        <v>3425</v>
      </c>
      <c r="C1211" s="7" t="s">
        <v>7</v>
      </c>
      <c r="D1211" s="7" t="s">
        <v>3613</v>
      </c>
      <c r="E1211" s="7" t="s">
        <v>3617</v>
      </c>
      <c r="F1211" s="8" t="s">
        <v>3628</v>
      </c>
      <c r="H1211" s="7" t="s">
        <v>3619</v>
      </c>
      <c r="I1211" s="7" t="s">
        <v>3624</v>
      </c>
      <c r="L1211" s="7" t="s">
        <v>8</v>
      </c>
      <c r="M1211" s="7" t="s">
        <v>9</v>
      </c>
      <c r="N1211" s="7" t="s">
        <v>10</v>
      </c>
      <c r="O1211" s="7" t="s">
        <v>1160</v>
      </c>
      <c r="P1211" s="7" t="s">
        <v>3424</v>
      </c>
      <c r="Q1211" s="7" t="s">
        <v>1162</v>
      </c>
      <c r="R1211" t="s">
        <v>3633</v>
      </c>
    </row>
    <row r="1212" spans="1:18" x14ac:dyDescent="0.3">
      <c r="A1212" s="7" t="str">
        <f>HYPERLINK("https://hsdes.intel.com/resource/16014212976","16014212976")</f>
        <v>16014212976</v>
      </c>
      <c r="B1212" s="7" t="s">
        <v>3426</v>
      </c>
      <c r="C1212" s="7" t="s">
        <v>7</v>
      </c>
      <c r="D1212" s="7" t="s">
        <v>3613</v>
      </c>
      <c r="E1212" s="7" t="s">
        <v>3617</v>
      </c>
      <c r="F1212" s="8" t="s">
        <v>3628</v>
      </c>
      <c r="H1212" s="7" t="s">
        <v>3619</v>
      </c>
      <c r="I1212" s="7" t="s">
        <v>3624</v>
      </c>
      <c r="L1212" s="7" t="s">
        <v>8</v>
      </c>
      <c r="M1212" s="7" t="s">
        <v>9</v>
      </c>
      <c r="N1212" s="7" t="s">
        <v>10</v>
      </c>
      <c r="O1212" s="7" t="s">
        <v>1160</v>
      </c>
      <c r="P1212" s="7" t="s">
        <v>3424</v>
      </c>
      <c r="Q1212" s="7" t="s">
        <v>1162</v>
      </c>
      <c r="R1212" t="s">
        <v>3633</v>
      </c>
    </row>
    <row r="1213" spans="1:18" x14ac:dyDescent="0.3">
      <c r="A1213" s="7" t="str">
        <f>HYPERLINK("https://hsdes.intel.com/resource/16014217885","16014217885")</f>
        <v>16014217885</v>
      </c>
      <c r="B1213" s="7" t="s">
        <v>3427</v>
      </c>
      <c r="C1213" s="7" t="s">
        <v>7</v>
      </c>
      <c r="D1213" s="7" t="s">
        <v>3613</v>
      </c>
      <c r="E1213" s="7" t="s">
        <v>3617</v>
      </c>
      <c r="F1213" s="8" t="s">
        <v>3628</v>
      </c>
      <c r="H1213" s="7" t="s">
        <v>3619</v>
      </c>
      <c r="I1213" s="7" t="s">
        <v>3624</v>
      </c>
      <c r="L1213" s="7" t="s">
        <v>8</v>
      </c>
      <c r="M1213" s="7" t="s">
        <v>9</v>
      </c>
      <c r="N1213" s="7" t="s">
        <v>10</v>
      </c>
      <c r="O1213" s="7" t="s">
        <v>1160</v>
      </c>
      <c r="P1213" s="7" t="s">
        <v>3424</v>
      </c>
      <c r="Q1213" s="7" t="s">
        <v>1162</v>
      </c>
      <c r="R1213" t="s">
        <v>3631</v>
      </c>
    </row>
    <row r="1214" spans="1:18" x14ac:dyDescent="0.3">
      <c r="A1214" s="7" t="str">
        <f>HYPERLINK("https://hsdes.intel.com/resource/16014218143","16014218143")</f>
        <v>16014218143</v>
      </c>
      <c r="B1214" s="7" t="s">
        <v>3428</v>
      </c>
      <c r="C1214" s="7" t="s">
        <v>7</v>
      </c>
      <c r="D1214" s="7" t="s">
        <v>3613</v>
      </c>
      <c r="E1214" s="7" t="s">
        <v>3617</v>
      </c>
      <c r="F1214" s="8" t="s">
        <v>3628</v>
      </c>
      <c r="H1214" s="7" t="s">
        <v>3619</v>
      </c>
      <c r="I1214" s="7" t="s">
        <v>3624</v>
      </c>
      <c r="L1214" s="7" t="s">
        <v>8</v>
      </c>
      <c r="M1214" s="7" t="s">
        <v>9</v>
      </c>
      <c r="N1214" s="7" t="s">
        <v>10</v>
      </c>
      <c r="O1214" s="7" t="s">
        <v>1160</v>
      </c>
      <c r="P1214" s="7" t="s">
        <v>3424</v>
      </c>
      <c r="Q1214" s="7" t="s">
        <v>1162</v>
      </c>
      <c r="R1214" t="s">
        <v>3631</v>
      </c>
    </row>
    <row r="1215" spans="1:18" x14ac:dyDescent="0.3">
      <c r="A1215" s="7" t="str">
        <f>HYPERLINK("https://hsdes.intel.com/resource/16014267496","16014267496")</f>
        <v>16014267496</v>
      </c>
      <c r="B1215" s="7" t="s">
        <v>3429</v>
      </c>
      <c r="C1215" s="7" t="s">
        <v>225</v>
      </c>
      <c r="D1215" s="7" t="s">
        <v>3612</v>
      </c>
      <c r="E1215" s="7" t="s">
        <v>3617</v>
      </c>
      <c r="F1215" s="8" t="s">
        <v>3628</v>
      </c>
      <c r="H1215" s="7" t="s">
        <v>3619</v>
      </c>
      <c r="I1215" s="7" t="s">
        <v>3622</v>
      </c>
      <c r="L1215" s="7" t="s">
        <v>100</v>
      </c>
      <c r="M1215" s="7" t="s">
        <v>94</v>
      </c>
      <c r="N1215" s="7" t="s">
        <v>226</v>
      </c>
      <c r="O1215" s="7" t="s">
        <v>3430</v>
      </c>
      <c r="P1215" s="7" t="s">
        <v>3431</v>
      </c>
      <c r="Q1215" s="7" t="s">
        <v>3432</v>
      </c>
      <c r="R1215" t="s">
        <v>3631</v>
      </c>
    </row>
    <row r="1216" spans="1:18" x14ac:dyDescent="0.3">
      <c r="A1216" s="7" t="str">
        <f>HYPERLINK("https://hsdes.intel.com/resource/16014268151","16014268151")</f>
        <v>16014268151</v>
      </c>
      <c r="B1216" s="7" t="s">
        <v>3433</v>
      </c>
      <c r="C1216" s="7" t="s">
        <v>225</v>
      </c>
      <c r="D1216" s="7" t="s">
        <v>3612</v>
      </c>
      <c r="E1216" s="7" t="s">
        <v>3617</v>
      </c>
      <c r="F1216" s="8" t="s">
        <v>3628</v>
      </c>
      <c r="H1216" s="7" t="s">
        <v>3619</v>
      </c>
      <c r="I1216" s="7" t="s">
        <v>3622</v>
      </c>
      <c r="L1216" s="7" t="s">
        <v>100</v>
      </c>
      <c r="M1216" s="7" t="s">
        <v>94</v>
      </c>
      <c r="N1216" s="7" t="s">
        <v>226</v>
      </c>
      <c r="O1216" s="7" t="s">
        <v>3430</v>
      </c>
      <c r="P1216" s="7" t="s">
        <v>3431</v>
      </c>
      <c r="Q1216" s="7" t="s">
        <v>3432</v>
      </c>
      <c r="R1216" t="s">
        <v>3631</v>
      </c>
    </row>
    <row r="1217" spans="1:19" x14ac:dyDescent="0.3">
      <c r="A1217" s="7" t="str">
        <f>HYPERLINK("https://hsdes.intel.com/resource/16014268343","16014268343")</f>
        <v>16014268343</v>
      </c>
      <c r="B1217" s="7" t="s">
        <v>3434</v>
      </c>
      <c r="C1217" s="7" t="s">
        <v>225</v>
      </c>
      <c r="D1217" s="7" t="s">
        <v>3612</v>
      </c>
      <c r="E1217" s="7" t="s">
        <v>3617</v>
      </c>
      <c r="F1217" s="8" t="s">
        <v>3628</v>
      </c>
      <c r="H1217" s="7" t="s">
        <v>3619</v>
      </c>
      <c r="I1217" s="7" t="s">
        <v>3622</v>
      </c>
      <c r="L1217" s="7" t="s">
        <v>100</v>
      </c>
      <c r="M1217" s="7" t="s">
        <v>94</v>
      </c>
      <c r="N1217" s="7" t="s">
        <v>226</v>
      </c>
      <c r="O1217" s="7" t="s">
        <v>3430</v>
      </c>
      <c r="P1217" s="7" t="s">
        <v>3435</v>
      </c>
      <c r="Q1217" s="7" t="s">
        <v>3432</v>
      </c>
      <c r="R1217" t="s">
        <v>3631</v>
      </c>
    </row>
    <row r="1218" spans="1:19" x14ac:dyDescent="0.3">
      <c r="A1218" s="7" t="str">
        <f>HYPERLINK("https://hsdes.intel.com/resource/16014268794","16014268794")</f>
        <v>16014268794</v>
      </c>
      <c r="B1218" s="7" t="s">
        <v>3436</v>
      </c>
      <c r="C1218" s="7" t="s">
        <v>225</v>
      </c>
      <c r="D1218" s="7" t="s">
        <v>3613</v>
      </c>
      <c r="E1218" s="7" t="s">
        <v>3617</v>
      </c>
      <c r="F1218" s="8" t="s">
        <v>3628</v>
      </c>
      <c r="H1218" s="7" t="s">
        <v>3619</v>
      </c>
      <c r="I1218" s="7" t="s">
        <v>3622</v>
      </c>
      <c r="L1218" s="7" t="s">
        <v>100</v>
      </c>
      <c r="M1218" s="7" t="s">
        <v>94</v>
      </c>
      <c r="N1218" s="7" t="s">
        <v>226</v>
      </c>
      <c r="O1218" s="7" t="s">
        <v>3430</v>
      </c>
      <c r="P1218" s="7" t="s">
        <v>3435</v>
      </c>
      <c r="Q1218" s="7" t="s">
        <v>3432</v>
      </c>
      <c r="R1218" t="s">
        <v>3631</v>
      </c>
    </row>
    <row r="1219" spans="1:19" x14ac:dyDescent="0.3">
      <c r="A1219" s="7" t="str">
        <f>HYPERLINK("https://hsdes.intel.com/resource/16014269361","16014269361")</f>
        <v>16014269361</v>
      </c>
      <c r="B1219" s="7" t="s">
        <v>3437</v>
      </c>
      <c r="C1219" s="7" t="s">
        <v>225</v>
      </c>
      <c r="D1219" s="7" t="s">
        <v>3612</v>
      </c>
      <c r="E1219" s="7" t="s">
        <v>3617</v>
      </c>
      <c r="F1219" s="8" t="s">
        <v>3628</v>
      </c>
      <c r="H1219" s="7" t="s">
        <v>3619</v>
      </c>
      <c r="I1219" s="7" t="s">
        <v>3622</v>
      </c>
      <c r="L1219" s="7" t="s">
        <v>100</v>
      </c>
      <c r="M1219" s="7" t="s">
        <v>94</v>
      </c>
      <c r="N1219" s="7" t="s">
        <v>226</v>
      </c>
      <c r="O1219" s="7" t="s">
        <v>3430</v>
      </c>
      <c r="P1219" s="7" t="s">
        <v>3438</v>
      </c>
      <c r="Q1219" s="7" t="s">
        <v>3432</v>
      </c>
      <c r="R1219" t="s">
        <v>3631</v>
      </c>
    </row>
    <row r="1220" spans="1:19" x14ac:dyDescent="0.3">
      <c r="A1220" s="7" t="str">
        <f>HYPERLINK("https://hsdes.intel.com/resource/16014434357","16014434357")</f>
        <v>16014434357</v>
      </c>
      <c r="B1220" s="7" t="s">
        <v>3439</v>
      </c>
      <c r="C1220" s="7" t="s">
        <v>7</v>
      </c>
      <c r="D1220" s="7" t="s">
        <v>3613</v>
      </c>
      <c r="E1220" s="7" t="s">
        <v>3617</v>
      </c>
      <c r="F1220" s="8" t="s">
        <v>3628</v>
      </c>
      <c r="H1220" s="7" t="s">
        <v>3619</v>
      </c>
      <c r="I1220" s="7" t="s">
        <v>3640</v>
      </c>
      <c r="L1220" s="7" t="s">
        <v>8</v>
      </c>
      <c r="M1220" s="7" t="s">
        <v>9</v>
      </c>
      <c r="N1220" s="7" t="s">
        <v>10</v>
      </c>
      <c r="O1220" s="7" t="s">
        <v>326</v>
      </c>
      <c r="P1220" s="7" t="s">
        <v>327</v>
      </c>
      <c r="Q1220" s="7" t="s">
        <v>328</v>
      </c>
      <c r="R1220" t="s">
        <v>3631</v>
      </c>
    </row>
    <row r="1221" spans="1:19" x14ac:dyDescent="0.3">
      <c r="A1221" s="7" t="str">
        <f>HYPERLINK("https://hsdes.intel.com/resource/16014434758","16014434758")</f>
        <v>16014434758</v>
      </c>
      <c r="B1221" s="7" t="s">
        <v>3440</v>
      </c>
      <c r="C1221" s="7" t="s">
        <v>7</v>
      </c>
      <c r="D1221" s="7" t="s">
        <v>3613</v>
      </c>
      <c r="E1221" s="7" t="s">
        <v>3617</v>
      </c>
      <c r="F1221" s="8" t="s">
        <v>3628</v>
      </c>
      <c r="H1221" s="7" t="s">
        <v>3619</v>
      </c>
      <c r="I1221" s="7" t="s">
        <v>3640</v>
      </c>
      <c r="L1221" s="7" t="s">
        <v>8</v>
      </c>
      <c r="M1221" s="7" t="s">
        <v>9</v>
      </c>
      <c r="N1221" s="7" t="s">
        <v>10</v>
      </c>
      <c r="O1221" s="7" t="s">
        <v>326</v>
      </c>
      <c r="P1221" s="7" t="s">
        <v>327</v>
      </c>
      <c r="Q1221" s="7" t="s">
        <v>328</v>
      </c>
      <c r="R1221" t="s">
        <v>3633</v>
      </c>
    </row>
    <row r="1222" spans="1:19" x14ac:dyDescent="0.3">
      <c r="A1222" s="7" t="str">
        <f>HYPERLINK("https://hsdes.intel.com/resource/16014452298","16014452298")</f>
        <v>16014452298</v>
      </c>
      <c r="B1222" s="7" t="s">
        <v>3441</v>
      </c>
      <c r="C1222" s="7" t="s">
        <v>7</v>
      </c>
      <c r="D1222" s="7" t="s">
        <v>3613</v>
      </c>
      <c r="E1222" s="7" t="s">
        <v>3617</v>
      </c>
      <c r="F1222" s="8" t="s">
        <v>3628</v>
      </c>
      <c r="H1222" s="7" t="s">
        <v>3619</v>
      </c>
      <c r="I1222" s="7" t="s">
        <v>3640</v>
      </c>
      <c r="L1222" s="7" t="s">
        <v>8</v>
      </c>
      <c r="M1222" s="7" t="s">
        <v>9</v>
      </c>
      <c r="N1222" s="7" t="s">
        <v>10</v>
      </c>
      <c r="O1222" s="7" t="s">
        <v>1144</v>
      </c>
      <c r="P1222" s="7" t="s">
        <v>1392</v>
      </c>
      <c r="Q1222" s="7" t="s">
        <v>1395</v>
      </c>
      <c r="R1222" t="s">
        <v>3631</v>
      </c>
    </row>
    <row r="1223" spans="1:19" x14ac:dyDescent="0.3">
      <c r="A1223" s="7" t="str">
        <f>HYPERLINK("https://hsdes.intel.com/resource/16014452382","16014452382")</f>
        <v>16014452382</v>
      </c>
      <c r="B1223" s="7" t="s">
        <v>3442</v>
      </c>
      <c r="C1223" s="7" t="s">
        <v>7</v>
      </c>
      <c r="D1223" s="7" t="s">
        <v>3613</v>
      </c>
      <c r="E1223" s="7" t="s">
        <v>3617</v>
      </c>
      <c r="F1223" s="8" t="s">
        <v>3628</v>
      </c>
      <c r="H1223" s="7" t="s">
        <v>3619</v>
      </c>
      <c r="I1223" s="7" t="s">
        <v>3640</v>
      </c>
      <c r="L1223" s="7" t="s">
        <v>8</v>
      </c>
      <c r="M1223" s="7" t="s">
        <v>9</v>
      </c>
      <c r="N1223" s="7" t="s">
        <v>10</v>
      </c>
      <c r="O1223" s="7" t="s">
        <v>1144</v>
      </c>
      <c r="P1223" s="7" t="s">
        <v>1397</v>
      </c>
      <c r="Q1223" s="7" t="s">
        <v>1398</v>
      </c>
      <c r="R1223" t="s">
        <v>3631</v>
      </c>
    </row>
    <row r="1224" spans="1:19" x14ac:dyDescent="0.3">
      <c r="A1224" s="7" t="str">
        <f>HYPERLINK("https://hsdes.intel.com/resource/16014452525","16014452525")</f>
        <v>16014452525</v>
      </c>
      <c r="B1224" s="7" t="s">
        <v>3443</v>
      </c>
      <c r="C1224" s="7" t="s">
        <v>7</v>
      </c>
      <c r="D1224" s="7" t="s">
        <v>3613</v>
      </c>
      <c r="E1224" s="7" t="s">
        <v>3617</v>
      </c>
      <c r="F1224" s="8" t="s">
        <v>3628</v>
      </c>
      <c r="H1224" s="7" t="s">
        <v>3619</v>
      </c>
      <c r="I1224" s="7" t="s">
        <v>3640</v>
      </c>
      <c r="L1224" s="7" t="s">
        <v>8</v>
      </c>
      <c r="M1224" s="7" t="s">
        <v>9</v>
      </c>
      <c r="N1224" s="7" t="s">
        <v>10</v>
      </c>
      <c r="O1224" s="7" t="s">
        <v>1144</v>
      </c>
      <c r="P1224" s="7" t="s">
        <v>1502</v>
      </c>
      <c r="Q1224" s="7" t="s">
        <v>1503</v>
      </c>
      <c r="R1224" t="s">
        <v>3631</v>
      </c>
    </row>
    <row r="1225" spans="1:19" x14ac:dyDescent="0.3">
      <c r="A1225" s="9" t="str">
        <f>HYPERLINK("https://hsdes.intel.com/resource/16014459216","16014459216")</f>
        <v>16014459216</v>
      </c>
      <c r="B1225" s="7" t="s">
        <v>3444</v>
      </c>
      <c r="C1225" s="7" t="s">
        <v>7</v>
      </c>
      <c r="D1225" s="7" t="s">
        <v>3613</v>
      </c>
      <c r="E1225" s="7" t="s">
        <v>3617</v>
      </c>
      <c r="F1225" s="8" t="s">
        <v>3628</v>
      </c>
      <c r="H1225" s="7" t="s">
        <v>3619</v>
      </c>
      <c r="I1225" s="7" t="s">
        <v>3640</v>
      </c>
      <c r="L1225" s="7" t="s">
        <v>8</v>
      </c>
      <c r="M1225" s="7" t="s">
        <v>9</v>
      </c>
      <c r="N1225" s="7" t="s">
        <v>10</v>
      </c>
      <c r="O1225" s="7" t="s">
        <v>1144</v>
      </c>
      <c r="P1225" s="7" t="s">
        <v>1073</v>
      </c>
      <c r="Q1225" s="7" t="s">
        <v>1477</v>
      </c>
      <c r="R1225" t="s">
        <v>3632</v>
      </c>
    </row>
    <row r="1226" spans="1:19" x14ac:dyDescent="0.3">
      <c r="A1226" s="7" t="str">
        <f>HYPERLINK("https://hsdes.intel.com/resource/16014459496","16014459496")</f>
        <v>16014459496</v>
      </c>
      <c r="B1226" s="7" t="s">
        <v>3445</v>
      </c>
      <c r="C1226" s="7" t="s">
        <v>7</v>
      </c>
      <c r="D1226" s="7" t="s">
        <v>3613</v>
      </c>
      <c r="E1226" s="7" t="s">
        <v>3617</v>
      </c>
      <c r="F1226" s="8" t="s">
        <v>3628</v>
      </c>
      <c r="H1226" s="7" t="s">
        <v>3619</v>
      </c>
      <c r="I1226" s="7" t="s">
        <v>3640</v>
      </c>
      <c r="L1226" s="7" t="s">
        <v>8</v>
      </c>
      <c r="M1226" s="7" t="s">
        <v>9</v>
      </c>
      <c r="N1226" s="7" t="s">
        <v>10</v>
      </c>
      <c r="O1226" s="7" t="s">
        <v>1144</v>
      </c>
      <c r="P1226" s="7" t="s">
        <v>1527</v>
      </c>
      <c r="Q1226" s="7" t="s">
        <v>1528</v>
      </c>
      <c r="R1226" t="s">
        <v>3632</v>
      </c>
    </row>
    <row r="1227" spans="1:19" x14ac:dyDescent="0.3">
      <c r="A1227" s="7" t="str">
        <f>HYPERLINK("https://hsdes.intel.com/resource/16014501311","16014501311")</f>
        <v>16014501311</v>
      </c>
      <c r="B1227" s="7" t="s">
        <v>3446</v>
      </c>
      <c r="C1227" s="7" t="s">
        <v>225</v>
      </c>
      <c r="D1227" s="7" t="s">
        <v>3612</v>
      </c>
      <c r="E1227" s="7" t="s">
        <v>3617</v>
      </c>
      <c r="F1227" s="8" t="s">
        <v>3628</v>
      </c>
      <c r="H1227" s="7" t="s">
        <v>3618</v>
      </c>
      <c r="J1227" s="7" t="s">
        <v>3556</v>
      </c>
      <c r="L1227" s="7" t="s">
        <v>100</v>
      </c>
      <c r="M1227" s="7" t="s">
        <v>94</v>
      </c>
      <c r="N1227" s="7" t="s">
        <v>226</v>
      </c>
      <c r="O1227" s="7" t="s">
        <v>3447</v>
      </c>
      <c r="P1227" s="7" t="s">
        <v>3448</v>
      </c>
      <c r="Q1227" s="7" t="s">
        <v>3449</v>
      </c>
      <c r="R1227" t="s">
        <v>3631</v>
      </c>
    </row>
    <row r="1228" spans="1:19" ht="14.4" customHeight="1" x14ac:dyDescent="0.3">
      <c r="A1228" s="7" t="str">
        <f>HYPERLINK("https://hsdes.intel.com/resource/16015014979","16015014979")</f>
        <v>16015014979</v>
      </c>
      <c r="B1228" s="7" t="s">
        <v>3450</v>
      </c>
      <c r="C1228" s="7" t="s">
        <v>3451</v>
      </c>
      <c r="D1228" s="7" t="s">
        <v>3612</v>
      </c>
      <c r="E1228" s="7" t="s">
        <v>3617</v>
      </c>
      <c r="F1228" s="8" t="s">
        <v>3628</v>
      </c>
      <c r="H1228" s="7" t="s">
        <v>3619</v>
      </c>
      <c r="I1228" s="7" t="s">
        <v>3634</v>
      </c>
      <c r="J1228" s="11" t="s">
        <v>3623</v>
      </c>
      <c r="L1228" s="7" t="s">
        <v>24</v>
      </c>
      <c r="M1228" s="7" t="s">
        <v>9</v>
      </c>
      <c r="N1228" s="7" t="s">
        <v>39</v>
      </c>
      <c r="P1228" s="7" t="s">
        <v>48</v>
      </c>
      <c r="R1228" t="s">
        <v>3632</v>
      </c>
      <c r="S1228" s="22"/>
    </row>
    <row r="1229" spans="1:19" x14ac:dyDescent="0.3">
      <c r="A1229" s="7" t="str">
        <f>HYPERLINK("https://hsdes.intel.com/resource/22011834241","22011834241")</f>
        <v>22011834241</v>
      </c>
      <c r="B1229" s="7" t="s">
        <v>3452</v>
      </c>
      <c r="C1229" s="7" t="s">
        <v>133</v>
      </c>
      <c r="D1229" s="7" t="s">
        <v>3612</v>
      </c>
      <c r="E1229" s="7" t="s">
        <v>3617</v>
      </c>
      <c r="F1229" s="8" t="s">
        <v>3628</v>
      </c>
      <c r="H1229" s="7" t="s">
        <v>3619</v>
      </c>
      <c r="I1229" s="7" t="s">
        <v>3640</v>
      </c>
      <c r="L1229" s="7" t="s">
        <v>24</v>
      </c>
      <c r="M1229" s="7" t="s">
        <v>9</v>
      </c>
      <c r="N1229" s="7" t="s">
        <v>39</v>
      </c>
      <c r="O1229" s="7" t="s">
        <v>1890</v>
      </c>
      <c r="P1229" s="7" t="s">
        <v>1890</v>
      </c>
      <c r="Q1229" s="7" t="s">
        <v>3453</v>
      </c>
      <c r="R1229" t="s">
        <v>3633</v>
      </c>
    </row>
    <row r="1230" spans="1:19" x14ac:dyDescent="0.3">
      <c r="A1230" s="7" t="str">
        <f>HYPERLINK("https://hsdes.intel.com/resource/22011834247","22011834247")</f>
        <v>22011834247</v>
      </c>
      <c r="B1230" s="7" t="s">
        <v>3454</v>
      </c>
      <c r="C1230" s="7" t="s">
        <v>7</v>
      </c>
      <c r="D1230" s="7" t="s">
        <v>3612</v>
      </c>
      <c r="E1230" s="7" t="s">
        <v>3617</v>
      </c>
      <c r="F1230" s="8" t="s">
        <v>3628</v>
      </c>
      <c r="H1230" s="7" t="s">
        <v>3619</v>
      </c>
      <c r="I1230" s="7" t="s">
        <v>3622</v>
      </c>
      <c r="L1230" s="7" t="s">
        <v>8</v>
      </c>
      <c r="M1230" s="7" t="s">
        <v>9</v>
      </c>
      <c r="N1230" s="7" t="s">
        <v>10</v>
      </c>
      <c r="O1230" s="7" t="s">
        <v>1103</v>
      </c>
      <c r="P1230" s="7" t="s">
        <v>792</v>
      </c>
      <c r="Q1230" s="7" t="s">
        <v>3455</v>
      </c>
      <c r="R1230" t="s">
        <v>3633</v>
      </c>
    </row>
    <row r="1231" spans="1:19" x14ac:dyDescent="0.3">
      <c r="A1231" s="7" t="str">
        <f>HYPERLINK("https://hsdes.intel.com/resource/22011834254","22011834254")</f>
        <v>22011834254</v>
      </c>
      <c r="B1231" s="7" t="s">
        <v>3456</v>
      </c>
      <c r="C1231" s="7" t="s">
        <v>7</v>
      </c>
      <c r="D1231" s="7" t="s">
        <v>3612</v>
      </c>
      <c r="E1231" s="7" t="s">
        <v>3617</v>
      </c>
      <c r="F1231" s="8" t="s">
        <v>3628</v>
      </c>
      <c r="H1231" s="7" t="s">
        <v>3619</v>
      </c>
      <c r="I1231" s="7" t="s">
        <v>3622</v>
      </c>
      <c r="L1231" s="7" t="s">
        <v>8</v>
      </c>
      <c r="M1231" s="7" t="s">
        <v>9</v>
      </c>
      <c r="N1231" s="7" t="s">
        <v>10</v>
      </c>
      <c r="O1231" s="7" t="s">
        <v>1157</v>
      </c>
      <c r="P1231" s="7" t="s">
        <v>792</v>
      </c>
      <c r="Q1231" s="7" t="s">
        <v>3457</v>
      </c>
      <c r="R1231" t="s">
        <v>3633</v>
      </c>
    </row>
    <row r="1232" spans="1:19" x14ac:dyDescent="0.3">
      <c r="A1232" s="9" t="str">
        <f>HYPERLINK("https://hsdes.intel.com/resource/22011834261","22011834261")</f>
        <v>22011834261</v>
      </c>
      <c r="B1232" s="7" t="s">
        <v>3458</v>
      </c>
      <c r="C1232" s="7" t="s">
        <v>7</v>
      </c>
      <c r="D1232" s="7" t="s">
        <v>3612</v>
      </c>
      <c r="E1232" s="7" t="s">
        <v>3617</v>
      </c>
      <c r="F1232" s="8" t="s">
        <v>3628</v>
      </c>
      <c r="H1232" s="7" t="s">
        <v>3619</v>
      </c>
      <c r="I1232" s="7" t="s">
        <v>3622</v>
      </c>
      <c r="J1232" s="15" t="s">
        <v>3582</v>
      </c>
      <c r="L1232" s="7" t="s">
        <v>8</v>
      </c>
      <c r="M1232" s="7" t="s">
        <v>9</v>
      </c>
      <c r="N1232" s="7" t="s">
        <v>10</v>
      </c>
      <c r="O1232" s="7" t="s">
        <v>1157</v>
      </c>
      <c r="P1232" s="7" t="s">
        <v>694</v>
      </c>
      <c r="Q1232" s="7" t="s">
        <v>3459</v>
      </c>
      <c r="R1232" t="s">
        <v>3633</v>
      </c>
    </row>
    <row r="1233" spans="1:18" x14ac:dyDescent="0.3">
      <c r="A1233" s="7" t="str">
        <f>HYPERLINK("https://hsdes.intel.com/resource/22011834267","22011834267")</f>
        <v>22011834267</v>
      </c>
      <c r="B1233" s="7" t="s">
        <v>3460</v>
      </c>
      <c r="C1233" s="7" t="s">
        <v>7</v>
      </c>
      <c r="D1233" s="7" t="s">
        <v>3612</v>
      </c>
      <c r="E1233" s="7" t="s">
        <v>3617</v>
      </c>
      <c r="F1233" s="8" t="s">
        <v>3628</v>
      </c>
      <c r="H1233" s="7" t="s">
        <v>3619</v>
      </c>
      <c r="I1233" s="7" t="s">
        <v>3622</v>
      </c>
      <c r="J1233" s="15" t="s">
        <v>3582</v>
      </c>
      <c r="L1233" s="7" t="s">
        <v>8</v>
      </c>
      <c r="M1233" s="7" t="s">
        <v>9</v>
      </c>
      <c r="N1233" s="7" t="s">
        <v>10</v>
      </c>
      <c r="O1233" s="7" t="s">
        <v>1157</v>
      </c>
      <c r="P1233" s="7" t="s">
        <v>1073</v>
      </c>
      <c r="Q1233" s="7" t="s">
        <v>3461</v>
      </c>
      <c r="R1233" t="s">
        <v>3631</v>
      </c>
    </row>
    <row r="1234" spans="1:18" x14ac:dyDescent="0.3">
      <c r="A1234" s="7" t="str">
        <f>HYPERLINK("https://hsdes.intel.com/resource/22011834277","22011834277")</f>
        <v>22011834277</v>
      </c>
      <c r="B1234" s="7" t="s">
        <v>3462</v>
      </c>
      <c r="C1234" s="7" t="s">
        <v>7</v>
      </c>
      <c r="D1234" s="7" t="s">
        <v>3612</v>
      </c>
      <c r="E1234" s="7" t="s">
        <v>3617</v>
      </c>
      <c r="F1234" s="8" t="s">
        <v>3628</v>
      </c>
      <c r="H1234" s="7" t="s">
        <v>3619</v>
      </c>
      <c r="I1234" s="7" t="s">
        <v>3622</v>
      </c>
      <c r="J1234" s="15" t="s">
        <v>3582</v>
      </c>
      <c r="L1234" s="7" t="s">
        <v>8</v>
      </c>
      <c r="M1234" s="7" t="s">
        <v>9</v>
      </c>
      <c r="N1234" s="7" t="s">
        <v>10</v>
      </c>
      <c r="O1234" s="7" t="s">
        <v>1103</v>
      </c>
      <c r="P1234" s="7" t="s">
        <v>694</v>
      </c>
      <c r="Q1234" s="7" t="s">
        <v>3463</v>
      </c>
      <c r="R1234" t="s">
        <v>3631</v>
      </c>
    </row>
    <row r="1235" spans="1:18" x14ac:dyDescent="0.3">
      <c r="A1235" s="7" t="str">
        <f>HYPERLINK("https://hsdes.intel.com/resource/22011834363","22011834363")</f>
        <v>22011834363</v>
      </c>
      <c r="B1235" s="7" t="s">
        <v>3464</v>
      </c>
      <c r="C1235" s="7" t="s">
        <v>7</v>
      </c>
      <c r="D1235" s="7" t="s">
        <v>3613</v>
      </c>
      <c r="E1235" s="7" t="s">
        <v>3617</v>
      </c>
      <c r="F1235" s="8" t="s">
        <v>3628</v>
      </c>
      <c r="H1235" s="7" t="s">
        <v>3619</v>
      </c>
      <c r="I1235" s="7" t="s">
        <v>3622</v>
      </c>
      <c r="L1235" s="7" t="s">
        <v>8</v>
      </c>
      <c r="M1235" s="7" t="s">
        <v>9</v>
      </c>
      <c r="N1235" s="7" t="s">
        <v>10</v>
      </c>
      <c r="O1235" s="7" t="s">
        <v>3465</v>
      </c>
      <c r="P1235" s="7" t="s">
        <v>1100</v>
      </c>
      <c r="Q1235" s="7" t="s">
        <v>3466</v>
      </c>
      <c r="R1235" t="s">
        <v>3631</v>
      </c>
    </row>
    <row r="1236" spans="1:18" x14ac:dyDescent="0.3">
      <c r="A1236" s="7" t="str">
        <f>HYPERLINK("https://hsdes.intel.com/resource/22011834371","22011834371")</f>
        <v>22011834371</v>
      </c>
      <c r="B1236" s="7" t="s">
        <v>3467</v>
      </c>
      <c r="C1236" s="7" t="s">
        <v>7</v>
      </c>
      <c r="D1236" s="7" t="s">
        <v>3613</v>
      </c>
      <c r="E1236" s="7" t="s">
        <v>3617</v>
      </c>
      <c r="F1236" s="8" t="s">
        <v>3628</v>
      </c>
      <c r="H1236" s="7" t="s">
        <v>3619</v>
      </c>
      <c r="I1236" s="7" t="s">
        <v>3622</v>
      </c>
      <c r="L1236" s="7" t="s">
        <v>8</v>
      </c>
      <c r="M1236" s="7" t="s">
        <v>9</v>
      </c>
      <c r="N1236" s="7" t="s">
        <v>10</v>
      </c>
      <c r="O1236" s="7" t="s">
        <v>3465</v>
      </c>
      <c r="P1236" s="7" t="s">
        <v>1100</v>
      </c>
      <c r="Q1236" s="7" t="s">
        <v>3468</v>
      </c>
      <c r="R1236" t="s">
        <v>3631</v>
      </c>
    </row>
    <row r="1237" spans="1:18" x14ac:dyDescent="0.3">
      <c r="A1237" s="7" t="str">
        <f>HYPERLINK("https://hsdes.intel.com/resource/22011834384","22011834384")</f>
        <v>22011834384</v>
      </c>
      <c r="B1237" s="7" t="s">
        <v>3469</v>
      </c>
      <c r="C1237" s="7" t="s">
        <v>7</v>
      </c>
      <c r="D1237" s="7" t="s">
        <v>3613</v>
      </c>
      <c r="E1237" s="7" t="s">
        <v>3617</v>
      </c>
      <c r="F1237" s="8" t="s">
        <v>3628</v>
      </c>
      <c r="H1237" s="7" t="s">
        <v>3620</v>
      </c>
      <c r="I1237" s="7" t="s">
        <v>3624</v>
      </c>
      <c r="J1237" s="7" t="s">
        <v>3653</v>
      </c>
      <c r="K1237" s="6"/>
      <c r="L1237" s="7" t="s">
        <v>8</v>
      </c>
      <c r="M1237" s="7" t="s">
        <v>9</v>
      </c>
      <c r="N1237" s="7" t="s">
        <v>2097</v>
      </c>
      <c r="O1237" s="7" t="s">
        <v>3465</v>
      </c>
      <c r="P1237" s="7" t="s">
        <v>3470</v>
      </c>
      <c r="Q1237" s="7" t="s">
        <v>3471</v>
      </c>
      <c r="R1237" t="s">
        <v>3631</v>
      </c>
    </row>
    <row r="1238" spans="1:18" x14ac:dyDescent="0.3">
      <c r="A1238" s="7" t="str">
        <f>HYPERLINK("https://hsdes.intel.com/resource/22011834386","22011834386")</f>
        <v>22011834386</v>
      </c>
      <c r="B1238" s="7" t="s">
        <v>3472</v>
      </c>
      <c r="C1238" s="7" t="s">
        <v>7</v>
      </c>
      <c r="D1238" s="7" t="s">
        <v>3613</v>
      </c>
      <c r="E1238" s="7" t="s">
        <v>3617</v>
      </c>
      <c r="F1238" s="8" t="s">
        <v>3628</v>
      </c>
      <c r="H1238" s="7" t="s">
        <v>3619</v>
      </c>
      <c r="I1238" s="7" t="s">
        <v>3622</v>
      </c>
      <c r="L1238" s="7" t="s">
        <v>8</v>
      </c>
      <c r="M1238" s="7" t="s">
        <v>9</v>
      </c>
      <c r="N1238" s="7" t="s">
        <v>10</v>
      </c>
      <c r="O1238" s="7" t="s">
        <v>3465</v>
      </c>
      <c r="P1238" s="7" t="s">
        <v>3473</v>
      </c>
      <c r="Q1238" s="7" t="s">
        <v>3474</v>
      </c>
      <c r="R1238" t="s">
        <v>3631</v>
      </c>
    </row>
    <row r="1239" spans="1:18" x14ac:dyDescent="0.3">
      <c r="A1239" s="7" t="str">
        <f>HYPERLINK("https://hsdes.intel.com/resource/22011834390","22011834390")</f>
        <v>22011834390</v>
      </c>
      <c r="B1239" s="7" t="s">
        <v>3475</v>
      </c>
      <c r="C1239" s="7" t="s">
        <v>7</v>
      </c>
      <c r="D1239" s="7" t="s">
        <v>3613</v>
      </c>
      <c r="E1239" s="7" t="s">
        <v>3617</v>
      </c>
      <c r="F1239" s="8" t="s">
        <v>3628</v>
      </c>
      <c r="H1239" s="7" t="s">
        <v>3619</v>
      </c>
      <c r="I1239" s="7" t="s">
        <v>3622</v>
      </c>
      <c r="L1239" s="7" t="s">
        <v>8</v>
      </c>
      <c r="M1239" s="7" t="s">
        <v>9</v>
      </c>
      <c r="N1239" s="7" t="s">
        <v>10</v>
      </c>
      <c r="O1239" s="7" t="s">
        <v>3465</v>
      </c>
      <c r="P1239" s="7" t="s">
        <v>1100</v>
      </c>
      <c r="Q1239" s="7" t="s">
        <v>3476</v>
      </c>
      <c r="R1239" t="s">
        <v>3631</v>
      </c>
    </row>
    <row r="1240" spans="1:18" ht="57.6" x14ac:dyDescent="0.3">
      <c r="A1240" s="7" t="str">
        <f>HYPERLINK("https://hsdes.intel.com/resource/22011834418","22011834418")</f>
        <v>22011834418</v>
      </c>
      <c r="B1240" s="7" t="s">
        <v>3477</v>
      </c>
      <c r="C1240" s="7" t="s">
        <v>7</v>
      </c>
      <c r="D1240" s="7" t="s">
        <v>3613</v>
      </c>
      <c r="E1240" s="7" t="s">
        <v>3617</v>
      </c>
      <c r="F1240" s="8" t="s">
        <v>3628</v>
      </c>
      <c r="H1240" s="7" t="s">
        <v>3618</v>
      </c>
      <c r="J1240" s="11" t="s">
        <v>3577</v>
      </c>
      <c r="L1240" s="7" t="s">
        <v>8</v>
      </c>
      <c r="M1240" s="7" t="s">
        <v>9</v>
      </c>
      <c r="N1240" s="7" t="s">
        <v>10</v>
      </c>
      <c r="O1240" s="7" t="s">
        <v>3478</v>
      </c>
      <c r="P1240" s="7" t="s">
        <v>1405</v>
      </c>
      <c r="Q1240" s="7" t="s">
        <v>3479</v>
      </c>
      <c r="R1240" t="s">
        <v>3631</v>
      </c>
    </row>
    <row r="1241" spans="1:18" x14ac:dyDescent="0.3">
      <c r="A1241" s="7" t="str">
        <f>HYPERLINK("https://hsdes.intel.com/resource/22011834422","22011834422")</f>
        <v>22011834422</v>
      </c>
      <c r="B1241" s="7" t="s">
        <v>3480</v>
      </c>
      <c r="C1241" s="7" t="s">
        <v>7</v>
      </c>
      <c r="D1241" s="7" t="s">
        <v>3613</v>
      </c>
      <c r="E1241" s="7" t="s">
        <v>3617</v>
      </c>
      <c r="F1241" s="8" t="s">
        <v>3628</v>
      </c>
      <c r="H1241" s="7" t="s">
        <v>3619</v>
      </c>
      <c r="I1241" s="7" t="s">
        <v>3624</v>
      </c>
      <c r="L1241" s="7" t="s">
        <v>8</v>
      </c>
      <c r="M1241" s="7" t="s">
        <v>9</v>
      </c>
      <c r="N1241" s="7" t="s">
        <v>10</v>
      </c>
      <c r="O1241" s="7" t="s">
        <v>3481</v>
      </c>
      <c r="P1241" s="7" t="s">
        <v>323</v>
      </c>
      <c r="Q1241" s="7" t="s">
        <v>3482</v>
      </c>
      <c r="R1241" t="s">
        <v>3631</v>
      </c>
    </row>
    <row r="1242" spans="1:18" x14ac:dyDescent="0.3">
      <c r="A1242" s="7" t="str">
        <f>HYPERLINK("https://hsdes.intel.com/resource/22011834426","22011834426")</f>
        <v>22011834426</v>
      </c>
      <c r="B1242" s="7" t="s">
        <v>3483</v>
      </c>
      <c r="C1242" s="7" t="s">
        <v>7</v>
      </c>
      <c r="D1242" s="7" t="s">
        <v>3613</v>
      </c>
      <c r="E1242" s="7" t="s">
        <v>3617</v>
      </c>
      <c r="F1242" s="8" t="s">
        <v>3628</v>
      </c>
      <c r="H1242" s="7" t="s">
        <v>3619</v>
      </c>
      <c r="I1242" s="7" t="s">
        <v>3624</v>
      </c>
      <c r="L1242" s="7" t="s">
        <v>8</v>
      </c>
      <c r="M1242" s="7" t="s">
        <v>9</v>
      </c>
      <c r="N1242" s="7" t="s">
        <v>10</v>
      </c>
      <c r="O1242" s="7" t="s">
        <v>3481</v>
      </c>
      <c r="P1242" s="7" t="s">
        <v>323</v>
      </c>
      <c r="Q1242" s="7" t="s">
        <v>3484</v>
      </c>
      <c r="R1242" t="s">
        <v>3632</v>
      </c>
    </row>
    <row r="1243" spans="1:18" x14ac:dyDescent="0.3">
      <c r="A1243" s="7" t="str">
        <f>HYPERLINK("https://hsdes.intel.com/resource/22011834428","22011834428")</f>
        <v>22011834428</v>
      </c>
      <c r="B1243" s="7" t="s">
        <v>3485</v>
      </c>
      <c r="C1243" s="7" t="s">
        <v>7</v>
      </c>
      <c r="D1243" s="7" t="s">
        <v>3613</v>
      </c>
      <c r="E1243" s="7" t="s">
        <v>3617</v>
      </c>
      <c r="F1243" s="8" t="s">
        <v>3628</v>
      </c>
      <c r="H1243" s="7" t="s">
        <v>3619</v>
      </c>
      <c r="I1243" s="7" t="s">
        <v>3624</v>
      </c>
      <c r="L1243" s="7" t="s">
        <v>8</v>
      </c>
      <c r="M1243" s="7" t="s">
        <v>9</v>
      </c>
      <c r="N1243" s="7" t="s">
        <v>10</v>
      </c>
      <c r="O1243" s="7" t="s">
        <v>3481</v>
      </c>
      <c r="P1243" s="7" t="s">
        <v>323</v>
      </c>
      <c r="Q1243" s="7" t="s">
        <v>3486</v>
      </c>
      <c r="R1243" t="s">
        <v>3632</v>
      </c>
    </row>
    <row r="1244" spans="1:18" x14ac:dyDescent="0.3">
      <c r="A1244" s="7" t="str">
        <f>HYPERLINK("https://hsdes.intel.com/resource/22011834439","22011834439")</f>
        <v>22011834439</v>
      </c>
      <c r="B1244" s="7" t="s">
        <v>3487</v>
      </c>
      <c r="C1244" s="7" t="s">
        <v>63</v>
      </c>
      <c r="D1244" s="7" t="s">
        <v>3612</v>
      </c>
      <c r="E1244" s="7" t="s">
        <v>3617</v>
      </c>
      <c r="F1244" s="8" t="s">
        <v>3628</v>
      </c>
      <c r="H1244" s="7" t="s">
        <v>3619</v>
      </c>
      <c r="I1244" s="7" t="s">
        <v>3622</v>
      </c>
      <c r="L1244" s="7" t="s">
        <v>64</v>
      </c>
      <c r="M1244" s="7" t="s">
        <v>9</v>
      </c>
      <c r="N1244" s="7" t="s">
        <v>56</v>
      </c>
      <c r="O1244" s="7" t="s">
        <v>3488</v>
      </c>
      <c r="P1244" s="7" t="s">
        <v>1653</v>
      </c>
      <c r="Q1244" s="7" t="s">
        <v>3489</v>
      </c>
      <c r="R1244" t="s">
        <v>3632</v>
      </c>
    </row>
    <row r="1245" spans="1:18" x14ac:dyDescent="0.3">
      <c r="A1245" s="7" t="str">
        <f>HYPERLINK("https://hsdes.intel.com/resource/22011834442","22011834442")</f>
        <v>22011834442</v>
      </c>
      <c r="B1245" s="7" t="s">
        <v>3490</v>
      </c>
      <c r="C1245" s="7" t="s">
        <v>63</v>
      </c>
      <c r="D1245" s="7" t="s">
        <v>3612</v>
      </c>
      <c r="E1245" s="7" t="s">
        <v>3617</v>
      </c>
      <c r="F1245" s="8" t="s">
        <v>3628</v>
      </c>
      <c r="H1245" s="7" t="s">
        <v>3619</v>
      </c>
      <c r="I1245" s="7" t="s">
        <v>3622</v>
      </c>
      <c r="L1245" s="7" t="s">
        <v>64</v>
      </c>
      <c r="M1245" s="7" t="s">
        <v>9</v>
      </c>
      <c r="N1245" s="7" t="s">
        <v>56</v>
      </c>
      <c r="O1245" s="7" t="s">
        <v>2433</v>
      </c>
      <c r="P1245" s="7" t="s">
        <v>2433</v>
      </c>
      <c r="Q1245" s="7" t="s">
        <v>3491</v>
      </c>
      <c r="R1245" t="s">
        <v>3633</v>
      </c>
    </row>
    <row r="1246" spans="1:18" x14ac:dyDescent="0.3">
      <c r="A1246" s="7" t="str">
        <f>HYPERLINK("https://hsdes.intel.com/resource/22011834444","22011834444")</f>
        <v>22011834444</v>
      </c>
      <c r="B1246" s="7" t="s">
        <v>3492</v>
      </c>
      <c r="C1246" s="7" t="s">
        <v>63</v>
      </c>
      <c r="D1246" s="7" t="s">
        <v>3612</v>
      </c>
      <c r="E1246" s="7" t="s">
        <v>3617</v>
      </c>
      <c r="F1246" s="8" t="s">
        <v>3628</v>
      </c>
      <c r="H1246" s="7" t="s">
        <v>3619</v>
      </c>
      <c r="I1246" s="7" t="s">
        <v>3622</v>
      </c>
      <c r="L1246" s="7" t="s">
        <v>64</v>
      </c>
      <c r="M1246" s="7" t="s">
        <v>9</v>
      </c>
      <c r="N1246" s="7" t="s">
        <v>56</v>
      </c>
      <c r="O1246" s="7" t="s">
        <v>3488</v>
      </c>
      <c r="P1246" s="7" t="s">
        <v>1653</v>
      </c>
      <c r="Q1246" s="7" t="s">
        <v>3493</v>
      </c>
      <c r="R1246" t="s">
        <v>3633</v>
      </c>
    </row>
    <row r="1247" spans="1:18" x14ac:dyDescent="0.3">
      <c r="A1247" s="7" t="str">
        <f>HYPERLINK("https://hsdes.intel.com/resource/22011834456","22011834456")</f>
        <v>22011834456</v>
      </c>
      <c r="B1247" s="7" t="s">
        <v>3494</v>
      </c>
      <c r="C1247" s="7" t="s">
        <v>7</v>
      </c>
      <c r="D1247" s="7" t="s">
        <v>3613</v>
      </c>
      <c r="E1247" s="7" t="s">
        <v>3617</v>
      </c>
      <c r="F1247" s="8" t="s">
        <v>3628</v>
      </c>
      <c r="H1247" s="7" t="s">
        <v>3619</v>
      </c>
      <c r="I1247" s="7" t="s">
        <v>3622</v>
      </c>
      <c r="L1247" s="7" t="s">
        <v>8</v>
      </c>
      <c r="M1247" s="7" t="s">
        <v>9</v>
      </c>
      <c r="N1247" s="7" t="s">
        <v>10</v>
      </c>
      <c r="O1247" s="7" t="s">
        <v>3478</v>
      </c>
      <c r="P1247" s="7" t="s">
        <v>1100</v>
      </c>
      <c r="Q1247" s="7" t="s">
        <v>3495</v>
      </c>
      <c r="R1247" t="s">
        <v>3633</v>
      </c>
    </row>
    <row r="1248" spans="1:18" x14ac:dyDescent="0.3">
      <c r="A1248" s="7" t="str">
        <f>HYPERLINK("https://hsdes.intel.com/resource/22011834460","22011834460")</f>
        <v>22011834460</v>
      </c>
      <c r="B1248" s="7" t="s">
        <v>3496</v>
      </c>
      <c r="C1248" s="7" t="s">
        <v>7</v>
      </c>
      <c r="D1248" s="7" t="s">
        <v>3613</v>
      </c>
      <c r="E1248" s="7" t="s">
        <v>3617</v>
      </c>
      <c r="F1248" s="8" t="s">
        <v>3628</v>
      </c>
      <c r="H1248" s="7" t="s">
        <v>3619</v>
      </c>
      <c r="I1248" s="7" t="s">
        <v>3622</v>
      </c>
      <c r="L1248" s="7" t="s">
        <v>8</v>
      </c>
      <c r="M1248" s="7" t="s">
        <v>9</v>
      </c>
      <c r="N1248" s="7" t="s">
        <v>10</v>
      </c>
      <c r="O1248" s="7" t="s">
        <v>3478</v>
      </c>
      <c r="P1248" s="7" t="s">
        <v>1100</v>
      </c>
      <c r="Q1248" s="7" t="s">
        <v>3497</v>
      </c>
      <c r="R1248" t="s">
        <v>3632</v>
      </c>
    </row>
    <row r="1249" spans="1:18" x14ac:dyDescent="0.3">
      <c r="A1249" s="7" t="str">
        <f>HYPERLINK("https://hsdes.intel.com/resource/22011834465","22011834465")</f>
        <v>22011834465</v>
      </c>
      <c r="B1249" s="7" t="s">
        <v>3498</v>
      </c>
      <c r="C1249" s="7" t="s">
        <v>7</v>
      </c>
      <c r="D1249" s="7" t="s">
        <v>3613</v>
      </c>
      <c r="E1249" s="7" t="s">
        <v>3617</v>
      </c>
      <c r="F1249" s="8" t="s">
        <v>3628</v>
      </c>
      <c r="H1249" s="7" t="s">
        <v>3619</v>
      </c>
      <c r="I1249" s="7" t="s">
        <v>3622</v>
      </c>
      <c r="L1249" s="7" t="s">
        <v>8</v>
      </c>
      <c r="M1249" s="7" t="s">
        <v>9</v>
      </c>
      <c r="N1249" s="7" t="s">
        <v>10</v>
      </c>
      <c r="O1249" s="7" t="s">
        <v>3478</v>
      </c>
      <c r="P1249" s="7" t="s">
        <v>1100</v>
      </c>
      <c r="Q1249" s="7" t="s">
        <v>3499</v>
      </c>
      <c r="R1249" t="s">
        <v>3632</v>
      </c>
    </row>
    <row r="1250" spans="1:18" x14ac:dyDescent="0.3">
      <c r="A1250" s="7" t="str">
        <f>HYPERLINK("https://hsdes.intel.com/resource/22011834481","22011834481")</f>
        <v>22011834481</v>
      </c>
      <c r="B1250" s="7" t="s">
        <v>3368</v>
      </c>
      <c r="C1250" s="7" t="s">
        <v>133</v>
      </c>
      <c r="D1250" s="7" t="s">
        <v>3612</v>
      </c>
      <c r="E1250" s="7" t="s">
        <v>3617</v>
      </c>
      <c r="F1250" s="8" t="s">
        <v>3628</v>
      </c>
      <c r="H1250" s="7" t="s">
        <v>3620</v>
      </c>
      <c r="I1250" s="7" t="s">
        <v>3640</v>
      </c>
      <c r="L1250" s="7" t="s">
        <v>24</v>
      </c>
      <c r="M1250" s="7" t="s">
        <v>9</v>
      </c>
      <c r="N1250" s="7" t="s">
        <v>39</v>
      </c>
      <c r="O1250" s="7" t="s">
        <v>3500</v>
      </c>
      <c r="P1250" s="7" t="s">
        <v>48</v>
      </c>
      <c r="Q1250" s="7" t="s">
        <v>3501</v>
      </c>
      <c r="R1250" t="s">
        <v>3632</v>
      </c>
    </row>
    <row r="1251" spans="1:18" x14ac:dyDescent="0.3">
      <c r="A1251" s="7" t="str">
        <f>HYPERLINK("https://hsdes.intel.com/resource/22011834488","22011834488")</f>
        <v>22011834488</v>
      </c>
      <c r="B1251" s="7" t="s">
        <v>3502</v>
      </c>
      <c r="C1251" s="7" t="s">
        <v>133</v>
      </c>
      <c r="D1251" s="7" t="s">
        <v>3612</v>
      </c>
      <c r="E1251" s="7" t="s">
        <v>3617</v>
      </c>
      <c r="F1251" s="8" t="s">
        <v>3628</v>
      </c>
      <c r="H1251" s="7" t="s">
        <v>3620</v>
      </c>
      <c r="I1251" s="7" t="s">
        <v>3640</v>
      </c>
      <c r="L1251" s="7" t="s">
        <v>24</v>
      </c>
      <c r="M1251" s="7" t="s">
        <v>9</v>
      </c>
      <c r="N1251" s="7" t="s">
        <v>39</v>
      </c>
      <c r="O1251" s="7" t="s">
        <v>3500</v>
      </c>
      <c r="P1251" s="7" t="s">
        <v>48</v>
      </c>
      <c r="Q1251" s="7" t="s">
        <v>3503</v>
      </c>
      <c r="R1251" t="s">
        <v>3632</v>
      </c>
    </row>
    <row r="1252" spans="1:18" x14ac:dyDescent="0.3">
      <c r="A1252" s="7" t="str">
        <f>HYPERLINK("https://hsdes.intel.com/resource/22011834502","22011834502")</f>
        <v>22011834502</v>
      </c>
      <c r="B1252" s="7" t="s">
        <v>3504</v>
      </c>
      <c r="C1252" s="7" t="s">
        <v>133</v>
      </c>
      <c r="D1252" s="7" t="s">
        <v>3612</v>
      </c>
      <c r="E1252" s="7" t="s">
        <v>3617</v>
      </c>
      <c r="F1252" s="8" t="s">
        <v>3628</v>
      </c>
      <c r="H1252" s="7" t="s">
        <v>3620</v>
      </c>
      <c r="I1252" s="7" t="s">
        <v>3643</v>
      </c>
      <c r="L1252" s="7" t="s">
        <v>24</v>
      </c>
      <c r="M1252" s="7" t="s">
        <v>9</v>
      </c>
      <c r="N1252" s="7" t="s">
        <v>39</v>
      </c>
      <c r="O1252" s="7" t="s">
        <v>3500</v>
      </c>
      <c r="P1252" s="7" t="s">
        <v>3500</v>
      </c>
      <c r="Q1252" s="7" t="s">
        <v>3505</v>
      </c>
      <c r="R1252" t="s">
        <v>3633</v>
      </c>
    </row>
    <row r="1253" spans="1:18" x14ac:dyDescent="0.3">
      <c r="A1253" s="7" t="str">
        <f>HYPERLINK("https://hsdes.intel.com/resource/22011834525","22011834525")</f>
        <v>22011834525</v>
      </c>
      <c r="B1253" s="7" t="s">
        <v>3506</v>
      </c>
      <c r="C1253" s="7" t="s">
        <v>55</v>
      </c>
      <c r="D1253" s="7" t="s">
        <v>3612</v>
      </c>
      <c r="E1253" s="7" t="s">
        <v>3617</v>
      </c>
      <c r="F1253" s="8" t="s">
        <v>3628</v>
      </c>
      <c r="H1253" s="7" t="s">
        <v>3620</v>
      </c>
      <c r="I1253" s="7" t="s">
        <v>3622</v>
      </c>
      <c r="L1253" s="7" t="s">
        <v>30</v>
      </c>
      <c r="M1253" s="7" t="s">
        <v>9</v>
      </c>
      <c r="N1253" s="7" t="s">
        <v>39</v>
      </c>
      <c r="O1253" s="7" t="s">
        <v>304</v>
      </c>
      <c r="P1253" s="7" t="s">
        <v>304</v>
      </c>
      <c r="Q1253" s="7" t="s">
        <v>3507</v>
      </c>
      <c r="R1253" t="s">
        <v>3633</v>
      </c>
    </row>
    <row r="1254" spans="1:18" x14ac:dyDescent="0.3">
      <c r="A1254" s="7" t="str">
        <f>HYPERLINK("https://hsdes.intel.com/resource/22011834529","22011834529")</f>
        <v>22011834529</v>
      </c>
      <c r="B1254" s="7" t="s">
        <v>3508</v>
      </c>
      <c r="C1254" s="7" t="s">
        <v>7</v>
      </c>
      <c r="D1254" s="7" t="s">
        <v>3612</v>
      </c>
      <c r="E1254" s="7" t="s">
        <v>3617</v>
      </c>
      <c r="F1254" s="8" t="s">
        <v>3628</v>
      </c>
      <c r="H1254" s="7" t="s">
        <v>3620</v>
      </c>
      <c r="I1254" s="7" t="s">
        <v>3622</v>
      </c>
      <c r="L1254" s="7" t="s">
        <v>8</v>
      </c>
      <c r="M1254" s="7" t="s">
        <v>9</v>
      </c>
      <c r="N1254" s="7" t="s">
        <v>10</v>
      </c>
      <c r="O1254" s="7" t="s">
        <v>3400</v>
      </c>
      <c r="P1254" s="7" t="s">
        <v>694</v>
      </c>
      <c r="Q1254" s="7" t="s">
        <v>3401</v>
      </c>
      <c r="R1254" t="s">
        <v>3633</v>
      </c>
    </row>
    <row r="1255" spans="1:18" x14ac:dyDescent="0.3">
      <c r="A1255" s="7" t="str">
        <f>HYPERLINK("https://hsdes.intel.com/resource/22011834531","22011834531")</f>
        <v>22011834531</v>
      </c>
      <c r="B1255" s="7" t="s">
        <v>3509</v>
      </c>
      <c r="C1255" s="7" t="s">
        <v>7</v>
      </c>
      <c r="D1255" s="7" t="s">
        <v>3612</v>
      </c>
      <c r="E1255" s="7" t="s">
        <v>3617</v>
      </c>
      <c r="F1255" s="8" t="s">
        <v>3628</v>
      </c>
      <c r="H1255" s="7" t="s">
        <v>3619</v>
      </c>
      <c r="I1255" s="7" t="s">
        <v>3622</v>
      </c>
      <c r="L1255" s="7" t="s">
        <v>8</v>
      </c>
      <c r="M1255" s="7" t="s">
        <v>9</v>
      </c>
      <c r="N1255" s="7" t="s">
        <v>10</v>
      </c>
      <c r="O1255" s="7" t="s">
        <v>1096</v>
      </c>
      <c r="P1255" s="7" t="s">
        <v>3510</v>
      </c>
      <c r="Q1255" s="7" t="s">
        <v>3511</v>
      </c>
      <c r="R1255" t="s">
        <v>3632</v>
      </c>
    </row>
    <row r="1256" spans="1:18" x14ac:dyDescent="0.3">
      <c r="A1256" s="7" t="str">
        <f>HYPERLINK("https://hsdes.intel.com/resource/22011834561","22011834561")</f>
        <v>22011834561</v>
      </c>
      <c r="B1256" s="7" t="s">
        <v>3512</v>
      </c>
      <c r="C1256" s="7" t="s">
        <v>7</v>
      </c>
      <c r="D1256" s="7" t="s">
        <v>3613</v>
      </c>
      <c r="E1256" s="7" t="s">
        <v>3617</v>
      </c>
      <c r="F1256" s="8" t="s">
        <v>3628</v>
      </c>
      <c r="H1256" s="7" t="s">
        <v>3618</v>
      </c>
      <c r="J1256" s="6" t="s">
        <v>3532</v>
      </c>
      <c r="L1256" s="7" t="s">
        <v>8</v>
      </c>
      <c r="M1256" s="7" t="s">
        <v>94</v>
      </c>
      <c r="N1256" s="7" t="s">
        <v>10</v>
      </c>
      <c r="O1256" s="7" t="s">
        <v>3513</v>
      </c>
      <c r="P1256" s="7" t="s">
        <v>3448</v>
      </c>
      <c r="Q1256" s="7" t="s">
        <v>3514</v>
      </c>
      <c r="R1256" t="s">
        <v>3633</v>
      </c>
    </row>
    <row r="1257" spans="1:18" x14ac:dyDescent="0.3">
      <c r="A1257" s="7" t="str">
        <f>HYPERLINK("https://hsdes.intel.com/resource/22011834579","22011834579")</f>
        <v>22011834579</v>
      </c>
      <c r="B1257" s="7" t="s">
        <v>3368</v>
      </c>
      <c r="C1257" s="7" t="s">
        <v>7</v>
      </c>
      <c r="D1257" s="7" t="s">
        <v>3613</v>
      </c>
      <c r="E1257" s="7" t="s">
        <v>3617</v>
      </c>
      <c r="F1257" s="8" t="s">
        <v>3628</v>
      </c>
      <c r="H1257" s="7" t="s">
        <v>3619</v>
      </c>
      <c r="I1257" s="7" t="s">
        <v>3622</v>
      </c>
      <c r="L1257" s="7" t="s">
        <v>8</v>
      </c>
      <c r="M1257" s="7" t="s">
        <v>9</v>
      </c>
      <c r="N1257" s="7" t="s">
        <v>10</v>
      </c>
      <c r="O1257" s="7" t="s">
        <v>1731</v>
      </c>
      <c r="P1257" s="7" t="s">
        <v>694</v>
      </c>
      <c r="Q1257" s="7" t="s">
        <v>3515</v>
      </c>
      <c r="R1257" t="s">
        <v>3633</v>
      </c>
    </row>
    <row r="1258" spans="1:18" x14ac:dyDescent="0.3">
      <c r="A1258" s="7" t="str">
        <f>HYPERLINK("https://hsdes.intel.com/resource/22011834584","22011834584")</f>
        <v>22011834584</v>
      </c>
      <c r="B1258" s="7" t="s">
        <v>3516</v>
      </c>
      <c r="C1258" s="7" t="s">
        <v>7</v>
      </c>
      <c r="D1258" s="7" t="s">
        <v>3613</v>
      </c>
      <c r="E1258" s="7" t="s">
        <v>3617</v>
      </c>
      <c r="F1258" s="8" t="s">
        <v>3628</v>
      </c>
      <c r="H1258" s="7" t="s">
        <v>3618</v>
      </c>
      <c r="J1258" s="7" t="s">
        <v>3532</v>
      </c>
      <c r="L1258" s="7" t="s">
        <v>8</v>
      </c>
      <c r="M1258" s="7" t="s">
        <v>94</v>
      </c>
      <c r="N1258" s="7" t="s">
        <v>10</v>
      </c>
      <c r="O1258" s="7" t="s">
        <v>3513</v>
      </c>
      <c r="P1258" s="7" t="s">
        <v>3517</v>
      </c>
      <c r="Q1258" s="7" t="s">
        <v>3518</v>
      </c>
      <c r="R1258" t="s">
        <v>3633</v>
      </c>
    </row>
    <row r="1259" spans="1:18" x14ac:dyDescent="0.3">
      <c r="A1259" s="7" t="str">
        <f>HYPERLINK("https://hsdes.intel.com/resource/22011834594","22011834594")</f>
        <v>22011834594</v>
      </c>
      <c r="B1259" s="7" t="s">
        <v>3519</v>
      </c>
      <c r="C1259" s="7" t="s">
        <v>7</v>
      </c>
      <c r="D1259" s="7" t="s">
        <v>3613</v>
      </c>
      <c r="E1259" s="7" t="s">
        <v>3617</v>
      </c>
      <c r="F1259" s="8" t="s">
        <v>3628</v>
      </c>
      <c r="H1259" s="7" t="s">
        <v>3618</v>
      </c>
      <c r="J1259" s="7" t="s">
        <v>3532</v>
      </c>
      <c r="L1259" s="7" t="s">
        <v>8</v>
      </c>
      <c r="M1259" s="7" t="s">
        <v>94</v>
      </c>
      <c r="N1259" s="7" t="s">
        <v>10</v>
      </c>
      <c r="O1259" s="7" t="s">
        <v>3513</v>
      </c>
      <c r="P1259" s="7" t="s">
        <v>3517</v>
      </c>
      <c r="Q1259" s="7" t="s">
        <v>3520</v>
      </c>
    </row>
    <row r="1260" spans="1:18" x14ac:dyDescent="0.3">
      <c r="A1260" s="7" t="str">
        <f>HYPERLINK("https://hsdes.intel.com/resource/22011834598","22011834598")</f>
        <v>22011834598</v>
      </c>
      <c r="B1260" s="7" t="s">
        <v>3521</v>
      </c>
      <c r="C1260" s="7" t="s">
        <v>7</v>
      </c>
      <c r="D1260" s="7" t="s">
        <v>3613</v>
      </c>
      <c r="E1260" s="7" t="s">
        <v>3617</v>
      </c>
      <c r="F1260" s="8" t="s">
        <v>3628</v>
      </c>
      <c r="H1260" s="7" t="s">
        <v>3618</v>
      </c>
      <c r="J1260" s="7" t="s">
        <v>3532</v>
      </c>
      <c r="L1260" s="7" t="s">
        <v>8</v>
      </c>
      <c r="M1260" s="7" t="s">
        <v>94</v>
      </c>
      <c r="N1260" s="7" t="s">
        <v>10</v>
      </c>
      <c r="O1260" s="7" t="s">
        <v>3513</v>
      </c>
      <c r="P1260" s="7" t="s">
        <v>3517</v>
      </c>
      <c r="Q1260" s="7" t="s">
        <v>3522</v>
      </c>
    </row>
    <row r="1261" spans="1:18" x14ac:dyDescent="0.3">
      <c r="F1261" s="8"/>
    </row>
    <row r="1262" spans="1:18" x14ac:dyDescent="0.3">
      <c r="A1262" s="6"/>
      <c r="F1262" s="8"/>
    </row>
    <row r="1263" spans="1:18" x14ac:dyDescent="0.3">
      <c r="A1263" s="6"/>
      <c r="F1263" s="8"/>
    </row>
    <row r="1264" spans="1:18" x14ac:dyDescent="0.3">
      <c r="A1264" s="6"/>
      <c r="F1264" s="8"/>
    </row>
    <row r="1265" spans="1:7" x14ac:dyDescent="0.3">
      <c r="A1265" s="6"/>
      <c r="B1265" s="24" t="s">
        <v>3651</v>
      </c>
      <c r="F1265" s="8"/>
    </row>
    <row r="1266" spans="1:7" x14ac:dyDescent="0.3">
      <c r="A1266" s="6"/>
      <c r="F1266" s="8"/>
    </row>
    <row r="1267" spans="1:7" x14ac:dyDescent="0.3">
      <c r="A1267" s="6"/>
      <c r="D1267" s="17"/>
      <c r="E1267" s="17"/>
      <c r="F1267" s="8"/>
      <c r="G1267" s="17"/>
    </row>
    <row r="1268" spans="1:7" x14ac:dyDescent="0.3">
      <c r="A1268" s="6"/>
      <c r="F1268" s="8"/>
    </row>
    <row r="1269" spans="1:7" x14ac:dyDescent="0.3">
      <c r="A1269" s="6"/>
      <c r="F1269" s="8"/>
    </row>
    <row r="1270" spans="1:7" x14ac:dyDescent="0.3">
      <c r="A1270" s="6"/>
      <c r="F1270" s="8"/>
    </row>
    <row r="1271" spans="1:7" x14ac:dyDescent="0.3">
      <c r="A1271" s="6"/>
      <c r="F1271" s="8"/>
    </row>
    <row r="1272" spans="1:7" x14ac:dyDescent="0.3">
      <c r="A1272" s="6"/>
      <c r="F1272" s="8"/>
    </row>
    <row r="1273" spans="1:7" x14ac:dyDescent="0.3">
      <c r="A1273" s="6"/>
      <c r="F1273" s="8"/>
    </row>
    <row r="1274" spans="1:7" x14ac:dyDescent="0.3">
      <c r="A1274" s="6"/>
      <c r="F1274" s="8"/>
    </row>
    <row r="1275" spans="1:7" x14ac:dyDescent="0.3">
      <c r="A1275" s="6"/>
      <c r="F1275" s="8"/>
    </row>
    <row r="1276" spans="1:7" x14ac:dyDescent="0.3">
      <c r="A1276" s="6"/>
      <c r="F1276" s="8"/>
    </row>
    <row r="1277" spans="1:7" x14ac:dyDescent="0.3">
      <c r="A1277" s="6"/>
      <c r="F1277" s="8"/>
    </row>
    <row r="1278" spans="1:7" x14ac:dyDescent="0.3">
      <c r="A1278" s="6"/>
      <c r="F1278" s="8"/>
    </row>
    <row r="1279" spans="1:7" x14ac:dyDescent="0.3">
      <c r="A1279" s="6"/>
      <c r="F1279" s="8"/>
    </row>
    <row r="1280" spans="1:7" x14ac:dyDescent="0.3">
      <c r="A1280" s="6"/>
      <c r="F1280" s="8"/>
    </row>
    <row r="1281" spans="1:6" x14ac:dyDescent="0.3">
      <c r="A1281" s="6"/>
      <c r="F1281" s="8"/>
    </row>
    <row r="1282" spans="1:6" x14ac:dyDescent="0.3">
      <c r="A1282" s="6"/>
      <c r="F1282" s="8"/>
    </row>
    <row r="1283" spans="1:6" x14ac:dyDescent="0.3">
      <c r="A1283" s="6"/>
      <c r="F1283" s="8"/>
    </row>
    <row r="1284" spans="1:6" x14ac:dyDescent="0.3">
      <c r="F1284" s="8"/>
    </row>
    <row r="1285" spans="1:6" x14ac:dyDescent="0.3">
      <c r="F1285" s="8"/>
    </row>
    <row r="1286" spans="1:6" x14ac:dyDescent="0.3">
      <c r="F1286" s="8"/>
    </row>
    <row r="1287" spans="1:6" x14ac:dyDescent="0.3">
      <c r="F1287" s="8"/>
    </row>
    <row r="1288" spans="1:6" x14ac:dyDescent="0.3">
      <c r="F1288" s="8"/>
    </row>
    <row r="1289" spans="1:6" x14ac:dyDescent="0.3">
      <c r="F1289" s="8"/>
    </row>
    <row r="1290" spans="1:6" x14ac:dyDescent="0.3">
      <c r="F1290" s="8"/>
    </row>
    <row r="1291" spans="1:6" x14ac:dyDescent="0.3">
      <c r="F1291" s="8"/>
    </row>
    <row r="1292" spans="1:6" x14ac:dyDescent="0.3">
      <c r="F1292" s="8"/>
    </row>
    <row r="1293" spans="1:6" x14ac:dyDescent="0.3">
      <c r="F1293" s="8"/>
    </row>
    <row r="1294" spans="1:6" x14ac:dyDescent="0.3">
      <c r="F1294" s="8"/>
    </row>
    <row r="1295" spans="1:6" x14ac:dyDescent="0.3">
      <c r="F1295" s="8"/>
    </row>
    <row r="1296" spans="1:6" x14ac:dyDescent="0.3">
      <c r="F1296" s="8"/>
    </row>
    <row r="1297" spans="6:6" x14ac:dyDescent="0.3">
      <c r="F1297" s="8"/>
    </row>
    <row r="1298" spans="6:6" x14ac:dyDescent="0.3">
      <c r="F1298" s="8"/>
    </row>
    <row r="1299" spans="6:6" x14ac:dyDescent="0.3">
      <c r="F1299" s="8"/>
    </row>
    <row r="1300" spans="6:6" x14ac:dyDescent="0.3">
      <c r="F1300" s="8"/>
    </row>
    <row r="1301" spans="6:6" x14ac:dyDescent="0.3">
      <c r="F1301" s="8"/>
    </row>
    <row r="1302" spans="6:6" x14ac:dyDescent="0.3">
      <c r="F1302" s="8"/>
    </row>
    <row r="1303" spans="6:6" x14ac:dyDescent="0.3">
      <c r="F1303" s="8"/>
    </row>
    <row r="1304" spans="6:6" x14ac:dyDescent="0.3">
      <c r="F1304" s="8"/>
    </row>
    <row r="1305" spans="6:6" x14ac:dyDescent="0.3">
      <c r="F1305" s="8"/>
    </row>
    <row r="1306" spans="6:6" x14ac:dyDescent="0.3">
      <c r="F1306" s="8"/>
    </row>
    <row r="1307" spans="6:6" x14ac:dyDescent="0.3">
      <c r="F1307" s="8"/>
    </row>
    <row r="1308" spans="6:6" x14ac:dyDescent="0.3">
      <c r="F1308" s="8"/>
    </row>
    <row r="1309" spans="6:6" x14ac:dyDescent="0.3">
      <c r="F1309" s="8"/>
    </row>
    <row r="1310" spans="6:6" x14ac:dyDescent="0.3">
      <c r="F1310" s="8"/>
    </row>
    <row r="1311" spans="6:6" x14ac:dyDescent="0.3">
      <c r="F1311" s="8"/>
    </row>
    <row r="1312" spans="6:6" x14ac:dyDescent="0.3">
      <c r="F1312" s="8"/>
    </row>
    <row r="1313" spans="6:6" x14ac:dyDescent="0.3">
      <c r="F1313" s="8"/>
    </row>
    <row r="1314" spans="6:6" x14ac:dyDescent="0.3">
      <c r="F1314" s="8"/>
    </row>
    <row r="1315" spans="6:6" x14ac:dyDescent="0.3">
      <c r="F1315" s="8"/>
    </row>
    <row r="1316" spans="6:6" x14ac:dyDescent="0.3">
      <c r="F1316" s="8"/>
    </row>
    <row r="1317" spans="6:6" x14ac:dyDescent="0.3">
      <c r="F1317" s="8"/>
    </row>
    <row r="1318" spans="6:6" x14ac:dyDescent="0.3">
      <c r="F1318" s="8"/>
    </row>
    <row r="1319" spans="6:6" x14ac:dyDescent="0.3">
      <c r="F1319" s="8"/>
    </row>
    <row r="1320" spans="6:6" x14ac:dyDescent="0.3">
      <c r="F1320" s="8"/>
    </row>
    <row r="1321" spans="6:6" x14ac:dyDescent="0.3">
      <c r="F1321" s="8"/>
    </row>
    <row r="1322" spans="6:6" x14ac:dyDescent="0.3">
      <c r="F1322" s="8"/>
    </row>
    <row r="1323" spans="6:6" x14ac:dyDescent="0.3">
      <c r="F1323" s="8"/>
    </row>
    <row r="1324" spans="6:6" x14ac:dyDescent="0.3">
      <c r="F1324" s="8"/>
    </row>
    <row r="1325" spans="6:6" x14ac:dyDescent="0.3">
      <c r="F1325" s="8"/>
    </row>
    <row r="1326" spans="6:6" x14ac:dyDescent="0.3">
      <c r="F1326" s="8"/>
    </row>
    <row r="1327" spans="6:6" x14ac:dyDescent="0.3">
      <c r="F1327" s="8"/>
    </row>
    <row r="1328" spans="6:6" x14ac:dyDescent="0.3">
      <c r="F1328" s="8"/>
    </row>
    <row r="1329" spans="6:6" x14ac:dyDescent="0.3">
      <c r="F1329" s="8"/>
    </row>
    <row r="1330" spans="6:6" x14ac:dyDescent="0.3">
      <c r="F1330" s="8"/>
    </row>
    <row r="1331" spans="6:6" x14ac:dyDescent="0.3">
      <c r="F1331" s="8"/>
    </row>
    <row r="1332" spans="6:6" x14ac:dyDescent="0.3">
      <c r="F1332" s="8"/>
    </row>
    <row r="1333" spans="6:6" x14ac:dyDescent="0.3">
      <c r="F1333" s="8"/>
    </row>
    <row r="1334" spans="6:6" x14ac:dyDescent="0.3">
      <c r="F1334" s="8"/>
    </row>
    <row r="1335" spans="6:6" x14ac:dyDescent="0.3">
      <c r="F1335" s="8"/>
    </row>
    <row r="1336" spans="6:6" x14ac:dyDescent="0.3">
      <c r="F1336" s="8"/>
    </row>
    <row r="1337" spans="6:6" x14ac:dyDescent="0.3">
      <c r="F1337" s="8"/>
    </row>
    <row r="1338" spans="6:6" x14ac:dyDescent="0.3">
      <c r="F1338" s="8"/>
    </row>
    <row r="1339" spans="6:6" x14ac:dyDescent="0.3">
      <c r="F1339" s="8"/>
    </row>
    <row r="1340" spans="6:6" x14ac:dyDescent="0.3">
      <c r="F1340" s="8"/>
    </row>
    <row r="1341" spans="6:6" x14ac:dyDescent="0.3">
      <c r="F1341" s="8"/>
    </row>
    <row r="1342" spans="6:6" x14ac:dyDescent="0.3">
      <c r="F1342" s="8"/>
    </row>
    <row r="1343" spans="6:6" x14ac:dyDescent="0.3">
      <c r="F1343" s="8"/>
    </row>
    <row r="1344" spans="6:6" x14ac:dyDescent="0.3">
      <c r="F1344" s="8"/>
    </row>
    <row r="1345" spans="6:6" x14ac:dyDescent="0.3">
      <c r="F1345" s="8"/>
    </row>
    <row r="1346" spans="6:6" x14ac:dyDescent="0.3">
      <c r="F1346" s="8"/>
    </row>
    <row r="1347" spans="6:6" x14ac:dyDescent="0.3">
      <c r="F1347" s="8"/>
    </row>
    <row r="1348" spans="6:6" x14ac:dyDescent="0.3">
      <c r="F1348" s="8"/>
    </row>
    <row r="1349" spans="6:6" x14ac:dyDescent="0.3">
      <c r="F1349" s="8"/>
    </row>
    <row r="1350" spans="6:6" x14ac:dyDescent="0.3">
      <c r="F1350" s="8"/>
    </row>
    <row r="1351" spans="6:6" x14ac:dyDescent="0.3">
      <c r="F1351" s="8"/>
    </row>
    <row r="1352" spans="6:6" x14ac:dyDescent="0.3">
      <c r="F1352" s="8"/>
    </row>
    <row r="1353" spans="6:6" x14ac:dyDescent="0.3">
      <c r="F1353" s="8"/>
    </row>
    <row r="1354" spans="6:6" x14ac:dyDescent="0.3">
      <c r="F1354" s="8"/>
    </row>
    <row r="1355" spans="6:6" x14ac:dyDescent="0.3">
      <c r="F1355" s="8"/>
    </row>
  </sheetData>
  <autoFilter ref="A1:S1260" xr:uid="{00000000-0001-0000-0000-000000000000}"/>
  <customSheetViews>
    <customSheetView guid="{12E06A24-31C0-45B4-BE44-ACA2967A410C}" scale="90" showAutoFilter="1">
      <selection activeCell="B1" sqref="B1"/>
      <pageMargins left="0.7" right="0.7" top="0.75" bottom="0.75" header="0.3" footer="0.3"/>
      <pageSetup orientation="portrait" r:id="rId1"/>
      <autoFilter ref="A1:S1260" xr:uid="{00000000-0001-0000-0000-000000000000}"/>
    </customSheetView>
    <customSheetView guid="{10A43176-B8A1-4E8A-9D35-52F5BF7CA652}" scale="90" filter="1" showAutoFilter="1">
      <selection activeCell="I1" sqref="I1"/>
      <pageMargins left="0.7" right="0.7" top="0.75" bottom="0.75" header="0.3" footer="0.3"/>
      <pageSetup orientation="portrait" r:id="rId2"/>
      <autoFilter ref="A1:U1260" xr:uid="{827270A8-1B4B-420E-8EE6-1032EFB63954}">
        <filterColumn colId="8">
          <filters>
            <filter val="passed"/>
          </filters>
        </filterColumn>
      </autoFilter>
    </customSheetView>
    <customSheetView guid="{1E461884-96AF-47A5-B94E-4763D9E86FBD}" scale="90" filter="1" showAutoFilter="1" topLeftCell="C1">
      <selection activeCell="J1263" sqref="J1263"/>
      <pageMargins left="0.7" right="0.7" top="0.75" bottom="0.75" header="0.3" footer="0.3"/>
      <autoFilter ref="A1:T1260" xr:uid="{1CCE133B-DD61-4121-B555-C879492A86C9}">
        <filterColumn colId="8">
          <filters blank="1"/>
        </filterColumn>
        <filterColumn colId="9">
          <filters>
            <filter val="Muthu"/>
          </filters>
        </filterColumn>
        <filterColumn colId="10">
          <filters blank="1">
            <filter val="Mail Chain Going on"/>
            <filter val="rstvmdconfig.efi used to create raid"/>
            <filter val="Verified with CO"/>
            <filter val="Verified with POR Modules"/>
          </filters>
        </filterColumn>
      </autoFilter>
    </customSheetView>
    <customSheetView guid="{18C6CE4B-A0DF-4D98-A8D2-4DC5297DC0FC}" scale="80" filter="1" showAutoFilter="1" topLeftCell="D1">
      <selection activeCell="L1263" sqref="L1263"/>
      <pageMargins left="0.7" right="0.7" top="0.75" bottom="0.75" header="0.3" footer="0.3"/>
      <pageSetup orientation="portrait" r:id="rId3"/>
      <autoFilter ref="A1:U1260" xr:uid="{CEA9C1E6-A7D3-4BC9-B646-E9515F6B8A23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3DF088A0-8080-4156-AD88-BE022489CC14}" filter="1" showAutoFilter="1" topLeftCell="D1193">
      <selection activeCell="K1198" sqref="K1198"/>
      <pageMargins left="0.7" right="0.7" top="0.75" bottom="0.75" header="0.3" footer="0.3"/>
      <pageSetup orientation="portrait" r:id="rId4"/>
      <autoFilter ref="A1:T1260" xr:uid="{B7E304D4-C45A-4203-A9D7-445F7B458064}">
        <filterColumn colId="9">
          <filters>
            <filter val="Jijina"/>
          </filters>
        </filterColumn>
      </autoFilter>
    </customSheetView>
    <customSheetView guid="{0CD22EB4-C62F-4E58-9F20-330A13F59893}" scale="90" filter="1" showAutoFilter="1">
      <selection activeCell="I639" sqref="I639"/>
      <pageMargins left="0.7" right="0.7" top="0.75" bottom="0.75" header="0.3" footer="0.3"/>
      <pageSetup orientation="portrait" r:id="rId5"/>
      <autoFilter ref="A1:T1260" xr:uid="{B9E0FD34-65A0-4180-91C8-CBA22623FDFD}">
        <filterColumn colId="8">
          <filters blank="1"/>
        </filterColumn>
        <filterColumn colId="9">
          <filters>
            <filter val="Muthu"/>
          </filters>
        </filterColumn>
      </autoFilter>
    </customSheetView>
    <customSheetView guid="{B8991CC6-F24B-49A4-87A6-A4EA9C3E1FD6}" filter="1" showAutoFilter="1" topLeftCell="C1">
      <selection activeCell="K937" sqref="K937"/>
      <pageMargins left="0.7" right="0.7" top="0.75" bottom="0.75" header="0.3" footer="0.3"/>
      <pageSetup orientation="portrait" r:id="rId6"/>
      <autoFilter ref="A1:T1260" xr:uid="{BC8B2A14-D6A7-4C14-8BBF-82CE5CBECECC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9E742896-B575-42B7-9B94-231CA938AB7F}" scale="96" hiddenColumns="1" topLeftCell="P1">
      <selection activeCell="S1" sqref="S1:S1048576"/>
      <pageMargins left="0.7" right="0.7" top="0.75" bottom="0.75" header="0.3" footer="0.3"/>
      <pageSetup orientation="portrait" r:id="rId7"/>
    </customSheetView>
    <customSheetView guid="{78E17DFD-4A3B-45E1-8B12-71842AE34372}" scale="90" filter="1" showAutoFilter="1">
      <selection activeCell="I1264" sqref="I1264"/>
      <pageMargins left="0.7" right="0.7" top="0.75" bottom="0.75" header="0.3" footer="0.3"/>
      <pageSetup orientation="portrait" r:id="rId8"/>
      <autoFilter ref="A1:R1260" xr:uid="{C88F83DB-FA5C-4117-8959-31967EF0942C}">
        <filterColumn colId="8">
          <filters>
            <filter val="Not_Run"/>
          </filters>
        </filterColumn>
        <filterColumn colId="9">
          <filters blank="1">
            <filter val="Abhishek"/>
            <filter val="Arya"/>
            <filter val="Jijina"/>
            <filter val="Manas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2CF42EE3-9A91-4853-91C6-33BD9C9B99D3}" scale="90" filter="1" showAutoFilter="1">
      <selection activeCell="K114" sqref="K114"/>
      <pageMargins left="0.7" right="0.7" top="0.75" bottom="0.75" header="0.3" footer="0.3"/>
      <pageSetup orientation="portrait" r:id="rId9"/>
      <autoFilter ref="A1:R1260" xr:uid="{8AEDFCBC-80F7-4436-A31C-E67EAB1E984A}">
        <filterColumn colId="8">
          <filters>
            <filter val="Not_Run"/>
          </filters>
        </filterColumn>
        <filterColumn colId="9">
          <filters blank="1">
            <filter val="Abhishek"/>
            <filter val="Jijina"/>
            <filter val="Reshma"/>
            <filter val="Shwetha"/>
            <filter val="Vijay"/>
            <filter val="Yamini"/>
          </filters>
        </filterColumn>
      </autoFilter>
    </customSheetView>
    <customSheetView guid="{56675754-0C61-42A3-B6BF-D947B91392BC}" scale="89" filter="1" showAutoFilter="1">
      <selection activeCell="I191" sqref="I191"/>
      <pageMargins left="0.7" right="0.7" top="0.75" bottom="0.75" header="0.3" footer="0.3"/>
      <autoFilter ref="A1:R1260" xr:uid="{2C8F4853-928A-4F3E-899E-452D24A19A07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F584DB57-8197-4846-ACEB-90337E503675}" scale="90" filter="1" showAutoFilter="1" topLeftCell="B1">
      <selection activeCell="B703" sqref="B703"/>
      <pageMargins left="0.7" right="0.7" top="0.75" bottom="0.75" header="0.3" footer="0.3"/>
      <autoFilter ref="A1:N1260" xr:uid="{807254B6-E0C6-4679-A58B-26C8F5F4A356}">
        <filterColumn colId="4">
          <filters blank="1"/>
        </filterColumn>
        <filterColumn colId="5">
          <filters>
            <filter val="Manasa"/>
          </filters>
        </filterColumn>
      </autoFilter>
    </customSheetView>
    <customSheetView guid="{A92F17E3-32E9-4490-803D-56FBAA81BF08}" scale="89" filter="1" showAutoFilter="1">
      <selection activeCell="E1276" sqref="E1276"/>
      <pageMargins left="0.7" right="0.7" top="0.75" bottom="0.75" header="0.3" footer="0.3"/>
      <autoFilter ref="A1:N1260" xr:uid="{50B64086-2698-4ED6-9033-62059AEFBA41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06676557-EFA1-4EBC-9D91-81EABF4CEF84}" scale="101" filter="1" showAutoFilter="1">
      <selection activeCell="C1269" sqref="C1269"/>
      <pageMargins left="0.7" right="0.7" top="0.75" bottom="0.75" header="0.3" footer="0.3"/>
      <autoFilter ref="A1:R1260" xr:uid="{D80F781A-256D-420E-8754-F2BEDAE4F95F}">
        <filterColumn colId="8">
          <filters>
            <filter val="Not_Run"/>
          </filters>
        </filterColumn>
        <filterColumn colId="9">
          <filters>
            <filter val="Abhishek"/>
          </filters>
        </filterColumn>
      </autoFilter>
    </customSheetView>
    <customSheetView guid="{E8F7E342-5BF8-49DC-90AB-7BD1918BA570}" scale="89" filter="1" showAutoFilter="1">
      <selection activeCell="I855" sqref="I855"/>
      <pageMargins left="0.7" right="0.7" top="0.75" bottom="0.75" header="0.3" footer="0.3"/>
      <autoFilter ref="A1:R1260" xr:uid="{57F5CCF3-E078-4FA0-91BF-235995B00C6F}">
        <filterColumn colId="3">
          <filters>
            <filter val="io_pcie"/>
            <filter val="sensor"/>
            <filter val="system"/>
          </filters>
        </filterColumn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41A4016E-026B-4EC8-AEAA-160F2436F09D}" scale="95" filter="1" showAutoFilter="1" topLeftCell="P1">
      <selection activeCell="W960" sqref="W960"/>
      <pageMargins left="0.7" right="0.7" top="0.75" bottom="0.75" header="0.3" footer="0.3"/>
      <pageSetup orientation="portrait" r:id="rId10"/>
      <autoFilter ref="A1:T1260" xr:uid="{8D64CE4A-9501-4BBD-A9B5-F73A0C936128}">
        <filterColumn colId="8">
          <customFilters>
            <customFilter operator="notEqual" val=" "/>
          </customFilters>
        </filterColumn>
        <filterColumn colId="9">
          <filters>
            <filter val="Divya"/>
          </filters>
        </filterColumn>
      </autoFilter>
    </customSheetView>
    <customSheetView guid="{60C3B00F-2A82-45DE-A20E-354C67AFB92A}" filter="1" showAutoFilter="1" topLeftCell="G1">
      <selection activeCell="I800" sqref="I800"/>
      <pageMargins left="0.7" right="0.7" top="0.75" bottom="0.75" header="0.3" footer="0.3"/>
      <pageSetup orientation="portrait" r:id="rId11"/>
      <autoFilter ref="A1:T1260" xr:uid="{0B25DE25-D9EB-4DA5-953D-EF69045F7612}">
        <filterColumn colId="8">
          <filters>
            <filter val="there is no component available with us"/>
          </filters>
        </filterColumn>
        <filterColumn colId="9">
          <filters>
            <filter val="Mugundhan"/>
          </filters>
        </filterColumn>
      </autoFilter>
    </customSheetView>
    <customSheetView guid="{E1E530FE-B6F0-4B3E-9319-E69A081F27A7}" scale="70" filter="1" showAutoFilter="1" topLeftCell="P1">
      <selection activeCell="J1" sqref="J1"/>
      <pageMargins left="0.7" right="0.7" top="0.75" bottom="0.75" header="0.3" footer="0.3"/>
      <pageSetup orientation="portrait" r:id="rId12"/>
      <autoFilter ref="A1:U1260" xr:uid="{33EF37B8-1C88-42C1-944E-37316C304AA7}">
        <filterColumn colId="8">
          <filters>
            <filter val="passed"/>
          </filters>
        </filterColumn>
        <filterColumn colId="9">
          <filters>
            <filter val="Gopika"/>
          </filters>
        </filterColumn>
        <filterColumn colId="20">
          <filters>
            <dateGroupItem year="2022" month="9" day="16" dateTimeGrouping="day"/>
          </filters>
        </filterColumn>
      </autoFilter>
    </customSheetView>
    <customSheetView guid="{74FF4387-89EA-4C9F-88E6-BA195EF432A9}" scale="90" filter="1" showAutoFilter="1">
      <selection activeCell="C788" sqref="C788"/>
      <pageMargins left="0.7" right="0.7" top="0.75" bottom="0.75" header="0.3" footer="0.3"/>
      <pageSetup orientation="portrait" r:id="rId13"/>
      <autoFilter ref="A1:T1260" xr:uid="{5E0EA0CF-8A76-4AB2-8371-45B10843A99D}">
        <filterColumn colId="8">
          <filters blank="1"/>
        </filterColumn>
        <filterColumn colId="9">
          <filters>
            <filter val="Muthu"/>
          </filters>
        </filterColumn>
      </autoFilter>
    </customSheetView>
  </customSheetView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2AC5-1D16-4DD8-875C-F67490C461E9}">
  <dimension ref="A1:B10"/>
  <sheetViews>
    <sheetView zoomScale="90"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3595</v>
      </c>
      <c r="B1" s="2"/>
    </row>
    <row r="2" spans="1:2" x14ac:dyDescent="0.3">
      <c r="A2" s="3" t="s">
        <v>3596</v>
      </c>
      <c r="B2" s="4" t="s">
        <v>3597</v>
      </c>
    </row>
    <row r="3" spans="1:2" x14ac:dyDescent="0.3">
      <c r="A3" s="3" t="s">
        <v>3598</v>
      </c>
      <c r="B3" s="4" t="s">
        <v>3599</v>
      </c>
    </row>
    <row r="4" spans="1:2" x14ac:dyDescent="0.3">
      <c r="A4" s="3" t="s">
        <v>3600</v>
      </c>
      <c r="B4" s="5" t="s">
        <v>3655</v>
      </c>
    </row>
    <row r="5" spans="1:2" x14ac:dyDescent="0.3">
      <c r="A5" s="3" t="s">
        <v>3601</v>
      </c>
      <c r="B5" s="5"/>
    </row>
    <row r="6" spans="1:2" ht="15" x14ac:dyDescent="0.35">
      <c r="A6" s="3" t="s">
        <v>3602</v>
      </c>
      <c r="B6" s="1" t="s">
        <v>3629</v>
      </c>
    </row>
    <row r="7" spans="1:2" x14ac:dyDescent="0.3">
      <c r="A7" s="3" t="s">
        <v>3603</v>
      </c>
      <c r="B7" s="4"/>
    </row>
    <row r="8" spans="1:2" x14ac:dyDescent="0.3">
      <c r="A8" s="3" t="s">
        <v>3604</v>
      </c>
      <c r="B8" s="4"/>
    </row>
    <row r="9" spans="1:2" x14ac:dyDescent="0.3">
      <c r="A9" s="3" t="s">
        <v>3605</v>
      </c>
      <c r="B9" s="4"/>
    </row>
    <row r="10" spans="1:2" x14ac:dyDescent="0.3">
      <c r="A10" s="3" t="s">
        <v>3606</v>
      </c>
      <c r="B10" s="4" t="s">
        <v>3607</v>
      </c>
    </row>
  </sheetData>
  <customSheetViews>
    <customSheetView guid="{12E06A24-31C0-45B4-BE44-ACA2967A410C}" scale="90">
      <selection activeCell="B13" sqref="B13"/>
      <pageMargins left="0.7" right="0.7" top="0.75" bottom="0.75" header="0.3" footer="0.3"/>
    </customSheetView>
    <customSheetView guid="{10A43176-B8A1-4E8A-9D35-52F5BF7CA652}" scale="90">
      <selection activeCell="B9" sqref="B9"/>
      <pageMargins left="0.7" right="0.7" top="0.75" bottom="0.75" header="0.3" footer="0.3"/>
    </customSheetView>
    <customSheetView guid="{1E461884-96AF-47A5-B94E-4763D9E86FBD}">
      <selection activeCell="J14" sqref="J14"/>
      <pageMargins left="0.7" right="0.7" top="0.75" bottom="0.75" header="0.3" footer="0.3"/>
    </customSheetView>
    <customSheetView guid="{18C6CE4B-A0DF-4D98-A8D2-4DC5297DC0FC}" scale="90">
      <selection activeCell="B13" sqref="B13"/>
      <pageMargins left="0.7" right="0.7" top="0.75" bottom="0.75" header="0.3" footer="0.3"/>
    </customSheetView>
    <customSheetView guid="{3DF088A0-8080-4156-AD88-BE022489CC14}" scale="90">
      <selection activeCell="B13" sqref="B13"/>
      <pageMargins left="0.7" right="0.7" top="0.75" bottom="0.75" header="0.3" footer="0.3"/>
    </customSheetView>
    <customSheetView guid="{0CD22EB4-C62F-4E58-9F20-330A13F59893}" scale="90">
      <selection activeCell="B13" sqref="B13"/>
      <pageMargins left="0.7" right="0.7" top="0.75" bottom="0.75" header="0.3" footer="0.3"/>
    </customSheetView>
    <customSheetView guid="{B8991CC6-F24B-49A4-87A6-A4EA9C3E1FD6}" scale="90">
      <selection activeCell="B13" sqref="B13"/>
      <pageMargins left="0.7" right="0.7" top="0.75" bottom="0.75" header="0.3" footer="0.3"/>
    </customSheetView>
    <customSheetView guid="{9E742896-B575-42B7-9B94-231CA938AB7F}">
      <selection activeCell="D8" sqref="D8"/>
      <pageMargins left="0.7" right="0.7" top="0.75" bottom="0.75" header="0.3" footer="0.3"/>
    </customSheetView>
    <customSheetView guid="{78E17DFD-4A3B-45E1-8B12-71842AE34372}" scale="90">
      <selection activeCell="B13" sqref="B13"/>
      <pageMargins left="0.7" right="0.7" top="0.75" bottom="0.75" header="0.3" footer="0.3"/>
    </customSheetView>
    <customSheetView guid="{2CF42EE3-9A91-4853-91C6-33BD9C9B99D3}" scale="90">
      <selection activeCell="B13" sqref="B13"/>
      <pageMargins left="0.7" right="0.7" top="0.75" bottom="0.75" header="0.3" footer="0.3"/>
    </customSheetView>
    <customSheetView guid="{56675754-0C61-42A3-B6BF-D947B91392BC}" scale="90">
      <selection activeCell="B13" sqref="B13"/>
      <pageMargins left="0.7" right="0.7" top="0.75" bottom="0.75" header="0.3" footer="0.3"/>
    </customSheetView>
    <customSheetView guid="{06676557-EFA1-4EBC-9D91-81EABF4CEF84}" scale="90">
      <selection activeCell="B13" sqref="B13"/>
      <pageMargins left="0.7" right="0.7" top="0.75" bottom="0.75" header="0.3" footer="0.3"/>
    </customSheetView>
    <customSheetView guid="{E8F7E342-5BF8-49DC-90AB-7BD1918BA570}" scale="90">
      <selection activeCell="B13" sqref="B13"/>
      <pageMargins left="0.7" right="0.7" top="0.75" bottom="0.75" header="0.3" footer="0.3"/>
    </customSheetView>
    <customSheetView guid="{41A4016E-026B-4EC8-AEAA-160F2436F09D}">
      <selection activeCell="D8" sqref="D8"/>
      <pageMargins left="0.7" right="0.7" top="0.75" bottom="0.75" header="0.3" footer="0.3"/>
    </customSheetView>
    <customSheetView guid="{60C3B00F-2A82-45DE-A20E-354C67AFB92A}" scale="90">
      <selection activeCell="B13" sqref="B13"/>
      <pageMargins left="0.7" right="0.7" top="0.75" bottom="0.75" header="0.3" footer="0.3"/>
    </customSheetView>
    <customSheetView guid="{E1E530FE-B6F0-4B3E-9319-E69A081F27A7}">
      <selection activeCell="D8" sqref="D8"/>
      <pageMargins left="0.7" right="0.7" top="0.75" bottom="0.75" header="0.3" footer="0.3"/>
    </customSheetView>
    <customSheetView guid="{74FF4387-89EA-4C9F-88E6-BA195EF432A9}" scale="90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2022-04-07T05:50:00Z</dcterms:created>
  <dcterms:modified xsi:type="dcterms:W3CDTF">2022-12-14T12:54:15Z</dcterms:modified>
</cp:coreProperties>
</file>