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FV\"/>
    </mc:Choice>
  </mc:AlternateContent>
  <xr:revisionPtr revIDLastSave="0" documentId="13_ncr:1_{3E6B6383-30ED-40BF-97B6-96A25E9201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Sheet1!$A$1:$J$727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27" i="1" l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<sst xmlns="http://schemas.openxmlformats.org/spreadsheetml/2006/main" count="5829" uniqueCount="1485">
  <si>
    <t>jama_id</t>
  </si>
  <si>
    <t>Status</t>
  </si>
  <si>
    <t>Actual Results</t>
  </si>
  <si>
    <t>Config</t>
  </si>
  <si>
    <t>automation_status</t>
  </si>
  <si>
    <t>domain</t>
  </si>
  <si>
    <t>jama_platform_feature_and_capability</t>
  </si>
  <si>
    <t>test_complexity</t>
  </si>
  <si>
    <t>Validate Type-C USB2.0 Host Mode (Type-C to A) functionality - after S3, device connected when SUT is in S3 state</t>
  </si>
  <si>
    <t>CSS-IVE-50863</t>
  </si>
  <si>
    <t>GC</t>
  </si>
  <si>
    <t>Automatable</t>
  </si>
  <si>
    <t>io_usb.type_c_subsystem</t>
  </si>
  <si>
    <t>TCSS</t>
  </si>
  <si>
    <t>Medium</t>
  </si>
  <si>
    <t>Verify fast boot functionality and BIOS setup options</t>
  </si>
  <si>
    <t>CSS-IVE-50906</t>
  </si>
  <si>
    <t>power_and_perf</t>
  </si>
  <si>
    <t>Performance and Responsiveness</t>
  </si>
  <si>
    <t>Verify USB 3.0 device functionality over Type-C port after resume from C-MoS when device is plugged in when SUT is in C-MoS</t>
  </si>
  <si>
    <t>CSS-IVE-50918</t>
  </si>
  <si>
    <t>Verify if system boots in Fast Boot mode from Cold Boot with system hardware configuration unchanged</t>
  </si>
  <si>
    <t>CSS-IVE-50972</t>
  </si>
  <si>
    <t>Verify concurrent support of USB2.0/3.0 mass storage and USB keyboard/mouse device functionality check over USB Type-A port across Sx (S3,S4,S5)_x000D_
 cycles</t>
  </si>
  <si>
    <t>CSS-IVE-50978</t>
  </si>
  <si>
    <t>io_usb</t>
  </si>
  <si>
    <t>Internal and External Storage</t>
  </si>
  <si>
    <t>High</t>
  </si>
  <si>
    <t>Verify device manager post sleep cycling with system in AC mode</t>
  </si>
  <si>
    <t>CSS-IVE-50980</t>
  </si>
  <si>
    <t>power_management</t>
  </si>
  <si>
    <t>Power Management</t>
  </si>
  <si>
    <t>Low</t>
  </si>
  <si>
    <t>Validate cold-plug USB keyboard functionality check in OS over USB Type-A port</t>
  </si>
  <si>
    <t>CSS-IVE-51165</t>
  </si>
  <si>
    <t>Verify availability of USB Devices when USB 2.0/3.0 options are disabled at the USB Configuration page (AIO/DT/HALO)</t>
  </si>
  <si>
    <t>CSS-IVE-51213</t>
  </si>
  <si>
    <t>Serial IO configuration options check for default, enable and disable in BIOS</t>
  </si>
  <si>
    <t>CSS-IVE-51374</t>
  </si>
  <si>
    <t>Jama_Not_Evaluated</t>
  </si>
  <si>
    <t>io_general</t>
  </si>
  <si>
    <t>Flex I/O and Internal Buses</t>
  </si>
  <si>
    <t>Verify yellow bang checks on waking system from S5 for in both AC and DC mode</t>
  </si>
  <si>
    <t>CSS-IVE-52481</t>
  </si>
  <si>
    <t>Verify Sx functionality post generating BSOD</t>
  </si>
  <si>
    <t>CSS-IVE-52489</t>
  </si>
  <si>
    <t>Verify Subsystem IDs programmed by BIOS for all the native devices using self test tool</t>
  </si>
  <si>
    <t>CSS-IVE-52541</t>
  </si>
  <si>
    <t>HSD Fail: 16017171844 : [RPL-S B1 Production][NATIVE][UPGRADE][RPL-HX]: Observing multiple errors after running latest selftest tool v139</t>
  </si>
  <si>
    <t>system</t>
  </si>
  <si>
    <t>Display, Graphics, Video and Audio</t>
  </si>
  <si>
    <t>Verify wakeup event using Touch sensor is successful for multiple iterations(Touch Pad)</t>
  </si>
  <si>
    <t>CSS-IVE-52738</t>
  </si>
  <si>
    <t>display</t>
  </si>
  <si>
    <t>Touch &amp; Sensing</t>
  </si>
  <si>
    <t>Verify the functionality of devices after 10 S3/S0i3 and S4 Cycle in AC and DC</t>
  </si>
  <si>
    <t>CSS-IVE-52841</t>
  </si>
  <si>
    <t>Verify video playback post sleep cycling</t>
  </si>
  <si>
    <t>CSS-IVE-53879</t>
  </si>
  <si>
    <t>CSS-IVE-53969</t>
  </si>
  <si>
    <t>audio</t>
  </si>
  <si>
    <t>Verify Analog Microphone functionality when Audio DSP enabled/disabled in BIOS</t>
  </si>
  <si>
    <t>CSS-IVE-53971</t>
  </si>
  <si>
    <t>Verifying ACPI device enumeration for non PCIe devices</t>
  </si>
  <si>
    <t>CSS-IVE-54046</t>
  </si>
  <si>
    <t>io_pcie</t>
  </si>
  <si>
    <t>Verifying functionality of GPIO Pins/INT with Volume Up/Volume Down/Home/ Wireless ON/OFF buttons</t>
  </si>
  <si>
    <t>CSS-IVE-54056</t>
  </si>
  <si>
    <t>io_general.lsio_gpio</t>
  </si>
  <si>
    <t>Verify that MRC training is not repeated after the fast boot and force repeated post cold boot.</t>
  </si>
  <si>
    <t>CSS-IVE-54174</t>
  </si>
  <si>
    <t>memory</t>
  </si>
  <si>
    <t>Validate CPU and Memory are stable during 10 minutes execution of Stability Test App</t>
  </si>
  <si>
    <t>CSS-IVE-54180</t>
  </si>
  <si>
    <t>Memory Technologies and Topologies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</si>
  <si>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</si>
  <si>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</si>
  <si>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</si>
  <si>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</si>
  <si>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</si>
  <si>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</si>
  <si>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</si>
  <si>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</si>
  <si>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</si>
  <si>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</si>
  <si>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debug</t>
  </si>
  <si>
    <t>Debug Interfaces and Traces</t>
  </si>
  <si>
    <t>Verify options provided for PCI Express Configuration in BIOS</t>
  </si>
  <si>
    <t>CSS-IVE-54250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</si>
  <si>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</si>
  <si>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</si>
  <si>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</si>
  <si>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</si>
  <si>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</si>
  <si>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</si>
  <si>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</si>
  <si>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</si>
  <si>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</si>
  <si>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</si>
  <si>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</si>
  <si>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</si>
  <si>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</si>
  <si>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</si>
  <si>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SUT can power up with power button after shut down from OS (S0-S5-S0 transition)</t>
  </si>
  <si>
    <t>CSS-IVE-61819</t>
  </si>
  <si>
    <t>reset</t>
  </si>
  <si>
    <t>Embedded controller and Power sources</t>
  </si>
  <si>
    <t>Verify Storage Redirection session cannot be established through Wireless LAN With Storage Redirection disabled under MEBX in BIOS</t>
  </si>
  <si>
    <t>CSS-IVE-145828</t>
  </si>
  <si>
    <t>manageability</t>
  </si>
  <si>
    <t>Manageability Support</t>
  </si>
  <si>
    <t>[Vpro] BKM for AMT Configuration (MEBx) in BIOS</t>
  </si>
  <si>
    <t>CSS-IVE-145871</t>
  </si>
  <si>
    <t>Verify Provisioning AMT over wireless LAN from BIOS setup options using Static IP and check for KVM connectivity</t>
  </si>
  <si>
    <t>CSS-IVE-145874</t>
  </si>
  <si>
    <t>Verify Provisioning AMT over onboard LAN from BIOS setup options using static IP and check for KVM connectivity</t>
  </si>
  <si>
    <t>CSS-IVE-145875</t>
  </si>
  <si>
    <t>Verify _DSD method for D3 with NVMe connected to M.2 CPU slot  in AHCI mode</t>
  </si>
  <si>
    <t>CSS-IVE-145820</t>
  </si>
  <si>
    <t>storage</t>
  </si>
  <si>
    <t>Verify storage detection over PEG 10 and PEG 11 slots (X8 Slot)</t>
  </si>
  <si>
    <t>CSS-IVE-147120</t>
  </si>
  <si>
    <t>Verify Package C states with USB Devices connected during 8 hours in S0 state.</t>
  </si>
  <si>
    <t>CSS-IVE-147211</t>
  </si>
  <si>
    <t>Not Evaluated</t>
  </si>
  <si>
    <t>Verify BIOS supports Virtual SPI over USB Device</t>
  </si>
  <si>
    <t>CSS-IVE-147236</t>
  </si>
  <si>
    <t>io_general.spi</t>
  </si>
  <si>
    <t>Industry Specs and Open source initiatives</t>
  </si>
  <si>
    <t>Verify ACPI CPPC objects from SSDT and DSDT</t>
  </si>
  <si>
    <t>CSS-IVE-50726</t>
  </si>
  <si>
    <t>Verify participant and policies wont load when DPTF option is disabled in BIOS.</t>
  </si>
  <si>
    <t>CSS-IVE-50805</t>
  </si>
  <si>
    <t>thermal_management</t>
  </si>
  <si>
    <t>Thermal Management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</si>
  <si>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</si>
  <si>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</si>
  <si>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</si>
  <si>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</si>
  <si>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</si>
  <si>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</si>
  <si>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</si>
  <si>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</si>
  <si>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</si>
  <si>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</si>
  <si>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System shutdown when core temperature exceeds Critical trip point with DTS SMM enabled and DPTF Enabled in BIOS after Sx (S4/S5)</t>
  </si>
  <si>
    <t>CSS-IVE-118606</t>
  </si>
  <si>
    <t>Verify Critical/Active/Passive trip point with DTS SMM enabled and DPTF Enabled in BIOS after S3</t>
  </si>
  <si>
    <t>CSS-IVE-118607</t>
  </si>
  <si>
    <t>Validate "Power Limit 2" BIOS options</t>
  </si>
  <si>
    <t>CSS-IVE-64117</t>
  </si>
  <si>
    <t>Validate Intel Speed Step functionality</t>
  </si>
  <si>
    <t>CSS-IVE-44268</t>
  </si>
  <si>
    <t>Verify package C-states support with system in AC mode</t>
  </si>
  <si>
    <t>CSS-IVE-44355</t>
  </si>
  <si>
    <t>Verify user cant override Flex ratio when Flex ratio indication bit is cleared</t>
  </si>
  <si>
    <t>CSS-IVE-65803</t>
  </si>
  <si>
    <t>Set different memory size for processor trace from range between(4KB-128MB)</t>
  </si>
  <si>
    <t>CSS-IVE-65805</t>
  </si>
  <si>
    <t>processor_core</t>
  </si>
  <si>
    <t>Verify C8 residency pre and post  hibernate state with USB 3.0 Mass Storage device connected to system</t>
  </si>
  <si>
    <t>CSS-IVE-65794</t>
  </si>
  <si>
    <t>Verify the CPU reaches its rated turbo speed when all cores are active.</t>
  </si>
  <si>
    <t>CSS-IVE-50712</t>
  </si>
  <si>
    <t>Verify All DPTF participants are loaded in DPTF Monitor</t>
  </si>
  <si>
    <t>CSS-IVE-50814</t>
  </si>
  <si>
    <t>Verify that Package PL2 value is 1.25 times higher than PL1 value</t>
  </si>
  <si>
    <t>CSS-IVE-70925</t>
  </si>
  <si>
    <t>Verify Intel Config TDP feature support</t>
  </si>
  <si>
    <t>CSS-IVE-70943</t>
  </si>
  <si>
    <t>Verify TCC clamp via TEMPERATURE_TARGET MSR</t>
  </si>
  <si>
    <t>CSS-IVE-71017</t>
  </si>
  <si>
    <t>Verify Package Power Limit 1 Time window</t>
  </si>
  <si>
    <t>CSS-IVE-71141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</si>
  <si>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</si>
  <si>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</si>
  <si>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</si>
  <si>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</si>
  <si>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</si>
  <si>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</si>
  <si>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</si>
  <si>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</si>
  <si>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</si>
  <si>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</si>
  <si>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</si>
  <si>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</si>
  <si>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</si>
  <si>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</si>
  <si>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</si>
  <si>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</si>
  <si>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user should be able to read the maximum temperature that the processor can function in OS</t>
  </si>
  <si>
    <t>CSS-IVE-75360</t>
  </si>
  <si>
    <t>Polling Period for Power/Battery participant should be by default in interrupt mode</t>
  </si>
  <si>
    <t>CSS-IVE-98894</t>
  </si>
  <si>
    <t>power_management.battery</t>
  </si>
  <si>
    <t>Verify P-state Cycling when Active processor cores are disabled</t>
  </si>
  <si>
    <t>CSS-IVE-101309</t>
  </si>
  <si>
    <t>Verify CPU support for Intel Turbo Boost Max Technology 3.0</t>
  </si>
  <si>
    <t>CSS-IVE-100080</t>
  </si>
  <si>
    <t>Verify Bios an option to enable/disable "CPU 3-strike counter "in BIOS.</t>
  </si>
  <si>
    <t>CSS-IVE-105537</t>
  </si>
  <si>
    <t>Verify CPU operates at LFM/HFM/TFM based on Power mode set to Power Saver/Balanced/High performance respectively post different power state transitions</t>
  </si>
  <si>
    <t>CSS-IVE-105541</t>
  </si>
  <si>
    <t>Validate DPTF support for PCH FIVR participant</t>
  </si>
  <si>
    <t>CSS-IVE-100086</t>
  </si>
  <si>
    <t>power_management.fivr</t>
  </si>
  <si>
    <t>Verify Intel Turbo Boost Max Technology 3.0 functionality</t>
  </si>
  <si>
    <t>CSS-IVE-100083</t>
  </si>
  <si>
    <t>Verify willowcove CPU core capabilities.</t>
  </si>
  <si>
    <t>CSS-IVE-115313</t>
  </si>
  <si>
    <t>Platform Config and Board BOM</t>
  </si>
  <si>
    <t>Verify platform support "Energy Efficient Turbo" using MSR 1FC [19]</t>
  </si>
  <si>
    <t>CSS-IVE-117779</t>
  </si>
  <si>
    <t>Verify PL3 can be configured irrespective of Intel SpeedStep(tm) status</t>
  </si>
  <si>
    <t>CSS-IVE-117907</t>
  </si>
  <si>
    <t>Verify Bios displays all the fused frequencies of CPU cores ( P0, P1,P2.. Pn)</t>
  </si>
  <si>
    <t>CSS-IVE-115905</t>
  </si>
  <si>
    <t>Verify the platform PL1/PL2 value using TAT</t>
  </si>
  <si>
    <t>CSS-IVE-118233</t>
  </si>
  <si>
    <t>Verify platform"s PL1,PL2 and Tau registers value matches as part of MSR and MMIO post Sx</t>
  </si>
  <si>
    <t>CSS-IVE-118234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</si>
  <si>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</si>
  <si>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</si>
  <si>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</si>
  <si>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</si>
  <si>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</si>
  <si>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</si>
  <si>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BIOS does not program C-State Latency control MSRs</t>
  </si>
  <si>
    <t>CSS-IVE-119285</t>
  </si>
  <si>
    <t>Verify Iccmax gets displayed as part of Setup and it is configured correctly based on form factor</t>
  </si>
  <si>
    <t>CSS-IVE-119488</t>
  </si>
  <si>
    <t>Verify VR voltage limit gets displayed as part of Setup and it is configured correctly based on form factor</t>
  </si>
  <si>
    <t>CSS-IVE-120144</t>
  </si>
  <si>
    <t>Validate GET ACPI methods in PCH ACPI device for DPTF PCH FIVR participant</t>
  </si>
  <si>
    <t>CSS-IVE-132617</t>
  </si>
  <si>
    <t>Verify Platform's PL1,PL2 and Tau registers value matches as part of MSR and MMIO pre and post Sx When Dual Tau option Disabled in Bios</t>
  </si>
  <si>
    <t>CSS-IVE-132940</t>
  </si>
  <si>
    <t>Verify Re-arm command before and after disabling Re-arm BIOS knob</t>
  </si>
  <si>
    <t>CSS-IVE-145806</t>
  </si>
  <si>
    <t>Verify BIOS support for new Device PMAX</t>
  </si>
  <si>
    <t>CSS-IVE-145808</t>
  </si>
  <si>
    <t>Verify Global reset happens with security level enabled in BIOS</t>
  </si>
  <si>
    <t>CSS-IVE-145814</t>
  </si>
  <si>
    <t>Verify BIOS support the Dynamic Periodicity Alteration (DPA) tuning feature when Acoustic Noise Mitigation is enabled</t>
  </si>
  <si>
    <t>CSS-IVE-145815</t>
  </si>
  <si>
    <t>Verify Keylocker when Hybrid Core is Enabled</t>
  </si>
  <si>
    <t>CSS-IVE-147121</t>
  </si>
  <si>
    <t>Verify default fused values for PL1,PL2,PL3 and PL4</t>
  </si>
  <si>
    <t>CSS-IVE-147205</t>
  </si>
  <si>
    <t>Verify GOP initialization in debug log using Legacy UART / LPSS UART</t>
  </si>
  <si>
    <t>CSS-IVE-108406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</si>
  <si>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</si>
  <si>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</si>
  <si>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</si>
  <si>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</si>
  <si>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post Sx cycles with Lid Switch as wake source</t>
  </si>
  <si>
    <t>CSS-IVE-65921</t>
  </si>
  <si>
    <t>Verify System stability on staying in idle state for 12 hours with Display ON</t>
  </si>
  <si>
    <t>CSS-IVE-50608</t>
  </si>
  <si>
    <t>Verify that GPIO devices are enumerated properly on the SUT</t>
  </si>
  <si>
    <t>CSS-IVE-50609</t>
  </si>
  <si>
    <t>Stress S5-G3-S5 and verify that there is no break in functionality</t>
  </si>
  <si>
    <t>CSS-IVE-65920</t>
  </si>
  <si>
    <t>Verify WWAN (4G) Functionality</t>
  </si>
  <si>
    <t>CSS-IVE-65968</t>
  </si>
  <si>
    <t>connectivity</t>
  </si>
  <si>
    <t>Networking and Connectivity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</si>
  <si>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</si>
  <si>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</si>
  <si>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</si>
  <si>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</si>
  <si>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[Type-c]Verify RTD3 support for USB3.0 device (Pendrive)</t>
  </si>
  <si>
    <t>CSS-IVE-66100</t>
  </si>
  <si>
    <t>Verify RTD3 support for USB2.0 Device</t>
  </si>
  <si>
    <t>CSS-IVE-66099</t>
  </si>
  <si>
    <t>Verify Windows OS presents the Boot repair options on 2 consecutive boot failures with fast boot enabled</t>
  </si>
  <si>
    <t>CSS-IVE-44546</t>
  </si>
  <si>
    <t>HSD Fail: 16016329281 [RPL-HX][PO][D&amp;T] CATERR observed while Reset Press button or while giving "itp.resettarget" with the debug probes.</t>
  </si>
  <si>
    <t>Verify UART function test on OS - Debug logs generation</t>
  </si>
  <si>
    <t>CSS-IVE-69495</t>
  </si>
  <si>
    <t>Validate Virtual keyboard can be functional in BIOS and OS</t>
  </si>
  <si>
    <t>CSS-IVE-69889</t>
  </si>
  <si>
    <t>sensor</t>
  </si>
  <si>
    <t>Verify that WWAN enter D3 when SUT is in CMS</t>
  </si>
  <si>
    <t>CSS-IVE-70970</t>
  </si>
  <si>
    <t>Verify SUT wakes from Connected Standby using Touchpad</t>
  </si>
  <si>
    <t>CSS-IVE-16697</t>
  </si>
  <si>
    <t>Verify TBT (thunderbolt) device other than Display does not work in Display Port only security level</t>
  </si>
  <si>
    <t>CSS-IVE-71083</t>
  </si>
  <si>
    <t>Verify TBT functionality after disabling and enabling the TBT Controller in device manager</t>
  </si>
  <si>
    <t>CSS-IVE-71088</t>
  </si>
  <si>
    <t>Verify TBT Boot to OS functionality using Type-C USB device over TBT port</t>
  </si>
  <si>
    <t>CSS-IVE-71121</t>
  </si>
  <si>
    <t>Validate system wakes up from Sx states via USB devices</t>
  </si>
  <si>
    <t>CSS-IVE-80238</t>
  </si>
  <si>
    <t>Verify that the TCO watchdog is Disabled by Default</t>
  </si>
  <si>
    <t>CSS-IVE-80847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</si>
  <si>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</si>
  <si>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</si>
  <si>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</si>
  <si>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</si>
  <si>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</si>
  <si>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</si>
  <si>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</si>
  <si>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</si>
  <si>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</si>
  <si>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</si>
  <si>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Hardware Identifiers of DPTF participant devices in device manager</t>
  </si>
  <si>
    <t>CSS-IVE-92964</t>
  </si>
  <si>
    <t>Validate Power objects required for DPTF Participant devices are getting enumerated in ACPI dump</t>
  </si>
  <si>
    <t>CSS-IVE-93071</t>
  </si>
  <si>
    <t>[TBT] Verify TBT-External Graphics functionality with Discrete graphics after Sx and reboot cycles</t>
  </si>
  <si>
    <t>CSS-IVE-94002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</si>
  <si>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</si>
  <si>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</si>
  <si>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</si>
  <si>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</si>
  <si>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</si>
  <si>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</si>
  <si>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</si>
  <si>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</si>
  <si>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</si>
  <si>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</si>
  <si>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</si>
  <si>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</si>
  <si>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</si>
  <si>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</si>
  <si>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</si>
  <si>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</si>
  <si>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</si>
  <si>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</si>
  <si>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</si>
  <si>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</si>
  <si>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</si>
  <si>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</si>
  <si>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</si>
  <si>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</si>
  <si>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</si>
  <si>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</si>
  <si>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PR Swap, USB3.1 and TBT-Display</t>
  </si>
  <si>
    <t>CSS-IVE-95266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</si>
  <si>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</si>
  <si>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</si>
  <si>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</si>
  <si>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</si>
  <si>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</si>
  <si>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</si>
  <si>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</si>
  <si>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</si>
  <si>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ISH device ID"s are displayed in EFI Log</t>
  </si>
  <si>
    <t>CSS-IVE-84951</t>
  </si>
  <si>
    <t>Verify state after G3 functionality based on BIOS options (S0 state, S5 state)</t>
  </si>
  <si>
    <t>CSS-IVE-99275</t>
  </si>
  <si>
    <t>Verify System trace via BSSB interface over Type-A port</t>
  </si>
  <si>
    <t>CSS-IVE-99314</t>
  </si>
  <si>
    <t>[TBT] Verify Reservation of memory resources for Thunderbolt Support</t>
  </si>
  <si>
    <t>CSS-IVE-99395</t>
  </si>
  <si>
    <t>Verify system stability on performing Sx cycles with "Driver Verifier Options" enabled in OS</t>
  </si>
  <si>
    <t>CSS-IVE-99403</t>
  </si>
  <si>
    <t>Verify SUT wake from S3,S4 using Type-C dock connected over Discrete Type-C port</t>
  </si>
  <si>
    <t>CSS-IVE-99963</t>
  </si>
  <si>
    <t>Verify display turns off post reaching RTC time limit</t>
  </si>
  <si>
    <t>CSS-IVE-99965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</si>
  <si>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</si>
  <si>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</si>
  <si>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</si>
  <si>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</si>
  <si>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functionality of TBT device after power interrupts (Reset / G3)</t>
  </si>
  <si>
    <t>CSS-IVE-86559</t>
  </si>
  <si>
    <t>Failed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</si>
  <si>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</si>
  <si>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</si>
  <si>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</si>
  <si>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</si>
  <si>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TBT-External Graphics functionality with integrated graphics after Sx and reboot cycles</t>
  </si>
  <si>
    <t>CSS-IVE-86990</t>
  </si>
  <si>
    <t>Verify TBT3 enumeration for Storage and display after cold boot</t>
  </si>
  <si>
    <t>CSS-IVE-84580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</si>
  <si>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</si>
  <si>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</si>
  <si>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</si>
  <si>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</si>
  <si>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Verify TBT Display functionality with Stress and along with non-TBT devices Cross Concurrency</t>
  </si>
  <si>
    <t>CSS-IVE-86879</t>
  </si>
  <si>
    <t>Verify TBT Daisy chain functionality along with non-TBT devices Cross Concurrency</t>
  </si>
  <si>
    <t>CSS-IVE-86980</t>
  </si>
  <si>
    <t>[TBT] Verify TBT-Dock hot-plug functionality (Connected with non-TBT devices)</t>
  </si>
  <si>
    <t>CSS-IVE-86986</t>
  </si>
  <si>
    <t>Verify TBT-External Graphics functionality with Integrated Graphics along with non-TBT devices Cross Concurrency</t>
  </si>
  <si>
    <t>CSS-IVE-86993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</si>
  <si>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</si>
  <si>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</si>
  <si>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</si>
  <si>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</si>
  <si>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</si>
  <si>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</si>
  <si>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</si>
  <si>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</si>
  <si>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 Daisy chain functionality after Sx and reboot cycles</t>
  </si>
  <si>
    <t>CSS-IVE-86979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</si>
  <si>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</si>
  <si>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</si>
  <si>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</si>
  <si>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</si>
  <si>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Verify TBT Daisy chain functionality with 5 Storage</t>
  </si>
  <si>
    <t>CSS-IVE-86884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</si>
  <si>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</si>
  <si>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</si>
  <si>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</si>
  <si>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</si>
  <si>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</si>
  <si>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</si>
  <si>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</si>
  <si>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</si>
  <si>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Storage functionality with Stress and along with non-TBT devices Cross Concurrency</t>
  </si>
  <si>
    <t>CSS-IVE-86880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</si>
  <si>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</si>
  <si>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</si>
  <si>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</si>
  <si>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</si>
  <si>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</si>
  <si>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</si>
  <si>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</si>
  <si>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</si>
  <si>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</si>
  <si>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</si>
  <si>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</si>
  <si>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</si>
  <si>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</si>
  <si>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</si>
  <si>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</si>
  <si>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</si>
  <si>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</si>
  <si>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</si>
  <si>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</si>
  <si>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</si>
  <si>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</si>
  <si>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</si>
  <si>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</si>
  <si>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</si>
  <si>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</si>
  <si>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</si>
  <si>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</si>
  <si>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</si>
  <si>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</si>
  <si>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</si>
  <si>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</si>
  <si>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</si>
  <si>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</si>
  <si>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</si>
  <si>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Type-C Concurrent support of x2 DP and USB3 on hot-plug after Connected Modern Standby states</t>
  </si>
  <si>
    <t>CSS-IVE-101069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</si>
  <si>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</si>
  <si>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</si>
  <si>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</si>
  <si>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</si>
  <si>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</si>
  <si>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</si>
  <si>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</si>
  <si>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</si>
  <si>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Verify Type-C Concurrent support of x2 DP and USB3, device connected when SUT is in Deep Sx state</t>
  </si>
  <si>
    <t>CSS-IVE-101067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</si>
  <si>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</si>
  <si>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</si>
  <si>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</si>
  <si>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</si>
  <si>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</si>
  <si>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</si>
  <si>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</si>
  <si>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</si>
  <si>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</si>
  <si>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</si>
  <si>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</si>
  <si>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</si>
  <si>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</si>
  <si>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</si>
  <si>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</si>
  <si>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</si>
  <si>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</si>
  <si>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</si>
  <si>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</si>
  <si>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</si>
  <si>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</si>
  <si>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</si>
  <si>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</si>
  <si>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</si>
  <si>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</si>
  <si>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</si>
  <si>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</si>
  <si>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</si>
  <si>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</si>
  <si>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</si>
  <si>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</si>
  <si>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</si>
  <si>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</si>
  <si>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</si>
  <si>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</si>
  <si>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</si>
  <si>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</si>
  <si>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</si>
  <si>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</si>
  <si>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</si>
  <si>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</si>
  <si>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</si>
  <si>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</si>
  <si>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</si>
  <si>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</si>
  <si>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</si>
  <si>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</si>
  <si>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</si>
  <si>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</si>
  <si>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</si>
  <si>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</si>
  <si>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</si>
  <si>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</si>
  <si>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</si>
  <si>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</si>
  <si>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</si>
  <si>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</si>
  <si>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</si>
  <si>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</si>
  <si>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</si>
  <si>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</si>
  <si>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</si>
  <si>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RTD3 flow for CNVi BT Device</t>
  </si>
  <si>
    <t>CSS-IVE-101183</t>
  </si>
  <si>
    <t>Passed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</si>
  <si>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</si>
  <si>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</si>
  <si>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</si>
  <si>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</si>
  <si>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</si>
  <si>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</si>
  <si>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</si>
  <si>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</si>
  <si>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</si>
  <si>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CSS-IVE-101265</t>
  </si>
  <si>
    <t>Verify AET trace log capture through NPK</t>
  </si>
  <si>
    <t>CSS-IVE-101301</t>
  </si>
  <si>
    <t>Verify multiple display output functionality over different Type-C/TBT port after Sx and reboot cycles - DP, HDMI display</t>
  </si>
  <si>
    <t>CSS-IVE-101427</t>
  </si>
  <si>
    <t>[TBT] Verify multiple display output when displays connected with 2nd TBT controller / different TBT Port on Hot plug - TBT, HDMI Display</t>
  </si>
  <si>
    <t>CSS-IVE-101439</t>
  </si>
  <si>
    <t>[TBT] Verify multiple display output when displays connected with 2nd TBT controller / different TBT Port after Sx and reboot cycles - TBT, Type-C Display</t>
  </si>
  <si>
    <t>CSS-IVE-101451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</si>
  <si>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</si>
  <si>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</si>
  <si>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</si>
  <si>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</si>
  <si>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</si>
  <si>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</si>
  <si>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</si>
  <si>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</si>
  <si>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</si>
  <si>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CSS-IVE-101376</t>
  </si>
  <si>
    <t>Verify Dual Controller Support - USB3.0/USB3.1 Gen1 storage functionality on Hot-Plug</t>
  </si>
  <si>
    <t>CSS-IVE-101374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</si>
  <si>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</si>
  <si>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</si>
  <si>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</si>
  <si>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</si>
  <si>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</si>
  <si>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</si>
  <si>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</si>
  <si>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CSS-IVE-101442</t>
  </si>
  <si>
    <t>Verify multiple display output when displays connected with 2nd TBT controller / different TBT Port on Hot plug - TBT, Type-C Display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</si>
  <si>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</si>
  <si>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</si>
  <si>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</si>
  <si>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</si>
  <si>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</si>
  <si>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Dual Controller Support - USB3.0/USB3.1 Gen1 storage functionality after cold boot</t>
  </si>
  <si>
    <t>CSS-IVE-101372</t>
  </si>
  <si>
    <t>Verify Dual Controller Support - USB3.1 Gen2 storage functionality on Hot-Plug</t>
  </si>
  <si>
    <t>CSS-IVE-101377</t>
  </si>
  <si>
    <t>Verify multiple display output functionality over same Type-C/TBT port after Sx and reboot cycles - Dual DP display</t>
  </si>
  <si>
    <t>CSS-IVE-101428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</si>
  <si>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</si>
  <si>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</si>
  <si>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</si>
  <si>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CSS-IVE-101447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</si>
  <si>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</si>
  <si>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</si>
  <si>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</si>
  <si>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CSS-IVE-101373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</si>
  <si>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</si>
  <si>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</si>
  <si>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</si>
  <si>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</si>
  <si>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</si>
  <si>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</si>
  <si>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</si>
  <si>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</si>
  <si>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</si>
  <si>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</si>
  <si>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</si>
  <si>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</si>
  <si>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</si>
  <si>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</si>
  <si>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</si>
  <si>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</si>
  <si>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</si>
  <si>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CSS-IVE-101468</t>
  </si>
  <si>
    <t>Verify Dual Controller Support - USB2.0 Disk functionality after Sx and reboot cycles</t>
  </si>
  <si>
    <t>CSS-IVE-101370</t>
  </si>
  <si>
    <t>Verify Dual Controller Support - USB3.1 Gen2 storage functionality after cold boot</t>
  </si>
  <si>
    <t>CSS-IVE-101375</t>
  </si>
  <si>
    <t>Verify multiple display output functionality over different Type-C/TBT port after S4, S5 and warm reboot cycles - 2 TBT Displays</t>
  </si>
  <si>
    <t>CSS-IVE-101426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</si>
  <si>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</si>
  <si>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</si>
  <si>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</si>
  <si>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</si>
  <si>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</si>
  <si>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CSS-IVE-101445</t>
  </si>
  <si>
    <t>Verify multiple display output when displays connected with 2nd TBT controller / different TBT Port after S4, S5 and reboot cycles - DP, HDMI display</t>
  </si>
  <si>
    <t>CSS-IVE-101450</t>
  </si>
  <si>
    <t>Verify multiple display output when displays connected with dual TBT controller after S4, S5 and warm reboot cycles - 2 TBT Displays</t>
  </si>
  <si>
    <t>CSS-IVE-101470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</si>
  <si>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</si>
  <si>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</si>
  <si>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</si>
  <si>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</si>
  <si>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BIOS Hotkey combination (CTRL-ALT-F1) should not display by the BIOS during KVM/SoL session and while Intel  AMT is disabled</t>
  </si>
  <si>
    <t>CSS-IVE-102139</t>
  </si>
  <si>
    <t>BIOS should update the changes for Memory Array Mapped Address (Type 19)</t>
  </si>
  <si>
    <t>CSS-IVE-102143</t>
  </si>
  <si>
    <t>Verify BIOS enables ISH Trunk Clock gating</t>
  </si>
  <si>
    <t>CSS-IVE-86380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</si>
  <si>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</si>
  <si>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</si>
  <si>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</si>
  <si>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</si>
  <si>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</si>
  <si>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</si>
  <si>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</si>
  <si>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CSS-IVE-105417</t>
  </si>
  <si>
    <t>Verify WWAN functionality pre and post Connected Standby (CMS) cycle</t>
  </si>
  <si>
    <t>CSS-IVE-105422</t>
  </si>
  <si>
    <t>Verify system shutdown/reboot via Hardware buttons on Modern standby enabled system</t>
  </si>
  <si>
    <t>CSS-IVE-105544</t>
  </si>
  <si>
    <t>Verify USB device functionality by disable/enable USB Overcurrent option in BIOS across Sx (S3,S4,S5) and warm reboot cycle</t>
  </si>
  <si>
    <t>CSS-IVE-105551</t>
  </si>
  <si>
    <t>Verify Memory-DDR5_SODIMM_3200Mhz_2_RANK_1DPC_CH0_8GB is functioning</t>
  </si>
  <si>
    <t>CSS-IVE-113633</t>
  </si>
  <si>
    <t>Verify Crash dump error state register status when SUT is in crash state</t>
  </si>
  <si>
    <t>CSS-IVE-113685</t>
  </si>
  <si>
    <t>Verify BIOS construct BERT ACPI table through SST tool</t>
  </si>
  <si>
    <t>CSS-IVE-113717</t>
  </si>
  <si>
    <t>Verify SUT support Debug Trace log capture - System Telemetry for low power debug</t>
  </si>
  <si>
    <t>CSS-IVE-113713</t>
  </si>
  <si>
    <t>Verify WWAN enter D3 and achieve L1.2 ASPM substates</t>
  </si>
  <si>
    <t>CSS-IVE-114270</t>
  </si>
  <si>
    <t>Verify SUT wakes from S4 using Bluetooth (BT Devices)</t>
  </si>
  <si>
    <t>CSS-IVE-114273</t>
  </si>
  <si>
    <t>BIOS should update the changes for SMBIOS type 3 [System Enclosure or Chassis]</t>
  </si>
  <si>
    <t>CSS-IVE-114944</t>
  </si>
  <si>
    <t>Verify SUT wake from Sx states (S3, S4) using discrete WLAN module</t>
  </si>
  <si>
    <t>CSS-IVE-115058</t>
  </si>
  <si>
    <t>Verify Sx and reboot cycles with ISH disabled</t>
  </si>
  <si>
    <t>CSS-IVE-114796</t>
  </si>
  <si>
    <t>Verify Ability to get debug logs with different serial debug messages settings</t>
  </si>
  <si>
    <t>CSS-IVE-114358</t>
  </si>
  <si>
    <t>verify TBT D3 flow when APSM is in L1.2 state</t>
  </si>
  <si>
    <t>CSS-IVE-114361</t>
  </si>
  <si>
    <t>verify TBT D3 flow when APSM is in L1.1,L1.2 state</t>
  </si>
  <si>
    <t>CSS-IVE-114362</t>
  </si>
  <si>
    <t>verify TBT D3 flow when APSM is in L1.1 state</t>
  </si>
  <si>
    <t>CSS-IVE-114363</t>
  </si>
  <si>
    <t>Verify BIOS ACPI debug messages capture during TBT device hot-plug/un-plug events</t>
  </si>
  <si>
    <t>CSS-IVE-105588</t>
  </si>
  <si>
    <t>Verify Sensor Device Temperature value in BIOS and OS</t>
  </si>
  <si>
    <t>CSS-IVE-115306</t>
  </si>
  <si>
    <t>power_management.thermal_sensor</t>
  </si>
  <si>
    <t>Verify PSMI Configuration through control register using PythonSV tool</t>
  </si>
  <si>
    <t>CSS-IVE-114276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</si>
  <si>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</si>
  <si>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</si>
  <si>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</si>
  <si>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</si>
  <si>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Verify BIOS have ability to enable and disable Wake on LAN</t>
  </si>
  <si>
    <t>CSS-IVE-115600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</si>
  <si>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</si>
  <si>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</si>
  <si>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</si>
  <si>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</si>
  <si>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</si>
  <si>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</si>
  <si>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</si>
  <si>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</si>
  <si>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WWAN functionality pre and post reboot cycles</t>
  </si>
  <si>
    <t>CSS-IVE-117676</t>
  </si>
  <si>
    <t>Verify System achieve SLP_S0 residency when GBE is enabled or disabled in BIOS</t>
  </si>
  <si>
    <t>CSS-IVE-117848</t>
  </si>
  <si>
    <t>Verify Network functionality using AIC connected over PCIe slot after cold Boot/warm reset</t>
  </si>
  <si>
    <t>CSS-IVE-118277</t>
  </si>
  <si>
    <t>Verify Modem Crash support implementation in ACPI table</t>
  </si>
  <si>
    <t>CSS-IVE-118325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</si>
  <si>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</si>
  <si>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</si>
  <si>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</si>
  <si>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</si>
  <si>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</si>
  <si>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</si>
  <si>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</si>
  <si>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</si>
  <si>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</si>
  <si>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</si>
  <si>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</si>
  <si>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</si>
  <si>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RTC Date &amp; Time can be retrieved without Coin battery support and it remains intact after Sx Cycle</t>
  </si>
  <si>
    <t>CSS-IVE-118765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</si>
  <si>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</si>
  <si>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</si>
  <si>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</si>
  <si>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</si>
  <si>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</si>
  <si>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</si>
  <si>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</si>
  <si>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</si>
  <si>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</si>
  <si>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</si>
  <si>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</si>
  <si>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</si>
  <si>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Dual Controller Support - USB4 Hub &amp; USB4 Dock functionality after S4, S5 and warm boot cycles</t>
  </si>
  <si>
    <t>CSS-IVE-122118</t>
  </si>
  <si>
    <t>Verify Dual Controller Support - USB4 Hub &amp; USB4 Dock functionality on Hot-Plug</t>
  </si>
  <si>
    <t>CSS-IVE-122119</t>
  </si>
  <si>
    <t>Verify Dual Controller Support - USB4 Hub &amp; USB4 Dock functionality on Cold-Plug</t>
  </si>
  <si>
    <t>CSS-IVE-122120</t>
  </si>
  <si>
    <t>Verify USB4 storage functionality hot plug during S4, S5 cycles</t>
  </si>
  <si>
    <t>CSS-IVE-122124</t>
  </si>
  <si>
    <t>Validate on board LAN device for RTD3</t>
  </si>
  <si>
    <t>CSS-IVE-122356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</si>
  <si>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</si>
  <si>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</si>
  <si>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</si>
  <si>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</si>
  <si>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</si>
  <si>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</si>
  <si>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</si>
  <si>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</si>
  <si>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</si>
  <si>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</si>
  <si>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</si>
  <si>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</si>
  <si>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</si>
  <si>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</si>
  <si>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</si>
  <si>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</si>
  <si>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</si>
  <si>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</si>
  <si>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</si>
  <si>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</si>
  <si>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</si>
  <si>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</si>
  <si>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</si>
  <si>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</si>
  <si>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ECKPWRCTL disable when DCI is disabled</t>
  </si>
  <si>
    <t>CSS-IVE-129750</t>
  </si>
  <si>
    <t>Verify AMT WEBUI is accessible during sx cycles over Wired LAN</t>
  </si>
  <si>
    <t>CSS-IVE-130030</t>
  </si>
  <si>
    <t>Verify TCSS D3Cold support when System connected with TBT device</t>
  </si>
  <si>
    <t>CSS-IVE-129785</t>
  </si>
  <si>
    <t>Verify TCSS D3Cold Entry and Exit happens  with TBT device connected</t>
  </si>
  <si>
    <t>CSS-IVE-132636</t>
  </si>
  <si>
    <t>Verify PCH /CSE/CPU bootstall unlock via USB2DbC</t>
  </si>
  <si>
    <t>CSS-IVE-132950</t>
  </si>
  <si>
    <t>Verify cold boot with USB3.1 Gen2 mass storage device connected across all the Type C ports</t>
  </si>
  <si>
    <t>CSS-IVE-133024</t>
  </si>
  <si>
    <t>Verify System trace via 2-Wire BSSB interface</t>
  </si>
  <si>
    <t>CSS-IVE-132994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</si>
  <si>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</si>
  <si>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</si>
  <si>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</si>
  <si>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</si>
  <si>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</si>
  <si>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</si>
  <si>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</si>
  <si>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</si>
  <si>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</si>
  <si>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</si>
  <si>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</si>
  <si>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</si>
  <si>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</si>
  <si>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</si>
  <si>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</si>
  <si>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</si>
  <si>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</si>
  <si>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</si>
  <si>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</si>
  <si>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</si>
  <si>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CMS</t>
  </si>
  <si>
    <t>CSS-IVE-133300</t>
  </si>
  <si>
    <t>Verify vendor ID for USB4 HW controller</t>
  </si>
  <si>
    <t>CSS-IVE-133309</t>
  </si>
  <si>
    <t>Verify BIOS is configuring the NPK bar and size on S3 exit</t>
  </si>
  <si>
    <t>CSS-IVE-133311</t>
  </si>
  <si>
    <t>Verify platform's PL1,PL2 and Tau registers values in MSR and MMIO  when Dual Tau option Enabled in Bios  with pre and post Sx</t>
  </si>
  <si>
    <t>CSS-IVE-133578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</si>
  <si>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</si>
  <si>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</si>
  <si>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</si>
  <si>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</si>
  <si>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BIOS provides information related to LPM registers from iPC1 interface via buffers</t>
  </si>
  <si>
    <t>CSS-IVE-133682</t>
  </si>
  <si>
    <t>Validate RTD3 for Touch Panel</t>
  </si>
  <si>
    <t>CSS-IVE-134023</t>
  </si>
  <si>
    <t>Verify system wakes from Connected Modern Standby (CMS ) state via Touch Panel(I2C)</t>
  </si>
  <si>
    <t>CSS-IVE-135352</t>
  </si>
  <si>
    <t>Verify C-state values by limiting TCSS TC-State with TBT device connected</t>
  </si>
  <si>
    <t>CSS-IVE-135372</t>
  </si>
  <si>
    <t>Verify BIOS setup options for RFI Spread Spectrum control (SSC) range</t>
  </si>
  <si>
    <t>CSS-IVE-135386</t>
  </si>
  <si>
    <t>Verify APIC ID"s updated by BIOS for 24(Core+Atom) Cores in APIC tables</t>
  </si>
  <si>
    <t>CSS-IVE-135476</t>
  </si>
  <si>
    <t>In Production</t>
  </si>
  <si>
    <t>Verify system stability after S3 and S4 cycles using LAN connect over Foxville Port as wake source.</t>
  </si>
  <si>
    <t>CSS-IVE-136346</t>
  </si>
  <si>
    <t>Verify IOM FW version are updated in Bios under TCSS Setup Menu</t>
  </si>
  <si>
    <t>CSS-IVE-136377</t>
  </si>
  <si>
    <t>Validate on PCIe LAN device for RTD3</t>
  </si>
  <si>
    <t>CSS-IVE-136395</t>
  </si>
  <si>
    <t>[OCR] Verify AMT UEFI Boot Options should be Greyed out  with Redirection session over Wired LAN</t>
  </si>
  <si>
    <t>CSS-IVE-135853</t>
  </si>
  <si>
    <t>[OCR] Verify OCR_WinRE flow intact after G3 State from AMT Remote session over wired LAN</t>
  </si>
  <si>
    <t>CSS-IVE-136421</t>
  </si>
  <si>
    <t>[OCR] Verify OCR_PBA boot flow intact after G3 State from AMT Remote session over wired LAN</t>
  </si>
  <si>
    <t>CSS-IVE-136422</t>
  </si>
  <si>
    <t>[OCR]  Verify OCR_HTTPS boot flow intact after G3 State from AMT Remote session over wired LAN</t>
  </si>
  <si>
    <t>CSS-IVE-136423</t>
  </si>
  <si>
    <t>[OCR] Verify OCR_WinRE Boot flow intact Post Sx State from AMT Remote session over wired LAN</t>
  </si>
  <si>
    <t>CSS-IVE-136424</t>
  </si>
  <si>
    <t>[OCR] Verify OCR_PBA boot flow intact Post Sx State from AMT Remote session over wired LAN</t>
  </si>
  <si>
    <t>CSS-IVE-136425</t>
  </si>
  <si>
    <t>[OCR] Verify OCR_WinRE boot flow functionality over wired LAN When SUT is at BIOS menu</t>
  </si>
  <si>
    <t>CSS-IVE-138259</t>
  </si>
  <si>
    <t>[OCR]  Verify OCR_HTTPS boot flow intact Post Sx State from AMT Remote session over wired LAN</t>
  </si>
  <si>
    <t>CSS-IVE-136426</t>
  </si>
  <si>
    <t>[OCR] Verify OCR_WinRE flow intact from AMT Remote session over wired LAN  post generating BSOD</t>
  </si>
  <si>
    <t>CSS-IVE-138226</t>
  </si>
  <si>
    <t>[OCR] Verify OCR_WinRE flow intact from AMT Remote session over wired LAN  post generating  System Hang</t>
  </si>
  <si>
    <t>CSS-IVE-138234</t>
  </si>
  <si>
    <t>Verify WWAN (5G) Functionality</t>
  </si>
  <si>
    <t>CSS-IVE-138264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</si>
  <si>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</si>
  <si>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</si>
  <si>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</si>
  <si>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</si>
  <si>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</si>
  <si>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</si>
  <si>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</si>
  <si>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</si>
  <si>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</si>
  <si>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</si>
  <si>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</si>
  <si>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</si>
  <si>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</si>
  <si>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</si>
  <si>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</si>
  <si>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</si>
  <si>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</si>
  <si>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</si>
  <si>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</si>
  <si>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</si>
  <si>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</si>
  <si>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</si>
  <si>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</si>
  <si>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</si>
  <si>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</si>
  <si>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</si>
  <si>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</si>
  <si>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</si>
  <si>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</si>
  <si>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</si>
  <si>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Retimer firmware upgradation from OS using TDT tool</t>
  </si>
  <si>
    <t>CSS-IVE-145324</t>
  </si>
  <si>
    <t>HSD Fail : 22015562598 : [RPL-Hx][TCSS]: Retimer FW capsule update is not working with the OWR release .cap files</t>
  </si>
  <si>
    <t>Verify Retimer firmware Down gradation from OS using TDT tool</t>
  </si>
  <si>
    <t>CSS-IVE-145370</t>
  </si>
  <si>
    <t>Verify Retimer firmware Down gradation from EFI shell</t>
  </si>
  <si>
    <t>CSS-IVE-145371</t>
  </si>
  <si>
    <t>Verify Retimer firmware Upgradation from EFI shell</t>
  </si>
  <si>
    <t>CSS-IVE-145372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</si>
  <si>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</si>
  <si>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</si>
  <si>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</si>
  <si>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</si>
  <si>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</si>
  <si>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</si>
  <si>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</si>
  <si>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</si>
  <si>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</si>
  <si>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</si>
  <si>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</si>
  <si>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</si>
  <si>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</si>
  <si>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</si>
  <si>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</si>
  <si>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</si>
  <si>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</si>
  <si>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</si>
  <si>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</si>
  <si>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</si>
  <si>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</si>
  <si>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</si>
  <si>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</si>
  <si>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</si>
  <si>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</si>
  <si>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</si>
  <si>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</si>
  <si>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</si>
  <si>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</si>
  <si>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</si>
  <si>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</si>
  <si>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</si>
  <si>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</si>
  <si>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</si>
  <si>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S4 and S5 with all Type-C ports - USB3.1 Gen2, USB3.0 Hub and USB2.0</t>
  </si>
  <si>
    <t>CSS-IVE-145223</t>
  </si>
  <si>
    <t>Verify ACPI _DSM method implementation to Add ISH based Dynamic SAR support in BIOS</t>
  </si>
  <si>
    <t>CSS-IVE-145819</t>
  </si>
  <si>
    <t>[OCR] Verify Windows Recovery Environment (WinRE) Boot flow for One Click Recovery before and after CMS cycle</t>
  </si>
  <si>
    <t>CSS-IVE-146960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</si>
  <si>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</si>
  <si>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</si>
  <si>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</si>
  <si>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</si>
  <si>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 Verify OCR_HTTPS boot flow intact after G3 State from AMT Remote session over Wireless LAN</t>
  </si>
  <si>
    <t>CSS-IVE-147152</t>
  </si>
  <si>
    <t>[OCR] Verify OCR_WinRE Boot flow intact Post Sx State from AMT Remote session over Wireless LAN</t>
  </si>
  <si>
    <t>CSS-IVE-147153</t>
  </si>
  <si>
    <t>[OCR] Verify OCR_PBA boot flow intact Post Sx State from AMT Remote session over Wireless LAN</t>
  </si>
  <si>
    <t>CSS-IVE-147154</t>
  </si>
  <si>
    <t>[OCR] Verify OCR_WinRE boot flow functionality over Wireless LAN When SUT is at BIOS menu</t>
  </si>
  <si>
    <t>CSS-IVE-147155</t>
  </si>
  <si>
    <t>[OCR]  Verify OCR_HTTPS boot flow intact Post Sx State from AMT Remote session over Wireless LAN</t>
  </si>
  <si>
    <t>CSS-IVE-147156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</si>
  <si>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</si>
  <si>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</si>
  <si>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</si>
  <si>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</si>
  <si>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</si>
  <si>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PRR should return MRST with WWAN enable/disable in BIOS</t>
  </si>
  <si>
    <t>CSS-IVE-147235</t>
  </si>
  <si>
    <t>Validate Boot flow with different GT frequency bins as per BIOS menu</t>
  </si>
  <si>
    <t>CSS-IVE-90637</t>
  </si>
  <si>
    <t>graphics</t>
  </si>
  <si>
    <t>Verify Fast Boot Timing is impacted not more than threshold limit with and without TPM enabled</t>
  </si>
  <si>
    <t>CSS-IVE-80274</t>
  </si>
  <si>
    <t>Verify that system falls back to full boot mode when Intel RST Premium and OROM UI &amp; banner are enabled even with fast boot enabled</t>
  </si>
  <si>
    <t>CSS-IVE-80273</t>
  </si>
  <si>
    <t>System should continue to boot in fast boot mode even after output console is changed</t>
  </si>
  <si>
    <t>CSS-IVE-80300</t>
  </si>
  <si>
    <t>Verify additional restart occurs when system falls back from fast boot to full boot with TPM enabled</t>
  </si>
  <si>
    <t>CSS-IVE-80322</t>
  </si>
  <si>
    <t>System should fall back to full boot from fast boot when it detects CPU replacement</t>
  </si>
  <si>
    <t>CSS-IVE-80241</t>
  </si>
  <si>
    <t>Verify system attains responsiveness metrics with PTT enabled Corporate IFWI and with OS installed on NVMe SSD</t>
  </si>
  <si>
    <t>CSS-IVE-101008</t>
  </si>
  <si>
    <t>Automation Not Possible</t>
  </si>
  <si>
    <t>Verify responsiveness metrics are attained by system flashed with PTT enabled Corporate IFWI + Internal performance BIOS with IOMMU enabled</t>
  </si>
  <si>
    <t>CSS-IVE-118814</t>
  </si>
  <si>
    <t>Verify responsiveness metrics are attained by system flashed with PTT enabled Corporate IFWI + External performance BIOS with IOMMU enabled</t>
  </si>
  <si>
    <t>CSS-IVE-118816</t>
  </si>
  <si>
    <t>Verify responsiveness metrics are attained by system flashed with  ((Pre_Prod IFWI) or (Prod IFWI)) + Internal BIOS and with IOMMU disabled</t>
  </si>
  <si>
    <t>CSS-IVE-118818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</si>
  <si>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</si>
  <si>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</si>
  <si>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</si>
  <si>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</si>
  <si>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</si>
  <si>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</si>
  <si>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Cold Boot time is inline with responsiveness metrics when Pre-boot DMA protection disabled</t>
  </si>
  <si>
    <t>CSS-IVE-118827</t>
  </si>
  <si>
    <t>Verify responsiveness metrics are attained with Pre-boot DMA protection enabled with a TBT storage device plugged in</t>
  </si>
  <si>
    <t>CSS-IVE-118828</t>
  </si>
  <si>
    <t>Verify Cold Boot time is inline with responsiveness metrics when Pre-boot DMA protection enabled with a TBT storage device plugged in</t>
  </si>
  <si>
    <t>CSS-IVE-118829</t>
  </si>
  <si>
    <t>Verify Cold Boot time is inline with responsiveness metrics when Pre-boot DMA protection enabled without any TBT devices plugged in</t>
  </si>
  <si>
    <t>CSS-IVE-118830</t>
  </si>
  <si>
    <t>Verify responsiveness metrics are attained with Pre-boot DMA protection Disabled</t>
  </si>
  <si>
    <t>CSS-IVE-118831</t>
  </si>
  <si>
    <t>Verify responsiveness metrics are attained with Pre-boot DMA protection enabled without any TBT devices plugged in</t>
  </si>
  <si>
    <t>CSS-IVE-118832</t>
  </si>
  <si>
    <t>Verify responsiveness metrics are attained by system flashed with  Pre_Prod IFWI + External BIOS and with IOMMU enabled with exception list</t>
  </si>
  <si>
    <t>CSS-IVE-118889</t>
  </si>
  <si>
    <t>Verify system attains responsiveness metrics with PTT enabled Corporate IFWI (1x32MB) size and with OS installed on NVMe SSD</t>
  </si>
  <si>
    <t>CSS-IVE-133065</t>
  </si>
  <si>
    <t>Verify Enable / Disable DIMM per channel.</t>
  </si>
  <si>
    <t>CSS-IVE-75403</t>
  </si>
  <si>
    <t>Verify Enable/Disable MRC ECC Option in BIOS</t>
  </si>
  <si>
    <t>CSS-IVE-80051</t>
  </si>
  <si>
    <t>Verify dual channel memory SODIMM DDR5 3733Mhz-2x8GB is functioning</t>
  </si>
  <si>
    <t>CSS-IVE-114564</t>
  </si>
  <si>
    <t>Verify UDIMM DDR5 3733Mhz-16GB memory module is functioning</t>
  </si>
  <si>
    <t>CSS-IVE-114598</t>
  </si>
  <si>
    <t>Verify Memory LPDDR5 16GB Memory Down configuration functionality</t>
  </si>
  <si>
    <t>CSS-IVE-115222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</si>
  <si>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</si>
  <si>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</si>
  <si>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</si>
  <si>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</si>
  <si>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</si>
  <si>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</si>
  <si>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</si>
  <si>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</si>
  <si>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</si>
  <si>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</si>
  <si>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</si>
  <si>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</si>
  <si>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SUT shutdown (S5) when the Power Button is held in EDK Shell with only   AC  is plugged-in</t>
  </si>
  <si>
    <t>CSS-IVE-119473</t>
  </si>
  <si>
    <t>Verify SUT shutdown (S5) when the Power Button is held in BIOS Setup with only   AC  plugged-in</t>
  </si>
  <si>
    <t>CSS-IVE-119476</t>
  </si>
  <si>
    <t>Verify USB Type-C device Connector reversibility functionality after Sx (S3,S4,S5)and reboot cycles</t>
  </si>
  <si>
    <t>CSS-IVE-99709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</si>
  <si>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</si>
  <si>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</si>
  <si>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</si>
  <si>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</si>
  <si>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Verify battery charging is proper even after system crash -  AC  brick</t>
  </si>
  <si>
    <t>CSS-IVE-94237</t>
  </si>
  <si>
    <t>Verify Package TDP limit gets reflected correctly at OS</t>
  </si>
  <si>
    <t>CSS-IVE-72558</t>
  </si>
  <si>
    <t>[Golden Config] Verify CPU package C10 residence in AC and DC</t>
  </si>
  <si>
    <t>CSS-IVE-71594</t>
  </si>
  <si>
    <t>[FSP][GCC]: Bios should not send End of POST (EOP) MEI message during ME Recovery/Error/Disabled state</t>
  </si>
  <si>
    <t>CSS-IVE-132869</t>
  </si>
  <si>
    <t>Check BIOS shall display setup option for Graphics Frequency with S3 &amp; S4 cycles</t>
  </si>
  <si>
    <t>CSS-IVE-63290</t>
  </si>
  <si>
    <t>Validate GFx RC6 flow by exercising BIOS menu options (C state cycling)</t>
  </si>
  <si>
    <t>CSS-IVE-44275</t>
  </si>
  <si>
    <t>Verify Subsystem IDs for native devices in CPU-SA</t>
  </si>
  <si>
    <t>CSS-IVE-44343</t>
  </si>
  <si>
    <t>Verify Dual display is working in Clone mode (onboard eDP+HDMI)</t>
  </si>
  <si>
    <t>CSS-IVE-67824</t>
  </si>
  <si>
    <t>Verify max resolution with different display monitors</t>
  </si>
  <si>
    <t>CSS-IVE-69091</t>
  </si>
  <si>
    <t>Verify Dual display in Extended mode with eDP+HDMI with supported max and min resolutions</t>
  </si>
  <si>
    <t>CSS-IVE-70022</t>
  </si>
  <si>
    <t>Check if BIOS supports the multiple DVMT option</t>
  </si>
  <si>
    <t>CSS-IVE-92231</t>
  </si>
  <si>
    <t>Verify PlayReady3 functionality before &amp; after S3</t>
  </si>
  <si>
    <t>CSS-IVE-97319</t>
  </si>
  <si>
    <t>content_protection</t>
  </si>
  <si>
    <t>Verify PlayReady3 functionality before &amp; after S4</t>
  </si>
  <si>
    <t>CSS-IVE-97320</t>
  </si>
  <si>
    <t>Verify PlayReady3 functionality before &amp; after S5</t>
  </si>
  <si>
    <t>CSS-IVE-97321</t>
  </si>
  <si>
    <t>Verify timeout errors should not get registered in Event Viewer during AV Stress testing over WIFI connectivity</t>
  </si>
  <si>
    <t>CSS-IVE-97332</t>
  </si>
  <si>
    <t>audio.cavs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</si>
  <si>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</si>
  <si>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</si>
  <si>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</si>
  <si>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</si>
  <si>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Verify 4K Display Panel enumeration in Device Manager before and after S3 cycle</t>
  </si>
  <si>
    <t>CSS-IVE-101927</t>
  </si>
  <si>
    <t>Verify PlayReady3 functionality on external display pre and post S3 cycle</t>
  </si>
  <si>
    <t>CSS-IVE-114696</t>
  </si>
  <si>
    <t>Verify Gen4 Discrete Graphics basic functionality over x16 PEG slot with CMS cycles</t>
  </si>
  <si>
    <t>CSS-IVE-133856</t>
  </si>
  <si>
    <t>Verify Gen4 Discrete Graphics basic functionality on x16 PEG slot with DMS cycles</t>
  </si>
  <si>
    <t>CSS-IVE-133862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</si>
  <si>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</si>
  <si>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</si>
  <si>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</si>
  <si>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</si>
  <si>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Gfx BIOS Work around to enable proper GAW (Guest Address Width)/HAW (Host Address Width) support</t>
  </si>
  <si>
    <t>CSS-IVE-135390</t>
  </si>
  <si>
    <t>Verify PlayReady3 functionality on external display pre and post S4 and S5 cycle</t>
  </si>
  <si>
    <t>CSS-IVE-145190</t>
  </si>
  <si>
    <t>Verify Gen4 Discrete Graphics basic functionality on x4 PCIE Gen4 slot with warm and cold reboot cycles</t>
  </si>
  <si>
    <t>CSS-IVE-145393</t>
  </si>
  <si>
    <t>Verify if system can display debug messages on Debug BIOS and does not display debug messages on Release BIOS</t>
  </si>
  <si>
    <t>CSS-IVE-44396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</si>
  <si>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</si>
  <si>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</si>
  <si>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</si>
  <si>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</si>
  <si>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</si>
  <si>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</si>
  <si>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Blu-Ray 2.2 playback support using HDMI 2.2</t>
  </si>
  <si>
    <t>CSS-IVE-79886</t>
  </si>
  <si>
    <t>Verify USB3.0 Hub detection &amp; functionality in OS, EFI, BIOS over USB Type-A and Type-C port</t>
  </si>
  <si>
    <t>CSS-IVE-67806</t>
  </si>
  <si>
    <t>Verify USB ports &amp; USB hub are working properly in OS and EFI with USB 2.0 ,USB 3.0 bootable and non-bootable devices</t>
  </si>
  <si>
    <t>CSS-IVE-67819</t>
  </si>
  <si>
    <t>Validate hot plug &amp; unplug of USB2.0/3.0 mass storage and USB camera functionality over USB Type-A port for 10 cycles</t>
  </si>
  <si>
    <t>CSS-IVE-69087</t>
  </si>
  <si>
    <t>Verifying Driver Enable/ Disable from OS device manager for I2C/UART/SPI</t>
  </si>
  <si>
    <t>CSS-IVE-69877</t>
  </si>
  <si>
    <t>Verify that the I2C0 Device Touch Pad enumerating properly or not.</t>
  </si>
  <si>
    <t>CSS-IVE-70831</t>
  </si>
  <si>
    <t>Verify bios options and check for BIOS set retain after CMOS battery clear in the USB configuration page</t>
  </si>
  <si>
    <t>CSS-IVE-70858</t>
  </si>
  <si>
    <t>Verify Intel Smart Sound Technology &amp; DMIC Hardware ID in OS after multiple S3 &amp; S4 cycles</t>
  </si>
  <si>
    <t>CSS-IVE-70895</t>
  </si>
  <si>
    <t>Verify POST Serial Debug Message support via PCH LPSS UART0 and UART2</t>
  </si>
  <si>
    <t>CSS-IVE-71066</t>
  </si>
  <si>
    <t>Verify status of USB type C device connected to USB hub /DP for single S3/S0iX and S4 cycle</t>
  </si>
  <si>
    <t>CSS-IVE-71073</t>
  </si>
  <si>
    <t>Verify PDT Unlock Message - Enable/Disable option in Debug BIOS log</t>
  </si>
  <si>
    <t>CSS-IVE-71074</t>
  </si>
  <si>
    <t>Verify disable/enable USB3.0 ports in BIOS and its corresponding behavior in OS</t>
  </si>
  <si>
    <t>CSS-IVE-80983</t>
  </si>
  <si>
    <t>Verify Touch Panel should be enumerated as a PCI device</t>
  </si>
  <si>
    <t>CSS-IVE-86487</t>
  </si>
  <si>
    <t>Verify Connected modern Standby (CMS) cycle with AMT features enabled in BIOS</t>
  </si>
  <si>
    <t>CSS-IVE-73190</t>
  </si>
  <si>
    <t>Verify USB2 ports enabled by default in BIOS and its Functionality in EFI/Windows OS (Only for DT/Halo/AIO)</t>
  </si>
  <si>
    <t>CSS-IVE-88799</t>
  </si>
  <si>
    <t>Verify system exposes LPSS UART as Legacy UART Device</t>
  </si>
  <si>
    <t>CSS-IVE-71062</t>
  </si>
  <si>
    <t>Verify OS boot and enumeration of PCIe based Storage devices with default controller</t>
  </si>
  <si>
    <t>CSS-IVE-76099</t>
  </si>
  <si>
    <t>Verify detection and functionality of PCIe AIC M.2 SSD as Secondary Boot Media</t>
  </si>
  <si>
    <t>CSS-IVE-95330</t>
  </si>
  <si>
    <t>Verify BIOS detects PCIe device connected over X1/X4 slot with remapping enabled on M.2 slot</t>
  </si>
  <si>
    <t>CSS-IVE-97354</t>
  </si>
  <si>
    <t>Verify SUT support Debug Trace log capture via TAP over JTAG when SUT is in Sleep state (Route traces to PTI)</t>
  </si>
  <si>
    <t>CSS-IVE-99697</t>
  </si>
  <si>
    <t>Verify NVMe SSD achieve SLP_S0 residency during CS</t>
  </si>
  <si>
    <t>CSS-IVE-101337</t>
  </si>
  <si>
    <t>Verify M.2 SSD achieve SLP_S0 residency during long hours of CS-idle time</t>
  </si>
  <si>
    <t>CSS-IVE-101339</t>
  </si>
  <si>
    <t>Verify PCIe SD Card detection after multiple cycles of plug and play media file</t>
  </si>
  <si>
    <t>CSS-IVE-101602</t>
  </si>
  <si>
    <t>Verify PCIe SD Card detection after multiple cycles of plug and play media file with Sx cycles</t>
  </si>
  <si>
    <t>CSS-IVE-101603</t>
  </si>
  <si>
    <t>Verify Clear LPP_CTL.LPMEN bit before initializing Trace Hub</t>
  </si>
  <si>
    <t>CSS-IVE-102188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</si>
  <si>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</si>
  <si>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</si>
  <si>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</si>
  <si>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</si>
  <si>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</si>
  <si>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</si>
  <si>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</si>
  <si>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</si>
  <si>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</si>
  <si>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</si>
  <si>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remapped NVME RTD3 support with default config in DC Mode</t>
  </si>
  <si>
    <t>CSS-IVE-113650</t>
  </si>
  <si>
    <t>Verify VMD SATA device boot and system stability after Sx cycles</t>
  </si>
  <si>
    <t>CSS-IVE-115636</t>
  </si>
  <si>
    <t>Verify VMD NVMe device boot and system stability after Sx cycles</t>
  </si>
  <si>
    <t>CSS-IVE-115637</t>
  </si>
  <si>
    <t>Verify SATA disabling flow with NVMe as a boot source</t>
  </si>
  <si>
    <t>CSS-IVE-117876</t>
  </si>
  <si>
    <t>Verify warm reset and Sx cycle with PCIe Gen4 NVMe SSD connected over PCIe Gen4 supported X4 slot</t>
  </si>
  <si>
    <t>CSS-IVE-119125</t>
  </si>
  <si>
    <t>Verify system boot and Sx cycle with Gen2 SATA SSD connected over PCIe AIC on PCie Gen4 supported X4 slot</t>
  </si>
  <si>
    <t>CSS-IVE-119214</t>
  </si>
  <si>
    <t>Verify NVMe device boot and system stability after Sx with VMD port disabled</t>
  </si>
  <si>
    <t>CSS-IVE-129730</t>
  </si>
  <si>
    <t>Verify OS installation and system stability after Sx with NVME connected in PCH slot with VMD port disabled</t>
  </si>
  <si>
    <t>CSS-IVE-129731</t>
  </si>
  <si>
    <t>Verify OS installation and system stability after Sx with SATA device connected in PCH slot with VMD port disabled</t>
  </si>
  <si>
    <t>CSS-IVE-129732</t>
  </si>
  <si>
    <t>Verify NVMe device boot and system stability after Sx with VMD port enabled</t>
  </si>
  <si>
    <t>CSS-IVE-129735</t>
  </si>
  <si>
    <t>Verify ITH connection establishment via TAP over JTAG</t>
  </si>
  <si>
    <t>CSS-IVE-132986</t>
  </si>
  <si>
    <t>Verify ModPHY SUS Power Gating is enabled from A1 silicon onwards.</t>
  </si>
  <si>
    <t>CSS-IVE-133068</t>
  </si>
  <si>
    <t>Verify Touch Panel(I2C) enumeration and functionality in OS pre and post Sx cycles</t>
  </si>
  <si>
    <t>CSS-IVE-133612</t>
  </si>
  <si>
    <t>Verify T-mod settings in BIOS for display codec</t>
  </si>
  <si>
    <t>CSS-IVE-133681</t>
  </si>
  <si>
    <t>Verify PCIe controller enters D3 when function disabled</t>
  </si>
  <si>
    <t>CSS-IVE-135690</t>
  </si>
  <si>
    <t>Verify PCI_CFG_DIS bit is set in the Private configuration space</t>
  </si>
  <si>
    <t>CSS-IVE-135697</t>
  </si>
  <si>
    <t>io_pcie.pcie</t>
  </si>
  <si>
    <t>[FSP]Verify Component info with each FSP Components</t>
  </si>
  <si>
    <t>CSS-IVE-144431</t>
  </si>
  <si>
    <t>[FSP][GCC]Verify Component info with each FSP Components</t>
  </si>
  <si>
    <t>CSS-IVE-144433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</si>
  <si>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</si>
  <si>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</si>
  <si>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</si>
  <si>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</si>
  <si>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</si>
  <si>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</si>
  <si>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</si>
  <si>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</si>
  <si>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Sx cycles before and after remapping of NVMe device Through VMD</t>
  </si>
  <si>
    <t>CSS-IVE-144696</t>
  </si>
  <si>
    <t>Verify reboot cycles before and after remapping of NVMe device Through VMD</t>
  </si>
  <si>
    <t>CSS-IVE-144697</t>
  </si>
  <si>
    <t>Verify System boot and Sx cycle with SATA Disk as boot source and Remapped PCIe Pass Through Device as Data Disk through VMD</t>
  </si>
  <si>
    <t>CSS-IVE-144699</t>
  </si>
  <si>
    <t>Verify PCIe GEN5 HS-Phy_FW_Version displayed in BIOS</t>
  </si>
  <si>
    <t>CSS-IVE-145199</t>
  </si>
  <si>
    <t>Verify BIOS support for [CNV][WIFI] New ACPI table WTAS - Wi-Fi time Average SAR</t>
  </si>
  <si>
    <t>CSS-IVE-145681</t>
  </si>
  <si>
    <t>Verify that PSMI Handler reservation happened before MRC_DONE</t>
  </si>
  <si>
    <t>CSS-IVE-145685</t>
  </si>
  <si>
    <t>Verify package C10 after hot-plugging and hot-unplugging NVMe SSD over PEG60 Slot</t>
  </si>
  <si>
    <t>CSS-IVE-145701</t>
  </si>
  <si>
    <t>Verify _DSD method for D3 enable/disable in VMD scope</t>
  </si>
  <si>
    <t>CSS-IVE-145690</t>
  </si>
  <si>
    <t>Verify preconfigured BLE HID devices are auto connected in UEFI mode after S4 , S5 , cold reboot and warm reboot cycles</t>
  </si>
  <si>
    <t>CSS-IVE-145054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</si>
  <si>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</si>
  <si>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</si>
  <si>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</si>
  <si>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</si>
  <si>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</si>
  <si>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</si>
  <si>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Verify USB2.0/3.0 device functionality on cold plug over USB2.0 and USB3.0 Type-A port before and after S3,S4 state</t>
  </si>
  <si>
    <t>CSS-IVE-62689</t>
  </si>
  <si>
    <t>Validate Type-C USB3.0 Host Mode (Type-C to A) functionality - device connected to Hub, Cable connected when SUT is in Sx state</t>
  </si>
  <si>
    <t>CSS-IVE-63571</t>
  </si>
  <si>
    <t>Verify USB 2.0 devices functionality check over USB Type-C along with Sx cycles</t>
  </si>
  <si>
    <t>CSS-IVE-63568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</si>
  <si>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</si>
  <si>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</si>
  <si>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</si>
  <si>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</si>
  <si>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</si>
  <si>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CSS-IVE-101497</t>
  </si>
  <si>
    <t>Verify OS debug support using Windbg via native serial UART during SUT resume from S4,S5 state</t>
  </si>
  <si>
    <t>CSS-IVE-101504</t>
  </si>
  <si>
    <t>Verify wake from S3,S4 using USB Keyboard/Mouse with Debug mode option enabled in OS</t>
  </si>
  <si>
    <t>CSS-IVE-102433</t>
  </si>
  <si>
    <t>Verify Booting over Wi-Fi using UEFI PXEv6 Boot with 2.4 Ghz Access Point (AP)</t>
  </si>
  <si>
    <t>CSS-IVE-113978</t>
  </si>
  <si>
    <t>Verify system shuts down after reaching critical Trip point</t>
  </si>
  <si>
    <t>CSS-IVE-65446</t>
  </si>
  <si>
    <t>Legacy thermal options should get absolute when Dynamic Platform Thermal Framework is enabled on the system</t>
  </si>
  <si>
    <t>CSS-IVE-118447</t>
  </si>
  <si>
    <t>Verify Intel(R) SpeedStep(TM) support and P-state cycling</t>
  </si>
  <si>
    <t>CSS-IVE-63680</t>
  </si>
  <si>
    <t>Verify Package C-states support</t>
  </si>
  <si>
    <t>CSS-IVE-65501</t>
  </si>
  <si>
    <t>BIOS should provide option to enable or disable Serial debug messages.</t>
  </si>
  <si>
    <t>CSS-IVE-81030</t>
  </si>
  <si>
    <t>With Storage redirection disabled in MEBX, verify Storage redirection session cannot be established  through Wired LAN</t>
  </si>
  <si>
    <t>CSS-IVE-69932</t>
  </si>
  <si>
    <t>Verify local user cannot enter into MEBx to change Intel  Standard Manageability Configuration when USB-R &amp; KVM session is active</t>
  </si>
  <si>
    <t>CSS-IVE-69938</t>
  </si>
  <si>
    <t>Bios should not send End of POST (EOP) MEI message during ME Recovery/Error/Disabled state</t>
  </si>
  <si>
    <t>CSS-IVE-80344</t>
  </si>
  <si>
    <t>Verify if BIOS populates Network Device - LAN capabilities under SMBIOS table 131</t>
  </si>
  <si>
    <t>CSS-IVE-80109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</si>
  <si>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</si>
  <si>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</si>
  <si>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</si>
  <si>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</si>
  <si>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Verify if BIOS populates Intel ME CPU Capability under SMBIOS table 131</t>
  </si>
  <si>
    <t>CSS-IVE-80055</t>
  </si>
  <si>
    <t>Verify if BIOS populates Type, Length and Handle of Intel ME Platform under SMBIOS table 131</t>
  </si>
  <si>
    <t>CSS-IVE-80023</t>
  </si>
  <si>
    <t>DRAM Initialization done message should be sent by BIOS post System Transition from G3,S4 and S5 to S0 state</t>
  </si>
  <si>
    <t>CSS-IVE-145021</t>
  </si>
  <si>
    <t>Verify that the Active Management Technology (AMT) reflects correct state of Enabled or Disabled depending upon MEBX</t>
  </si>
  <si>
    <t>CSS-IVE-73228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</si>
  <si>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</si>
  <si>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</si>
  <si>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</si>
  <si>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</si>
  <si>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</si>
  <si>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</si>
  <si>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</si>
  <si>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</si>
  <si>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</si>
  <si>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</si>
  <si>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</si>
  <si>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</si>
  <si>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System stability test while performing warm reset (S5) Cycles with ongoing video playback</t>
  </si>
  <si>
    <t>CSS-IVE-80396</t>
  </si>
  <si>
    <t>System stability test while performing Hybrid Sleep cycles with ongoing video playback</t>
  </si>
  <si>
    <t>CSS-IVE-80694</t>
  </si>
  <si>
    <t>Validate Cold Reboot Cycles with Online Video Streaming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</si>
  <si>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</si>
  <si>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</si>
  <si>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</si>
  <si>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</si>
  <si>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</si>
  <si>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</si>
  <si>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</si>
  <si>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</si>
  <si>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</si>
  <si>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Verify WWAN functionality pre and post S3 cycle</t>
  </si>
  <si>
    <t>CSS-IVE-89432</t>
  </si>
  <si>
    <t>Verify WWAN functionality pre and post Disconnected Modern Standby (DMS) cycle</t>
  </si>
  <si>
    <t>CSS-IVE-89492</t>
  </si>
  <si>
    <t>Verify system attains responsiveness metrics with PTT enabled Corporate IFWI</t>
  </si>
  <si>
    <t>CSS-IVE-91102</t>
  </si>
  <si>
    <t>Verify system attains responsiveness metrics with PTT disabled Corporate IFWI with dTPM connected</t>
  </si>
  <si>
    <t>CSS-IVE-91105</t>
  </si>
  <si>
    <t>Validate Type-C USB2.0 Host Mode (Type-C to A) functionality - after S4, device connected when SUT is in S4 State</t>
  </si>
  <si>
    <t>CSS-IVE-90954</t>
  </si>
  <si>
    <t>Verify CNVi WLAN and Bluetooth functionality in OS with RF Kill switch enabled on board</t>
  </si>
  <si>
    <t>CSS-IVE-95225</t>
  </si>
  <si>
    <t>Verification of Connected Standby with AMT features enabled in BIOS</t>
  </si>
  <si>
    <t>CSS-IVE-130395</t>
  </si>
  <si>
    <t>CSS-IVE-130946</t>
  </si>
  <si>
    <t>Verify KVM session over Wired LAN after 5 Sx cycles</t>
  </si>
  <si>
    <t>CSS-IVE-131882</t>
  </si>
  <si>
    <t>With Storage redirection disabled in MEBX, verify Storage redirection session cannot be established with IMRGUI through Wired LAN</t>
  </si>
  <si>
    <t>CSS-IVE-131887</t>
  </si>
  <si>
    <t>Verify Storage Redirection session cannot be established with IMRGUI through Wireless LAN With Storage Redirection disabled in MEBX</t>
  </si>
  <si>
    <t>CSS-IVE-131891</t>
  </si>
  <si>
    <t>Verify 4K Display functionality over type-C port with PCIE tunneling enabled and disabled</t>
  </si>
  <si>
    <t>CSS-IVE-133674</t>
  </si>
  <si>
    <t>Verifying SSID and SVID updated in BIOS and OS</t>
  </si>
  <si>
    <t>Verify DP-In Cold-plug functionality with External Graphics (Internal only- iGFx)</t>
  </si>
  <si>
    <t>Verify DP-In Cold-plug functionality with External Graphics (Runtime Switch)</t>
  </si>
  <si>
    <t>Verify BIOS exposes non implemented FIVR Efficiency override knob</t>
  </si>
  <si>
    <t>CSS-IVE-129893</t>
  </si>
  <si>
    <t>Verify CMS cycle with ACPI D3 cold option enabled/disabled in BIOS</t>
  </si>
  <si>
    <t>Verify and compare the debug logs for MRC training should be succeed and &amp; MRC version should be same  with forward/backward compatibility CPU / PCH supported platform</t>
  </si>
  <si>
    <t>Verify Dual Controller Support - USB4 Hub &amp; USB4 Dock functionality after S3 cycles</t>
  </si>
  <si>
    <t>Verify Multiple TBT3 data transfer operation on hot-plug after S3 Cycle</t>
  </si>
  <si>
    <t>Verify Dual Controller Support - TBT3 Storage functionality after S3 cycles</t>
  </si>
  <si>
    <t>Verify functionality of TBT3 Dock (hot plug) before and after resume from S3 for 5 cycles</t>
  </si>
  <si>
    <t>CSS-IVE-119264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</si>
  <si>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</si>
  <si>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</si>
  <si>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</si>
  <si>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</si>
  <si>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</si>
  <si>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</si>
  <si>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</si>
  <si>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</si>
  <si>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</si>
  <si>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</si>
  <si>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</si>
  <si>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</si>
  <si>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</si>
  <si>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</si>
  <si>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</si>
  <si>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</si>
  <si>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[Negative] Verify BIOS  option to disable Serial debug messages</t>
  </si>
  <si>
    <t>Negative: Verify GT PSMI Support in BIOS</t>
  </si>
  <si>
    <t>CSS-IVE-105610</t>
  </si>
  <si>
    <t>[Negative] Verify PSMI handler memory Reservation and configuring doesn't work when PSMI size set to 0 KB</t>
  </si>
  <si>
    <t>[Negative]Verify Re-arm command  after disabling Re-arm BIOS knob</t>
  </si>
  <si>
    <t>[Negative]Verify BIOS ACPI debug messages capture when ACPI Debug BIOS option disabled</t>
  </si>
  <si>
    <t>[Negative] Verify Platform supports SoC crash by disabling crash log BIOS option</t>
  </si>
  <si>
    <t>CSS-IVE-100152</t>
  </si>
  <si>
    <t>Verify CrashLog Clear Enable Bios option disabled by default</t>
  </si>
  <si>
    <t>CSS-IVE-133794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</si>
  <si>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</si>
  <si>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</si>
  <si>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</si>
  <si>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Platform Flavor for  SBGA Platforms</t>
  </si>
  <si>
    <t>board</t>
  </si>
  <si>
    <t>Verify RTIT(Run Time Instruction Trace) feature for Processor Trace BIOS option disabled</t>
  </si>
  <si>
    <t>Verify SUT does not wake from S3 on Scan matrix key press does once its disabled for BIOS</t>
  </si>
  <si>
    <t>HSD Fail:16016460340: [RPL-S HX][B0 Silicon- PO][Human input] Sporadically observed abnormal behavior in the Scan Matrix keyboard.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</si>
  <si>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</si>
  <si>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</si>
  <si>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</si>
  <si>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</si>
  <si>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</si>
  <si>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</si>
  <si>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</si>
  <si>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</si>
  <si>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</si>
  <si>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</si>
  <si>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</si>
  <si>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</si>
  <si>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</si>
  <si>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</si>
  <si>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</si>
  <si>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</si>
  <si>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</si>
  <si>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</si>
  <si>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</si>
  <si>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</si>
  <si>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</si>
  <si>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</si>
  <si>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Verify Type-C multi port functionality - PR Swap, USB3.2 and TBT-Display after G3 and reboot state</t>
  </si>
  <si>
    <t>CSS-IVE-113769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</si>
  <si>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</si>
  <si>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</si>
  <si>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</si>
  <si>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</si>
  <si>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</si>
  <si>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</si>
  <si>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Validate Type-C USB3.2 Gen1x1, Gen 2x1 functionality with multiple data transfer</t>
  </si>
  <si>
    <t>CSS-IVE-113791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</si>
  <si>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</si>
  <si>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</si>
  <si>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</si>
  <si>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</si>
  <si>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</si>
  <si>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</si>
  <si>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Verify functionality of TBT3 Dock (hot plug) before and after resume from S4,S5 for 5 cycles</t>
  </si>
  <si>
    <t>Verify TCSS FW version are updated in FVI table</t>
  </si>
  <si>
    <t>CSS-IVE-119266</t>
  </si>
  <si>
    <t>Verify DP-In Cold-plug functionality with External Graphics after S5 cycle</t>
  </si>
  <si>
    <t>CSS-IVE-118046</t>
  </si>
  <si>
    <t>Verify DP-In Cold-plug functionality with External Graphics after S3 states</t>
  </si>
  <si>
    <t>CSS-IVE-120099</t>
  </si>
  <si>
    <t>Verify DP-In Cold-plug functionality with External Graphics after S4 Cycle</t>
  </si>
  <si>
    <t>CSS-IVE-120100</t>
  </si>
  <si>
    <t>Verify Type-C multi port functionality - Provider, HDMI and USB Camera</t>
  </si>
  <si>
    <t>CSS-IVE-95262</t>
  </si>
  <si>
    <t>Verify Type-C multi port functionality - Provider, HDMI and USB Camera after Sx and reboot cycle</t>
  </si>
  <si>
    <t>CSS-IVE-95263</t>
  </si>
  <si>
    <t>Verify Type-C multi port functionality - Provider, HDMI and USB Camera after Deep Sx cycle</t>
  </si>
  <si>
    <t>CSS-IVE-95264</t>
  </si>
  <si>
    <t>Verify Type-C multi port functionality - Provider, HDMI and USB Camera after Connected MOS state</t>
  </si>
  <si>
    <t>CSS-IVE-95265</t>
  </si>
  <si>
    <t>Verify Type-C multi port functionality - Type-C dock, Provider, TBT eGFX</t>
  </si>
  <si>
    <t>CSS-IVE-95272</t>
  </si>
  <si>
    <t>Verify Type-C multi port functionality - Type-C dock, Provider, TBT eGFX after Sx and reboot cycles</t>
  </si>
  <si>
    <t>CSS-IVE-95273</t>
  </si>
  <si>
    <t>Verify DP-In Cold-plug functionality with External Graphics after S0i3 cycle</t>
  </si>
  <si>
    <t>CSS-IVE-120101</t>
  </si>
  <si>
    <t>Verify that Storage OROM, Network OROM, driver displays correct handle in BIOS shell(UEFI), when UEFI Option is selected</t>
  </si>
  <si>
    <t>CSS-IVE-51251</t>
  </si>
  <si>
    <t>3SDC2</t>
  </si>
  <si>
    <t>Verifying Brightness levels for eDP,HDMI,DP displays in Triclone mode</t>
  </si>
  <si>
    <t>CSS-IVE-52736</t>
  </si>
  <si>
    <t>Verify Discrete Bluetooth module functionality after S3 and S4 wake</t>
  </si>
  <si>
    <t>CSS-IVE-53877</t>
  </si>
  <si>
    <t>connectivity.bluetooth</t>
  </si>
  <si>
    <t>Verify audio playback post Sleep cycling in AC mode</t>
  </si>
  <si>
    <t>CSS-IVE-53890</t>
  </si>
  <si>
    <t>Verify system stability post Warm and Cold reset cycles from EFI shell</t>
  </si>
  <si>
    <t>CSS-IVE-54317</t>
  </si>
  <si>
    <t>Verify CPU Flex Ratio Override setup option</t>
  </si>
  <si>
    <t>CSS-IVE-71156</t>
  </si>
  <si>
    <t>Verify Bluetooth power management profile for DT SKU through ACPI table</t>
  </si>
  <si>
    <t>CSS-IVE-79891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</si>
  <si>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</si>
  <si>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</si>
  <si>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</si>
  <si>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</si>
  <si>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Discrete Wi-Fi Functionality with CNVi option Enabled in BIOS</t>
  </si>
  <si>
    <t>CSS-IVE-101552</t>
  </si>
  <si>
    <t>BIOS shall send the DRAM_INIT_DONE message &amp; complete GFX initialization before getting the boot options</t>
  </si>
  <si>
    <t>CSS-IVE-102063</t>
  </si>
  <si>
    <t>Verify system stability on performing Deep S5 cycling with fast startup option enabled/disabled in OS with system in AC mode</t>
  </si>
  <si>
    <t>CSS-IVE-108419</t>
  </si>
  <si>
    <t>Verify Discrete Wi-Fi functional test pre and post warm reset cycle</t>
  </si>
  <si>
    <t>CSS-IVE-135470</t>
  </si>
  <si>
    <t>Verify Discrete Bluetooth device function test on OS pre and post Warm reset cycle</t>
  </si>
  <si>
    <t>CSS-IVE-135490</t>
  </si>
  <si>
    <t>Verify whether GOP Init completes in less than threshold limit with Consumer IFWI</t>
  </si>
  <si>
    <t>CSS-IVE-92714</t>
  </si>
  <si>
    <t>Verify  SUT boot with DDR4_SODIMM_2DPC_memory configuration at 3200 MHz</t>
  </si>
  <si>
    <t>CSS-IVE-113722</t>
  </si>
  <si>
    <t>Verify that MRC training  in LPDDR4x at1600/LPDDR5  with Gear 1 (2R/1R)</t>
  </si>
  <si>
    <t>CSS-IVE-138223</t>
  </si>
  <si>
    <t>Verify that system resumes after S3/S4 states in Hybrid Graphics (HG) mode with eDP display connected in SUT</t>
  </si>
  <si>
    <t>CSS-IVE-62444</t>
  </si>
  <si>
    <t>Validate system stability, S3, S4 and cold boot with 3D benchmark tool with Hybrid Gfx mode on PCIE-X4 slot</t>
  </si>
  <si>
    <t>CSS-IVE-80935</t>
  </si>
  <si>
    <t>Verify Audio recording and playback over 3.5mm-Jack-Headset (via Soundwire), pre and post S3 cycle</t>
  </si>
  <si>
    <t>CSS-IVE-114676</t>
  </si>
  <si>
    <t>Verify Hybrid Gfx resume over PCIe x16 PEG slot, pre and post warm/cold reset cycles</t>
  </si>
  <si>
    <t>CSS-IVE-140340</t>
  </si>
  <si>
    <t>Verify Gen4 HG basic functionality on x16 PEG slot pre and post S4 and S5 cycles</t>
  </si>
  <si>
    <t>CSS-IVE-145196</t>
  </si>
  <si>
    <t>Verify BT power state control through S0W or PR3 method</t>
  </si>
  <si>
    <t>CSS-IVE-79890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</si>
  <si>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</si>
  <si>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</si>
  <si>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</si>
  <si>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</si>
  <si>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Discrete Wi-Fi functional test in OS pre and post S4 , S5 , warm and cold reboot cycles</t>
  </si>
  <si>
    <t>CSS-IVE-145050</t>
  </si>
  <si>
    <t>Verify Audio recording and playback over 3.5mm-Jack-Headset (via Soundwire), pre and post S4, S5, warm and cold reset cycles</t>
  </si>
  <si>
    <t>CSS-IVE-145187</t>
  </si>
  <si>
    <t>Verify Discrete BT functionality after idle and sleep states</t>
  </si>
  <si>
    <t>CSS-IVE-62169</t>
  </si>
  <si>
    <t>Verify Discrete Wi-Fi functional test post S3 cycle</t>
  </si>
  <si>
    <t>CSS-IVE-77306</t>
  </si>
  <si>
    <t>Negative: Verify DMIC basic functionality test over Soundwire Audio Codec</t>
  </si>
  <si>
    <t>CSS-IVE-145663</t>
  </si>
  <si>
    <t>Negative: Verify Audio Playback using 3.5mm-Jack-Headset over Soundwire Codec</t>
  </si>
  <si>
    <t>Verify Discrete Wi-Fi detection and functionality</t>
  </si>
  <si>
    <t>CSS-IVE-50988</t>
  </si>
  <si>
    <t>Block</t>
  </si>
  <si>
    <t>Inventory Block :Smart phone is not available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</si>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</sst>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7"/>
  <sheetViews>
    <sheetView tabSelected="1" topLeftCell="A714" workbookViewId="0">
      <selection activeCell="B1" sqref="B1:B1048576"/>
    </sheetView>
  </sheetViews>
  <sheetFormatPr defaultRowHeight="14.4" x14ac:dyDescent="0.3"/>
  <cols>
    <col min="1" max="1" width="12" bestFit="1" customWidth="1"/>
    <col min="2" max="2" width="113.109375" customWidth="1"/>
    <col min="3" max="3" width="14" bestFit="1" customWidth="1"/>
    <col min="6" max="6" width="6.21875" bestFit="1" customWidth="1"/>
    <col min="7" max="7" width="21.5546875" bestFit="1" customWidth="1"/>
    <col min="8" max="8" width="31.6640625" bestFit="1" customWidth="1"/>
    <col min="9" max="9" width="35.5546875" bestFit="1" customWidth="1"/>
    <col min="10" max="10" width="14.109375" bestFit="1" customWidth="1"/>
  </cols>
  <sheetData>
    <row r="1" spans="1:10" x14ac:dyDescent="0.3">
      <c r="A1" s="1" t="s">
        <v>1483</v>
      </c>
      <c r="B1" s="1" t="s">
        <v>1484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2" t="str">
        <f>HYPERLINK("https://hsdes.intel.com/resource/14013114695","14013114695")</f>
        <v>14013114695</v>
      </c>
      <c r="B2" s="2" t="s">
        <v>8</v>
      </c>
      <c r="C2" s="2" t="s">
        <v>9</v>
      </c>
      <c r="D2" s="5" t="s">
        <v>526</v>
      </c>
      <c r="E2" s="2"/>
      <c r="F2" s="3" t="s">
        <v>10</v>
      </c>
      <c r="G2" s="2" t="s">
        <v>11</v>
      </c>
      <c r="H2" s="2" t="s">
        <v>12</v>
      </c>
      <c r="I2" s="2" t="s">
        <v>13</v>
      </c>
      <c r="J2" s="2" t="s">
        <v>14</v>
      </c>
    </row>
    <row r="3" spans="1:10" x14ac:dyDescent="0.3">
      <c r="A3" s="2" t="str">
        <f>HYPERLINK("https://hsdes.intel.com/resource/14013114842","14013114842")</f>
        <v>14013114842</v>
      </c>
      <c r="B3" s="2" t="s">
        <v>15</v>
      </c>
      <c r="C3" s="2" t="s">
        <v>16</v>
      </c>
      <c r="D3" s="5" t="s">
        <v>526</v>
      </c>
      <c r="E3" s="2"/>
      <c r="F3" s="3" t="s">
        <v>10</v>
      </c>
      <c r="G3" s="2" t="s">
        <v>11</v>
      </c>
      <c r="H3" s="2" t="s">
        <v>17</v>
      </c>
      <c r="I3" s="2" t="s">
        <v>18</v>
      </c>
      <c r="J3" s="2" t="s">
        <v>14</v>
      </c>
    </row>
    <row r="4" spans="1:10" x14ac:dyDescent="0.3">
      <c r="A4" s="2" t="str">
        <f>HYPERLINK("https://hsdes.intel.com/resource/14013114906","14013114906")</f>
        <v>14013114906</v>
      </c>
      <c r="B4" s="2" t="s">
        <v>19</v>
      </c>
      <c r="C4" s="2" t="s">
        <v>20</v>
      </c>
      <c r="D4" s="5" t="s">
        <v>526</v>
      </c>
      <c r="E4" s="2"/>
      <c r="F4" s="3" t="s">
        <v>10</v>
      </c>
      <c r="G4" s="2" t="s">
        <v>11</v>
      </c>
      <c r="H4" s="2" t="s">
        <v>12</v>
      </c>
      <c r="I4" s="2" t="s">
        <v>13</v>
      </c>
      <c r="J4" s="2" t="s">
        <v>14</v>
      </c>
    </row>
    <row r="5" spans="1:10" x14ac:dyDescent="0.3">
      <c r="A5" s="2" t="str">
        <f>HYPERLINK("https://hsdes.intel.com/resource/14013115234","14013115234")</f>
        <v>14013115234</v>
      </c>
      <c r="B5" s="2" t="s">
        <v>21</v>
      </c>
      <c r="C5" s="2" t="s">
        <v>22</v>
      </c>
      <c r="D5" s="5" t="s">
        <v>526</v>
      </c>
      <c r="E5" s="2"/>
      <c r="F5" s="3" t="s">
        <v>10</v>
      </c>
      <c r="G5" s="2" t="s">
        <v>11</v>
      </c>
      <c r="H5" s="2" t="s">
        <v>17</v>
      </c>
      <c r="I5" s="2" t="s">
        <v>18</v>
      </c>
      <c r="J5" s="2" t="s">
        <v>14</v>
      </c>
    </row>
    <row r="6" spans="1:10" x14ac:dyDescent="0.3">
      <c r="A6" s="2" t="str">
        <f>HYPERLINK("https://hsdes.intel.com/resource/14013115275","14013115275")</f>
        <v>14013115275</v>
      </c>
      <c r="B6" s="2" t="s">
        <v>23</v>
      </c>
      <c r="C6" s="2" t="s">
        <v>24</v>
      </c>
      <c r="D6" s="5" t="s">
        <v>526</v>
      </c>
      <c r="E6" s="2"/>
      <c r="F6" s="3" t="s">
        <v>10</v>
      </c>
      <c r="G6" s="2" t="s">
        <v>11</v>
      </c>
      <c r="H6" s="2" t="s">
        <v>25</v>
      </c>
      <c r="I6" s="2" t="s">
        <v>26</v>
      </c>
      <c r="J6" s="2" t="s">
        <v>27</v>
      </c>
    </row>
    <row r="7" spans="1:10" x14ac:dyDescent="0.3">
      <c r="A7" s="2" t="str">
        <f>HYPERLINK("https://hsdes.intel.com/resource/14013115314","14013115314")</f>
        <v>14013115314</v>
      </c>
      <c r="B7" s="2" t="s">
        <v>28</v>
      </c>
      <c r="C7" s="2" t="s">
        <v>29</v>
      </c>
      <c r="D7" s="5" t="s">
        <v>526</v>
      </c>
      <c r="E7" s="2"/>
      <c r="F7" s="3" t="s">
        <v>10</v>
      </c>
      <c r="G7" s="2" t="s">
        <v>11</v>
      </c>
      <c r="H7" s="2" t="s">
        <v>30</v>
      </c>
      <c r="I7" s="2" t="s">
        <v>31</v>
      </c>
      <c r="J7" s="2" t="s">
        <v>32</v>
      </c>
    </row>
    <row r="8" spans="1:10" x14ac:dyDescent="0.3">
      <c r="A8" s="2" t="str">
        <f>HYPERLINK("https://hsdes.intel.com/resource/14013117106","14013117106")</f>
        <v>14013117106</v>
      </c>
      <c r="B8" s="2" t="s">
        <v>33</v>
      </c>
      <c r="C8" s="2" t="s">
        <v>34</v>
      </c>
      <c r="D8" s="5" t="s">
        <v>526</v>
      </c>
      <c r="E8" s="2"/>
      <c r="F8" s="3" t="s">
        <v>10</v>
      </c>
      <c r="G8" s="2" t="s">
        <v>11</v>
      </c>
      <c r="H8" s="2" t="s">
        <v>25</v>
      </c>
      <c r="I8" s="2" t="s">
        <v>26</v>
      </c>
      <c r="J8" s="2" t="s">
        <v>14</v>
      </c>
    </row>
    <row r="9" spans="1:10" x14ac:dyDescent="0.3">
      <c r="A9" s="2" t="str">
        <f>HYPERLINK("https://hsdes.intel.com/resource/14013117134","14013117134")</f>
        <v>14013117134</v>
      </c>
      <c r="B9" s="2" t="s">
        <v>35</v>
      </c>
      <c r="C9" s="2" t="s">
        <v>36</v>
      </c>
      <c r="D9" s="5" t="s">
        <v>526</v>
      </c>
      <c r="E9" s="2"/>
      <c r="F9" s="3" t="s">
        <v>10</v>
      </c>
      <c r="G9" s="2" t="s">
        <v>11</v>
      </c>
      <c r="H9" s="2" t="s">
        <v>25</v>
      </c>
      <c r="I9" s="2" t="s">
        <v>26</v>
      </c>
      <c r="J9" s="2" t="s">
        <v>27</v>
      </c>
    </row>
    <row r="10" spans="1:10" x14ac:dyDescent="0.3">
      <c r="A10" s="2" t="str">
        <f>HYPERLINK("https://hsdes.intel.com/resource/14013118179","14013118179")</f>
        <v>14013118179</v>
      </c>
      <c r="B10" s="2" t="s">
        <v>37</v>
      </c>
      <c r="C10" s="2" t="s">
        <v>38</v>
      </c>
      <c r="D10" s="5" t="s">
        <v>526</v>
      </c>
      <c r="E10" s="2"/>
      <c r="F10" s="3" t="s">
        <v>10</v>
      </c>
      <c r="G10" s="2" t="s">
        <v>39</v>
      </c>
      <c r="H10" s="2" t="s">
        <v>40</v>
      </c>
      <c r="I10" s="2" t="s">
        <v>41</v>
      </c>
      <c r="J10" s="2" t="s">
        <v>27</v>
      </c>
    </row>
    <row r="11" spans="1:10" x14ac:dyDescent="0.3">
      <c r="A11" s="2" t="str">
        <f>HYPERLINK("https://hsdes.intel.com/resource/14013119085","14013119085")</f>
        <v>14013119085</v>
      </c>
      <c r="B11" s="2" t="s">
        <v>42</v>
      </c>
      <c r="C11" s="2" t="s">
        <v>43</v>
      </c>
      <c r="D11" s="5" t="s">
        <v>526</v>
      </c>
      <c r="E11" s="2"/>
      <c r="F11" s="3" t="s">
        <v>10</v>
      </c>
      <c r="G11" s="2" t="s">
        <v>11</v>
      </c>
      <c r="H11" s="2" t="s">
        <v>30</v>
      </c>
      <c r="I11" s="2" t="s">
        <v>31</v>
      </c>
      <c r="J11" s="2" t="s">
        <v>32</v>
      </c>
    </row>
    <row r="12" spans="1:10" x14ac:dyDescent="0.3">
      <c r="A12" s="2" t="str">
        <f>HYPERLINK("https://hsdes.intel.com/resource/14013119169","14013119169")</f>
        <v>14013119169</v>
      </c>
      <c r="B12" s="2" t="s">
        <v>44</v>
      </c>
      <c r="C12" s="2" t="s">
        <v>45</v>
      </c>
      <c r="D12" s="5" t="s">
        <v>526</v>
      </c>
      <c r="E12" s="2"/>
      <c r="F12" s="3" t="s">
        <v>10</v>
      </c>
      <c r="G12" s="2" t="s">
        <v>11</v>
      </c>
      <c r="H12" s="2" t="s">
        <v>30</v>
      </c>
      <c r="I12" s="2" t="s">
        <v>31</v>
      </c>
      <c r="J12" s="2" t="s">
        <v>32</v>
      </c>
    </row>
    <row r="13" spans="1:10" x14ac:dyDescent="0.3">
      <c r="A13" s="2" t="str">
        <f>HYPERLINK("https://hsdes.intel.com/resource/14013119299","14013119299")</f>
        <v>14013119299</v>
      </c>
      <c r="B13" s="2" t="s">
        <v>46</v>
      </c>
      <c r="C13" s="2" t="s">
        <v>47</v>
      </c>
      <c r="D13" s="7" t="s">
        <v>369</v>
      </c>
      <c r="E13" s="2" t="s">
        <v>48</v>
      </c>
      <c r="F13" s="3" t="s">
        <v>10</v>
      </c>
      <c r="G13" s="2" t="s">
        <v>11</v>
      </c>
      <c r="H13" s="2" t="s">
        <v>49</v>
      </c>
      <c r="I13" s="2" t="s">
        <v>50</v>
      </c>
      <c r="J13" s="2" t="s">
        <v>14</v>
      </c>
    </row>
    <row r="14" spans="1:10" x14ac:dyDescent="0.3">
      <c r="A14" s="2" t="str">
        <f>HYPERLINK("https://hsdes.intel.com/resource/14013119442","14013119442")</f>
        <v>14013119442</v>
      </c>
      <c r="B14" s="2" t="s">
        <v>51</v>
      </c>
      <c r="C14" s="2" t="s">
        <v>52</v>
      </c>
      <c r="D14" s="5" t="s">
        <v>526</v>
      </c>
      <c r="E14" s="2"/>
      <c r="F14" s="3" t="s">
        <v>10</v>
      </c>
      <c r="G14" s="2" t="s">
        <v>11</v>
      </c>
      <c r="H14" s="2" t="s">
        <v>53</v>
      </c>
      <c r="I14" s="2" t="s">
        <v>54</v>
      </c>
      <c r="J14" s="2" t="s">
        <v>14</v>
      </c>
    </row>
    <row r="15" spans="1:10" x14ac:dyDescent="0.3">
      <c r="A15" s="2" t="str">
        <f>HYPERLINK("https://hsdes.intel.com/resource/14013119607","14013119607")</f>
        <v>14013119607</v>
      </c>
      <c r="B15" s="2" t="s">
        <v>55</v>
      </c>
      <c r="C15" s="2" t="s">
        <v>56</v>
      </c>
      <c r="D15" s="5" t="s">
        <v>526</v>
      </c>
      <c r="E15" s="2"/>
      <c r="F15" s="3" t="s">
        <v>10</v>
      </c>
      <c r="G15" s="2" t="s">
        <v>11</v>
      </c>
      <c r="H15" s="2" t="s">
        <v>30</v>
      </c>
      <c r="I15" s="2" t="s">
        <v>31</v>
      </c>
      <c r="J15" s="2" t="s">
        <v>32</v>
      </c>
    </row>
    <row r="16" spans="1:10" x14ac:dyDescent="0.3">
      <c r="A16" s="2" t="str">
        <f>HYPERLINK("https://hsdes.intel.com/resource/14013119649","14013119649")</f>
        <v>14013119649</v>
      </c>
      <c r="B16" s="2" t="s">
        <v>57</v>
      </c>
      <c r="C16" s="2" t="s">
        <v>58</v>
      </c>
      <c r="D16" s="5" t="s">
        <v>526</v>
      </c>
      <c r="E16" s="2"/>
      <c r="F16" s="3" t="s">
        <v>10</v>
      </c>
      <c r="G16" s="2" t="s">
        <v>11</v>
      </c>
      <c r="H16" s="2" t="s">
        <v>30</v>
      </c>
      <c r="I16" s="2" t="s">
        <v>31</v>
      </c>
      <c r="J16" s="2" t="s">
        <v>32</v>
      </c>
    </row>
    <row r="17" spans="1:10" x14ac:dyDescent="0.3">
      <c r="A17" s="2" t="str">
        <f>HYPERLINK("https://hsdes.intel.com/resource/14013120106","14013120106")</f>
        <v>14013120106</v>
      </c>
      <c r="B17" s="2" t="s">
        <v>57</v>
      </c>
      <c r="C17" s="2" t="s">
        <v>59</v>
      </c>
      <c r="D17" s="5" t="s">
        <v>526</v>
      </c>
      <c r="E17" s="2"/>
      <c r="F17" s="3" t="s">
        <v>10</v>
      </c>
      <c r="G17" s="2" t="s">
        <v>11</v>
      </c>
      <c r="H17" s="2" t="s">
        <v>60</v>
      </c>
      <c r="I17" s="2" t="s">
        <v>50</v>
      </c>
      <c r="J17" s="2" t="s">
        <v>14</v>
      </c>
    </row>
    <row r="18" spans="1:10" x14ac:dyDescent="0.3">
      <c r="A18" s="2" t="str">
        <f>HYPERLINK("https://hsdes.intel.com/resource/14013120118","14013120118")</f>
        <v>14013120118</v>
      </c>
      <c r="B18" s="2" t="s">
        <v>61</v>
      </c>
      <c r="C18" s="2" t="s">
        <v>62</v>
      </c>
      <c r="D18" s="5" t="s">
        <v>526</v>
      </c>
      <c r="E18" s="2"/>
      <c r="F18" s="3" t="s">
        <v>10</v>
      </c>
      <c r="G18" s="2" t="s">
        <v>11</v>
      </c>
      <c r="H18" s="2" t="s">
        <v>60</v>
      </c>
      <c r="I18" s="2" t="s">
        <v>50</v>
      </c>
      <c r="J18" s="2" t="s">
        <v>14</v>
      </c>
    </row>
    <row r="19" spans="1:10" x14ac:dyDescent="0.3">
      <c r="A19" s="2" t="str">
        <f>HYPERLINK("https://hsdes.intel.com/resource/14013120401","14013120401")</f>
        <v>14013120401</v>
      </c>
      <c r="B19" s="2" t="s">
        <v>63</v>
      </c>
      <c r="C19" s="2" t="s">
        <v>64</v>
      </c>
      <c r="D19" s="5" t="s">
        <v>526</v>
      </c>
      <c r="E19" s="2"/>
      <c r="F19" s="3" t="s">
        <v>10</v>
      </c>
      <c r="G19" s="2" t="s">
        <v>39</v>
      </c>
      <c r="H19" s="2" t="s">
        <v>65</v>
      </c>
      <c r="I19" s="2" t="s">
        <v>41</v>
      </c>
      <c r="J19" s="2" t="s">
        <v>27</v>
      </c>
    </row>
    <row r="20" spans="1:10" x14ac:dyDescent="0.3">
      <c r="A20" s="2" t="str">
        <f>HYPERLINK("https://hsdes.intel.com/resource/14013120427","14013120427")</f>
        <v>14013120427</v>
      </c>
      <c r="B20" s="2" t="s">
        <v>66</v>
      </c>
      <c r="C20" s="2" t="s">
        <v>67</v>
      </c>
      <c r="D20" s="5" t="s">
        <v>526</v>
      </c>
      <c r="E20" s="2"/>
      <c r="F20" s="3" t="s">
        <v>10</v>
      </c>
      <c r="G20" s="2" t="s">
        <v>39</v>
      </c>
      <c r="H20" s="2" t="s">
        <v>68</v>
      </c>
      <c r="I20" s="2" t="s">
        <v>41</v>
      </c>
      <c r="J20" s="2" t="s">
        <v>14</v>
      </c>
    </row>
    <row r="21" spans="1:10" x14ac:dyDescent="0.3">
      <c r="A21" s="2" t="str">
        <f>HYPERLINK("https://hsdes.intel.com/resource/14013120738","14013120738")</f>
        <v>14013120738</v>
      </c>
      <c r="B21" s="2" t="s">
        <v>69</v>
      </c>
      <c r="C21" s="2" t="s">
        <v>70</v>
      </c>
      <c r="D21" s="5" t="s">
        <v>526</v>
      </c>
      <c r="E21" s="2"/>
      <c r="F21" s="3" t="s">
        <v>10</v>
      </c>
      <c r="G21" s="2" t="s">
        <v>11</v>
      </c>
      <c r="H21" s="2" t="s">
        <v>71</v>
      </c>
      <c r="I21" s="2" t="s">
        <v>18</v>
      </c>
      <c r="J21" s="2" t="s">
        <v>14</v>
      </c>
    </row>
    <row r="22" spans="1:10" x14ac:dyDescent="0.3">
      <c r="A22" s="2" t="str">
        <f>HYPERLINK("https://hsdes.intel.com/resource/14013120780","14013120780")</f>
        <v>14013120780</v>
      </c>
      <c r="B22" s="2" t="s">
        <v>72</v>
      </c>
      <c r="C22" s="2" t="s">
        <v>73</v>
      </c>
      <c r="D22" s="5" t="s">
        <v>526</v>
      </c>
      <c r="E22" s="2"/>
      <c r="F22" s="3" t="s">
        <v>10</v>
      </c>
      <c r="G22" s="2" t="s">
        <v>11</v>
      </c>
      <c r="H22" s="2" t="s">
        <v>71</v>
      </c>
      <c r="I22" s="2" t="s">
        <v>74</v>
      </c>
      <c r="J22" s="2" t="s">
        <v>32</v>
      </c>
    </row>
    <row r="23" spans="1:10" x14ac:dyDescent="0.3">
      <c r="A23" s="2" t="str">
        <f>HYPERLINK("https://hsdes.intel.com/resource/14013120896","14013120896")</f>
        <v>14013120896</v>
      </c>
      <c r="B23" s="2" t="s">
        <v>75</v>
      </c>
      <c r="C23" s="2" t="s">
        <v>76</v>
      </c>
      <c r="D23" s="5" t="s">
        <v>526</v>
      </c>
      <c r="E23" s="2"/>
      <c r="F23" s="3" t="s">
        <v>10</v>
      </c>
      <c r="G23" s="2" t="s">
        <v>11</v>
      </c>
      <c r="H23" s="2" t="s">
        <v>30</v>
      </c>
      <c r="I23" s="2" t="s">
        <v>31</v>
      </c>
      <c r="J23" s="2" t="s">
        <v>32</v>
      </c>
    </row>
    <row r="24" spans="1:10" x14ac:dyDescent="0.3">
      <c r="A24" s="2" t="str">
        <f>HYPERLINK("https://hsdes.intel.com/resource/14013120901","14013120901")</f>
        <v>14013120901</v>
      </c>
      <c r="B24" s="2" t="s">
        <v>77</v>
      </c>
      <c r="C24" s="2" t="s">
        <v>78</v>
      </c>
      <c r="D24" s="5" t="s">
        <v>526</v>
      </c>
      <c r="E24" s="2"/>
      <c r="F24" s="3" t="s">
        <v>10</v>
      </c>
      <c r="G24" s="2" t="s">
        <v>11</v>
      </c>
      <c r="H24" s="2" t="s">
        <v>30</v>
      </c>
      <c r="I24" s="2" t="s">
        <v>31</v>
      </c>
      <c r="J24" s="2" t="s">
        <v>32</v>
      </c>
    </row>
    <row r="25" spans="1:10" x14ac:dyDescent="0.3">
      <c r="A25" s="2" t="str">
        <f>HYPERLINK("https://hsdes.intel.com/resource/14013120907","14013120907")</f>
        <v>14013120907</v>
      </c>
      <c r="B25" s="2" t="s">
        <v>79</v>
      </c>
      <c r="C25" s="2" t="s">
        <v>80</v>
      </c>
      <c r="D25" s="5" t="s">
        <v>526</v>
      </c>
      <c r="E25" s="2"/>
      <c r="F25" s="3" t="s">
        <v>10</v>
      </c>
      <c r="G25" s="2" t="s">
        <v>11</v>
      </c>
      <c r="H25" s="2" t="s">
        <v>30</v>
      </c>
      <c r="I25" s="2" t="s">
        <v>31</v>
      </c>
      <c r="J25" s="2" t="s">
        <v>32</v>
      </c>
    </row>
    <row r="26" spans="1:10" x14ac:dyDescent="0.3">
      <c r="A26" s="2" t="str">
        <f>HYPERLINK("https://hsdes.intel.com/resource/14013120914","14013120914")</f>
        <v>14013120914</v>
      </c>
      <c r="B26" s="2" t="s">
        <v>81</v>
      </c>
      <c r="C26" s="2" t="s">
        <v>82</v>
      </c>
      <c r="D26" s="5" t="s">
        <v>526</v>
      </c>
      <c r="E26" s="2"/>
      <c r="F26" s="3" t="s">
        <v>10</v>
      </c>
      <c r="G26" s="2" t="s">
        <v>11</v>
      </c>
      <c r="H26" s="2" t="s">
        <v>30</v>
      </c>
      <c r="I26" s="2" t="s">
        <v>31</v>
      </c>
      <c r="J26" s="2" t="s">
        <v>32</v>
      </c>
    </row>
    <row r="27" spans="1:10" x14ac:dyDescent="0.3">
      <c r="A27" s="2" t="str">
        <f>HYPERLINK("https://hsdes.intel.com/resource/14013120930","14013120930")</f>
        <v>14013120930</v>
      </c>
      <c r="B27" s="2" t="s">
        <v>83</v>
      </c>
      <c r="C27" s="2" t="s">
        <v>84</v>
      </c>
      <c r="D27" s="5" t="s">
        <v>526</v>
      </c>
      <c r="E27" s="2"/>
      <c r="F27" s="3" t="s">
        <v>10</v>
      </c>
      <c r="G27" s="2" t="s">
        <v>11</v>
      </c>
      <c r="H27" s="2" t="s">
        <v>85</v>
      </c>
      <c r="I27" s="2" t="s">
        <v>86</v>
      </c>
      <c r="J27" s="2" t="s">
        <v>27</v>
      </c>
    </row>
    <row r="28" spans="1:10" x14ac:dyDescent="0.3">
      <c r="A28" s="2" t="str">
        <f>HYPERLINK("https://hsdes.intel.com/resource/14013120937","14013120937")</f>
        <v>14013120937</v>
      </c>
      <c r="B28" s="2" t="s">
        <v>87</v>
      </c>
      <c r="C28" s="2" t="s">
        <v>88</v>
      </c>
      <c r="D28" s="5" t="s">
        <v>526</v>
      </c>
      <c r="E28" s="2"/>
      <c r="F28" s="3" t="s">
        <v>10</v>
      </c>
      <c r="G28" s="2" t="s">
        <v>39</v>
      </c>
      <c r="H28" s="2" t="s">
        <v>65</v>
      </c>
      <c r="I28" s="2" t="s">
        <v>41</v>
      </c>
      <c r="J28" s="2" t="s">
        <v>14</v>
      </c>
    </row>
    <row r="29" spans="1:10" x14ac:dyDescent="0.3">
      <c r="A29" s="2" t="str">
        <f>HYPERLINK("https://hsdes.intel.com/resource/14013121204","14013121204")</f>
        <v>14013121204</v>
      </c>
      <c r="B29" s="2" t="s">
        <v>89</v>
      </c>
      <c r="C29" s="2" t="s">
        <v>90</v>
      </c>
      <c r="D29" s="5" t="s">
        <v>526</v>
      </c>
      <c r="E29" s="2"/>
      <c r="F29" s="3" t="s">
        <v>10</v>
      </c>
      <c r="G29" s="2" t="s">
        <v>11</v>
      </c>
      <c r="H29" s="2" t="s">
        <v>12</v>
      </c>
      <c r="I29" s="2" t="s">
        <v>13</v>
      </c>
      <c r="J29" s="2" t="s">
        <v>27</v>
      </c>
    </row>
    <row r="30" spans="1:10" x14ac:dyDescent="0.3">
      <c r="A30" s="2" t="str">
        <f>HYPERLINK("https://hsdes.intel.com/resource/14013121214","14013121214")</f>
        <v>14013121214</v>
      </c>
      <c r="B30" s="2" t="s">
        <v>91</v>
      </c>
      <c r="C30" s="2" t="s">
        <v>92</v>
      </c>
      <c r="D30" s="5" t="s">
        <v>526</v>
      </c>
      <c r="E30" s="2"/>
      <c r="F30" s="3" t="s">
        <v>10</v>
      </c>
      <c r="G30" s="2" t="s">
        <v>11</v>
      </c>
      <c r="H30" s="2" t="s">
        <v>12</v>
      </c>
      <c r="I30" s="2" t="s">
        <v>13</v>
      </c>
      <c r="J30" s="2" t="s">
        <v>14</v>
      </c>
    </row>
    <row r="31" spans="1:10" x14ac:dyDescent="0.3">
      <c r="A31" s="2" t="str">
        <f>HYPERLINK("https://hsdes.intel.com/resource/14013121224","14013121224")</f>
        <v>14013121224</v>
      </c>
      <c r="B31" s="2" t="s">
        <v>93</v>
      </c>
      <c r="C31" s="2" t="s">
        <v>94</v>
      </c>
      <c r="D31" s="5" t="s">
        <v>526</v>
      </c>
      <c r="E31" s="2"/>
      <c r="F31" s="3" t="s">
        <v>10</v>
      </c>
      <c r="G31" s="2" t="s">
        <v>11</v>
      </c>
      <c r="H31" s="2" t="s">
        <v>12</v>
      </c>
      <c r="I31" s="2" t="s">
        <v>13</v>
      </c>
      <c r="J31" s="2" t="s">
        <v>27</v>
      </c>
    </row>
    <row r="32" spans="1:10" x14ac:dyDescent="0.3">
      <c r="A32" s="2" t="str">
        <f>HYPERLINK("https://hsdes.intel.com/resource/14013121230","14013121230")</f>
        <v>14013121230</v>
      </c>
      <c r="B32" s="2" t="s">
        <v>95</v>
      </c>
      <c r="C32" s="2" t="s">
        <v>96</v>
      </c>
      <c r="D32" s="5" t="s">
        <v>526</v>
      </c>
      <c r="E32" s="2"/>
      <c r="F32" s="3" t="s">
        <v>10</v>
      </c>
      <c r="G32" s="2" t="s">
        <v>11</v>
      </c>
      <c r="H32" s="2" t="s">
        <v>12</v>
      </c>
      <c r="I32" s="2" t="s">
        <v>13</v>
      </c>
      <c r="J32" s="2" t="s">
        <v>27</v>
      </c>
    </row>
    <row r="33" spans="1:10" x14ac:dyDescent="0.3">
      <c r="A33" s="2" t="str">
        <f>HYPERLINK("https://hsdes.intel.com/resource/14013121241","14013121241")</f>
        <v>14013121241</v>
      </c>
      <c r="B33" s="2" t="s">
        <v>97</v>
      </c>
      <c r="C33" s="2" t="s">
        <v>98</v>
      </c>
      <c r="D33" s="5" t="s">
        <v>526</v>
      </c>
      <c r="E33" s="2"/>
      <c r="F33" s="3" t="s">
        <v>10</v>
      </c>
      <c r="G33" s="2" t="s">
        <v>11</v>
      </c>
      <c r="H33" s="2" t="s">
        <v>12</v>
      </c>
      <c r="I33" s="2" t="s">
        <v>13</v>
      </c>
      <c r="J33" s="2" t="s">
        <v>27</v>
      </c>
    </row>
    <row r="34" spans="1:10" x14ac:dyDescent="0.3">
      <c r="A34" s="2" t="str">
        <f>HYPERLINK("https://hsdes.intel.com/resource/14013121267","14013121267")</f>
        <v>14013121267</v>
      </c>
      <c r="B34" s="2" t="s">
        <v>99</v>
      </c>
      <c r="C34" s="2" t="s">
        <v>100</v>
      </c>
      <c r="D34" s="5" t="s">
        <v>526</v>
      </c>
      <c r="E34" s="2"/>
      <c r="F34" s="3" t="s">
        <v>10</v>
      </c>
      <c r="G34" s="2" t="s">
        <v>11</v>
      </c>
      <c r="H34" s="2" t="s">
        <v>12</v>
      </c>
      <c r="I34" s="2" t="s">
        <v>13</v>
      </c>
      <c r="J34" s="2" t="s">
        <v>27</v>
      </c>
    </row>
    <row r="35" spans="1:10" x14ac:dyDescent="0.3">
      <c r="A35" s="2" t="str">
        <f>HYPERLINK("https://hsdes.intel.com/resource/14013121275","14013121275")</f>
        <v>14013121275</v>
      </c>
      <c r="B35" s="2" t="s">
        <v>101</v>
      </c>
      <c r="C35" s="2" t="s">
        <v>102</v>
      </c>
      <c r="D35" s="5" t="s">
        <v>526</v>
      </c>
      <c r="E35" s="2"/>
      <c r="F35" s="3" t="s">
        <v>10</v>
      </c>
      <c r="G35" s="2" t="s">
        <v>11</v>
      </c>
      <c r="H35" s="2" t="s">
        <v>12</v>
      </c>
      <c r="I35" s="2" t="s">
        <v>13</v>
      </c>
      <c r="J35" s="2" t="s">
        <v>27</v>
      </c>
    </row>
    <row r="36" spans="1:10" x14ac:dyDescent="0.3">
      <c r="A36" s="2" t="str">
        <f>HYPERLINK("https://hsdes.intel.com/resource/14013121432","14013121432")</f>
        <v>14013121432</v>
      </c>
      <c r="B36" s="2" t="s">
        <v>103</v>
      </c>
      <c r="C36" s="2" t="s">
        <v>104</v>
      </c>
      <c r="D36" s="5" t="s">
        <v>526</v>
      </c>
      <c r="E36" s="2"/>
      <c r="F36" s="3" t="s">
        <v>10</v>
      </c>
      <c r="G36" s="2" t="s">
        <v>11</v>
      </c>
      <c r="H36" s="2" t="s">
        <v>105</v>
      </c>
      <c r="I36" s="2" t="s">
        <v>106</v>
      </c>
      <c r="J36" s="2" t="s">
        <v>32</v>
      </c>
    </row>
    <row r="37" spans="1:10" x14ac:dyDescent="0.3">
      <c r="A37" s="2" t="str">
        <f>HYPERLINK("https://hsdes.intel.com/resource/14013156724","14013156724")</f>
        <v>14013156724</v>
      </c>
      <c r="B37" s="2" t="s">
        <v>107</v>
      </c>
      <c r="C37" s="2" t="s">
        <v>108</v>
      </c>
      <c r="D37" s="5" t="s">
        <v>526</v>
      </c>
      <c r="E37" s="2"/>
      <c r="F37" s="3" t="s">
        <v>10</v>
      </c>
      <c r="G37" s="2" t="s">
        <v>11</v>
      </c>
      <c r="H37" s="2" t="s">
        <v>109</v>
      </c>
      <c r="I37" s="2" t="s">
        <v>110</v>
      </c>
      <c r="J37" s="2" t="s">
        <v>32</v>
      </c>
    </row>
    <row r="38" spans="1:10" x14ac:dyDescent="0.3">
      <c r="A38" s="2" t="str">
        <f>HYPERLINK("https://hsdes.intel.com/resource/14013156725","14013156725")</f>
        <v>14013156725</v>
      </c>
      <c r="B38" s="2" t="s">
        <v>111</v>
      </c>
      <c r="C38" s="2" t="s">
        <v>112</v>
      </c>
      <c r="D38" s="5" t="s">
        <v>526</v>
      </c>
      <c r="E38" s="2"/>
      <c r="F38" s="3" t="s">
        <v>10</v>
      </c>
      <c r="G38" s="2" t="s">
        <v>11</v>
      </c>
      <c r="H38" s="2" t="s">
        <v>109</v>
      </c>
      <c r="I38" s="2" t="s">
        <v>110</v>
      </c>
      <c r="J38" s="2" t="s">
        <v>14</v>
      </c>
    </row>
    <row r="39" spans="1:10" x14ac:dyDescent="0.3">
      <c r="A39" s="2" t="str">
        <f>HYPERLINK("https://hsdes.intel.com/resource/14013156728","14013156728")</f>
        <v>14013156728</v>
      </c>
      <c r="B39" s="2" t="s">
        <v>113</v>
      </c>
      <c r="C39" s="2" t="s">
        <v>114</v>
      </c>
      <c r="D39" s="5" t="s">
        <v>526</v>
      </c>
      <c r="E39" s="2"/>
      <c r="F39" s="3" t="s">
        <v>10</v>
      </c>
      <c r="G39" s="2" t="s">
        <v>11</v>
      </c>
      <c r="H39" s="2" t="s">
        <v>109</v>
      </c>
      <c r="I39" s="2" t="s">
        <v>110</v>
      </c>
      <c r="J39" s="2" t="s">
        <v>14</v>
      </c>
    </row>
    <row r="40" spans="1:10" x14ac:dyDescent="0.3">
      <c r="A40" s="2" t="str">
        <f>HYPERLINK("https://hsdes.intel.com/resource/14013156732","14013156732")</f>
        <v>14013156732</v>
      </c>
      <c r="B40" s="2" t="s">
        <v>115</v>
      </c>
      <c r="C40" s="2" t="s">
        <v>116</v>
      </c>
      <c r="D40" s="5" t="s">
        <v>526</v>
      </c>
      <c r="E40" s="2"/>
      <c r="F40" s="3" t="s">
        <v>10</v>
      </c>
      <c r="G40" s="2" t="s">
        <v>11</v>
      </c>
      <c r="H40" s="2" t="s">
        <v>109</v>
      </c>
      <c r="I40" s="2" t="s">
        <v>110</v>
      </c>
      <c r="J40" s="2" t="s">
        <v>14</v>
      </c>
    </row>
    <row r="41" spans="1:10" x14ac:dyDescent="0.3">
      <c r="A41" s="2" t="str">
        <f>HYPERLINK("https://hsdes.intel.com/resource/14013156736","14013156736")</f>
        <v>14013156736</v>
      </c>
      <c r="B41" s="2" t="s">
        <v>117</v>
      </c>
      <c r="C41" s="2" t="s">
        <v>118</v>
      </c>
      <c r="D41" s="5" t="s">
        <v>526</v>
      </c>
      <c r="E41" s="2"/>
      <c r="F41" s="3" t="s">
        <v>10</v>
      </c>
      <c r="G41" s="2" t="s">
        <v>11</v>
      </c>
      <c r="H41" s="2" t="s">
        <v>119</v>
      </c>
      <c r="I41" s="2" t="s">
        <v>26</v>
      </c>
      <c r="J41" s="2" t="s">
        <v>14</v>
      </c>
    </row>
    <row r="42" spans="1:10" x14ac:dyDescent="0.3">
      <c r="A42" s="2" t="str">
        <f>HYPERLINK("https://hsdes.intel.com/resource/14013156756","14013156756")</f>
        <v>14013156756</v>
      </c>
      <c r="B42" s="2" t="s">
        <v>120</v>
      </c>
      <c r="C42" s="2" t="s">
        <v>121</v>
      </c>
      <c r="D42" s="5" t="s">
        <v>526</v>
      </c>
      <c r="E42" s="2"/>
      <c r="F42" s="3" t="s">
        <v>10</v>
      </c>
      <c r="G42" s="2" t="s">
        <v>11</v>
      </c>
      <c r="H42" s="2" t="s">
        <v>65</v>
      </c>
      <c r="I42" s="2" t="s">
        <v>41</v>
      </c>
      <c r="J42" s="2" t="s">
        <v>27</v>
      </c>
    </row>
    <row r="43" spans="1:10" x14ac:dyDescent="0.3">
      <c r="A43" s="2" t="str">
        <f>HYPERLINK("https://hsdes.intel.com/resource/14013156770","14013156770")</f>
        <v>14013156770</v>
      </c>
      <c r="B43" s="2" t="s">
        <v>122</v>
      </c>
      <c r="C43" s="2" t="s">
        <v>123</v>
      </c>
      <c r="D43" s="5" t="s">
        <v>526</v>
      </c>
      <c r="E43" s="2"/>
      <c r="F43" s="3" t="s">
        <v>10</v>
      </c>
      <c r="G43" s="2" t="s">
        <v>124</v>
      </c>
      <c r="H43" s="2" t="s">
        <v>25</v>
      </c>
      <c r="I43" s="2" t="s">
        <v>41</v>
      </c>
      <c r="J43" s="2" t="s">
        <v>14</v>
      </c>
    </row>
    <row r="44" spans="1:10" x14ac:dyDescent="0.3">
      <c r="A44" s="2" t="str">
        <f>HYPERLINK("https://hsdes.intel.com/resource/14013156776","14013156776")</f>
        <v>14013156776</v>
      </c>
      <c r="B44" s="2" t="s">
        <v>125</v>
      </c>
      <c r="C44" s="2" t="s">
        <v>126</v>
      </c>
      <c r="D44" s="5" t="s">
        <v>526</v>
      </c>
      <c r="E44" s="2"/>
      <c r="F44" s="3" t="s">
        <v>10</v>
      </c>
      <c r="G44" s="2" t="s">
        <v>11</v>
      </c>
      <c r="H44" s="2" t="s">
        <v>127</v>
      </c>
      <c r="I44" s="2" t="s">
        <v>128</v>
      </c>
      <c r="J44" s="2" t="s">
        <v>32</v>
      </c>
    </row>
    <row r="45" spans="1:10" x14ac:dyDescent="0.3">
      <c r="A45" s="2" t="str">
        <f>HYPERLINK("https://hsdes.intel.com/resource/14013156788","14013156788")</f>
        <v>14013156788</v>
      </c>
      <c r="B45" s="2" t="s">
        <v>129</v>
      </c>
      <c r="C45" s="2" t="s">
        <v>130</v>
      </c>
      <c r="D45" s="5" t="s">
        <v>526</v>
      </c>
      <c r="E45" s="2"/>
      <c r="F45" s="3" t="s">
        <v>10</v>
      </c>
      <c r="G45" s="2" t="s">
        <v>11</v>
      </c>
      <c r="H45" s="2" t="s">
        <v>49</v>
      </c>
      <c r="I45" s="2" t="s">
        <v>128</v>
      </c>
      <c r="J45" s="2" t="s">
        <v>14</v>
      </c>
    </row>
    <row r="46" spans="1:10" x14ac:dyDescent="0.3">
      <c r="A46" s="2" t="str">
        <f>HYPERLINK("https://hsdes.intel.com/resource/14013156792","14013156792")</f>
        <v>14013156792</v>
      </c>
      <c r="B46" s="2" t="s">
        <v>131</v>
      </c>
      <c r="C46" s="2" t="s">
        <v>132</v>
      </c>
      <c r="D46" s="5" t="s">
        <v>526</v>
      </c>
      <c r="E46" s="2"/>
      <c r="F46" s="3" t="s">
        <v>10</v>
      </c>
      <c r="G46" s="2" t="s">
        <v>11</v>
      </c>
      <c r="H46" s="2" t="s">
        <v>133</v>
      </c>
      <c r="I46" s="2" t="s">
        <v>134</v>
      </c>
      <c r="J46" s="2" t="s">
        <v>14</v>
      </c>
    </row>
    <row r="47" spans="1:10" x14ac:dyDescent="0.3">
      <c r="A47" s="2" t="str">
        <f>HYPERLINK("https://hsdes.intel.com/resource/14013156795","14013156795")</f>
        <v>14013156795</v>
      </c>
      <c r="B47" s="2" t="s">
        <v>135</v>
      </c>
      <c r="C47" s="2" t="s">
        <v>136</v>
      </c>
      <c r="D47" s="5" t="s">
        <v>526</v>
      </c>
      <c r="E47" s="2"/>
      <c r="F47" s="3" t="s">
        <v>10</v>
      </c>
      <c r="G47" s="2" t="s">
        <v>11</v>
      </c>
      <c r="H47" s="2" t="s">
        <v>133</v>
      </c>
      <c r="I47" s="2" t="s">
        <v>134</v>
      </c>
      <c r="J47" s="2" t="s">
        <v>14</v>
      </c>
    </row>
    <row r="48" spans="1:10" x14ac:dyDescent="0.3">
      <c r="A48" s="2" t="str">
        <f>HYPERLINK("https://hsdes.intel.com/resource/14013156796","14013156796")</f>
        <v>14013156796</v>
      </c>
      <c r="B48" s="2" t="s">
        <v>137</v>
      </c>
      <c r="C48" s="2" t="s">
        <v>138</v>
      </c>
      <c r="D48" s="5" t="s">
        <v>526</v>
      </c>
      <c r="E48" s="2"/>
      <c r="F48" s="3" t="s">
        <v>10</v>
      </c>
      <c r="G48" s="2" t="s">
        <v>11</v>
      </c>
      <c r="H48" s="2" t="s">
        <v>30</v>
      </c>
      <c r="I48" s="2" t="s">
        <v>31</v>
      </c>
      <c r="J48" s="2" t="s">
        <v>32</v>
      </c>
    </row>
    <row r="49" spans="1:10" x14ac:dyDescent="0.3">
      <c r="A49" s="2" t="str">
        <f>HYPERLINK("https://hsdes.intel.com/resource/14013156798","14013156798")</f>
        <v>14013156798</v>
      </c>
      <c r="B49" s="2" t="s">
        <v>139</v>
      </c>
      <c r="C49" s="2" t="s">
        <v>140</v>
      </c>
      <c r="D49" s="5" t="s">
        <v>526</v>
      </c>
      <c r="E49" s="2"/>
      <c r="F49" s="3" t="s">
        <v>10</v>
      </c>
      <c r="G49" s="2" t="s">
        <v>11</v>
      </c>
      <c r="H49" s="2" t="s">
        <v>133</v>
      </c>
      <c r="I49" s="2" t="s">
        <v>134</v>
      </c>
      <c r="J49" s="2" t="s">
        <v>14</v>
      </c>
    </row>
    <row r="50" spans="1:10" x14ac:dyDescent="0.3">
      <c r="A50" s="2" t="str">
        <f>HYPERLINK("https://hsdes.intel.com/resource/14013156799","14013156799")</f>
        <v>14013156799</v>
      </c>
      <c r="B50" s="2" t="s">
        <v>141</v>
      </c>
      <c r="C50" s="2" t="s">
        <v>142</v>
      </c>
      <c r="D50" s="5" t="s">
        <v>526</v>
      </c>
      <c r="E50" s="2"/>
      <c r="F50" s="3" t="s">
        <v>10</v>
      </c>
      <c r="G50" s="2" t="s">
        <v>11</v>
      </c>
      <c r="H50" s="2" t="s">
        <v>30</v>
      </c>
      <c r="I50" s="2" t="s">
        <v>31</v>
      </c>
      <c r="J50" s="2" t="s">
        <v>32</v>
      </c>
    </row>
    <row r="51" spans="1:10" x14ac:dyDescent="0.3">
      <c r="A51" s="2" t="str">
        <f>HYPERLINK("https://hsdes.intel.com/resource/14013156800","14013156800")</f>
        <v>14013156800</v>
      </c>
      <c r="B51" s="2" t="s">
        <v>143</v>
      </c>
      <c r="C51" s="2" t="s">
        <v>144</v>
      </c>
      <c r="D51" s="5" t="s">
        <v>526</v>
      </c>
      <c r="E51" s="2"/>
      <c r="F51" s="3" t="s">
        <v>10</v>
      </c>
      <c r="G51" s="2" t="s">
        <v>11</v>
      </c>
      <c r="H51" s="2" t="s">
        <v>133</v>
      </c>
      <c r="I51" s="2" t="s">
        <v>134</v>
      </c>
      <c r="J51" s="2" t="s">
        <v>32</v>
      </c>
    </row>
    <row r="52" spans="1:10" x14ac:dyDescent="0.3">
      <c r="A52" s="2" t="str">
        <f>HYPERLINK("https://hsdes.intel.com/resource/14013156802","14013156802")</f>
        <v>14013156802</v>
      </c>
      <c r="B52" s="2" t="s">
        <v>145</v>
      </c>
      <c r="C52" s="2" t="s">
        <v>146</v>
      </c>
      <c r="D52" s="5" t="s">
        <v>526</v>
      </c>
      <c r="E52" s="2"/>
      <c r="F52" s="3" t="s">
        <v>10</v>
      </c>
      <c r="G52" s="2" t="s">
        <v>11</v>
      </c>
      <c r="H52" s="2" t="s">
        <v>133</v>
      </c>
      <c r="I52" s="2" t="s">
        <v>134</v>
      </c>
      <c r="J52" s="2" t="s">
        <v>14</v>
      </c>
    </row>
    <row r="53" spans="1:10" x14ac:dyDescent="0.3">
      <c r="A53" s="2" t="str">
        <f>HYPERLINK("https://hsdes.intel.com/resource/14013156805","14013156805")</f>
        <v>14013156805</v>
      </c>
      <c r="B53" s="2" t="s">
        <v>147</v>
      </c>
      <c r="C53" s="2" t="s">
        <v>148</v>
      </c>
      <c r="D53" s="5" t="s">
        <v>526</v>
      </c>
      <c r="E53" s="2"/>
      <c r="F53" s="3" t="s">
        <v>10</v>
      </c>
      <c r="G53" s="2" t="s">
        <v>11</v>
      </c>
      <c r="H53" s="2" t="s">
        <v>133</v>
      </c>
      <c r="I53" s="2" t="s">
        <v>134</v>
      </c>
      <c r="J53" s="2" t="s">
        <v>27</v>
      </c>
    </row>
    <row r="54" spans="1:10" x14ac:dyDescent="0.3">
      <c r="A54" s="2" t="str">
        <f>HYPERLINK("https://hsdes.intel.com/resource/14013156833","14013156833")</f>
        <v>14013156833</v>
      </c>
      <c r="B54" s="2" t="s">
        <v>149</v>
      </c>
      <c r="C54" s="2" t="s">
        <v>150</v>
      </c>
      <c r="D54" s="5" t="s">
        <v>526</v>
      </c>
      <c r="E54" s="2"/>
      <c r="F54" s="3" t="s">
        <v>10</v>
      </c>
      <c r="G54" s="2" t="s">
        <v>11</v>
      </c>
      <c r="H54" s="2" t="s">
        <v>30</v>
      </c>
      <c r="I54" s="2" t="s">
        <v>31</v>
      </c>
      <c r="J54" s="2" t="s">
        <v>32</v>
      </c>
    </row>
    <row r="55" spans="1:10" x14ac:dyDescent="0.3">
      <c r="A55" s="2" t="str">
        <f>HYPERLINK("https://hsdes.intel.com/resource/14013156842","14013156842")</f>
        <v>14013156842</v>
      </c>
      <c r="B55" s="2" t="s">
        <v>151</v>
      </c>
      <c r="C55" s="2" t="s">
        <v>152</v>
      </c>
      <c r="D55" s="5" t="s">
        <v>526</v>
      </c>
      <c r="E55" s="2"/>
      <c r="F55" s="3" t="s">
        <v>10</v>
      </c>
      <c r="G55" s="2" t="s">
        <v>11</v>
      </c>
      <c r="H55" s="2" t="s">
        <v>30</v>
      </c>
      <c r="I55" s="2" t="s">
        <v>31</v>
      </c>
      <c r="J55" s="2" t="s">
        <v>32</v>
      </c>
    </row>
    <row r="56" spans="1:10" x14ac:dyDescent="0.3">
      <c r="A56" s="4" t="str">
        <f>HYPERLINK("https://hsdes.intel.com/resource/14013156846","14013156846")</f>
        <v>14013156846</v>
      </c>
      <c r="B56" s="2" t="s">
        <v>153</v>
      </c>
      <c r="C56" s="2" t="s">
        <v>154</v>
      </c>
      <c r="D56" s="5" t="s">
        <v>526</v>
      </c>
      <c r="E56" s="2"/>
      <c r="F56" s="3" t="s">
        <v>10</v>
      </c>
      <c r="G56" s="2" t="s">
        <v>11</v>
      </c>
      <c r="H56" s="2" t="s">
        <v>30</v>
      </c>
      <c r="I56" s="2" t="s">
        <v>31</v>
      </c>
      <c r="J56" s="2" t="s">
        <v>27</v>
      </c>
    </row>
    <row r="57" spans="1:10" x14ac:dyDescent="0.3">
      <c r="A57" s="2" t="str">
        <f>HYPERLINK("https://hsdes.intel.com/resource/14013156854","14013156854")</f>
        <v>14013156854</v>
      </c>
      <c r="B57" s="2" t="s">
        <v>155</v>
      </c>
      <c r="C57" s="2" t="s">
        <v>156</v>
      </c>
      <c r="D57" s="5" t="s">
        <v>526</v>
      </c>
      <c r="E57" s="2"/>
      <c r="F57" s="3" t="s">
        <v>10</v>
      </c>
      <c r="G57" s="2" t="s">
        <v>39</v>
      </c>
      <c r="H57" s="2" t="s">
        <v>30</v>
      </c>
      <c r="I57" s="2" t="s">
        <v>31</v>
      </c>
      <c r="J57" s="2" t="s">
        <v>32</v>
      </c>
    </row>
    <row r="58" spans="1:10" x14ac:dyDescent="0.3">
      <c r="A58" s="2" t="str">
        <f>HYPERLINK("https://hsdes.intel.com/resource/14013156858","14013156858")</f>
        <v>14013156858</v>
      </c>
      <c r="B58" s="2" t="s">
        <v>157</v>
      </c>
      <c r="C58" s="2" t="s">
        <v>158</v>
      </c>
      <c r="D58" s="5" t="s">
        <v>526</v>
      </c>
      <c r="E58" s="2"/>
      <c r="F58" s="3" t="s">
        <v>10</v>
      </c>
      <c r="G58" s="2" t="s">
        <v>11</v>
      </c>
      <c r="H58" s="2" t="s">
        <v>159</v>
      </c>
      <c r="I58" s="2" t="s">
        <v>86</v>
      </c>
      <c r="J58" s="2" t="s">
        <v>27</v>
      </c>
    </row>
    <row r="59" spans="1:10" x14ac:dyDescent="0.3">
      <c r="A59" s="2" t="str">
        <f>HYPERLINK("https://hsdes.intel.com/resource/14013156866","14013156866")</f>
        <v>14013156866</v>
      </c>
      <c r="B59" s="2" t="s">
        <v>160</v>
      </c>
      <c r="C59" s="2" t="s">
        <v>161</v>
      </c>
      <c r="D59" s="5" t="s">
        <v>526</v>
      </c>
      <c r="E59" s="2"/>
      <c r="F59" s="3" t="s">
        <v>10</v>
      </c>
      <c r="G59" s="2" t="s">
        <v>11</v>
      </c>
      <c r="H59" s="2" t="s">
        <v>30</v>
      </c>
      <c r="I59" s="2" t="s">
        <v>31</v>
      </c>
      <c r="J59" s="2" t="s">
        <v>32</v>
      </c>
    </row>
    <row r="60" spans="1:10" x14ac:dyDescent="0.3">
      <c r="A60" s="2" t="str">
        <f>HYPERLINK("https://hsdes.intel.com/resource/14013156879","14013156879")</f>
        <v>14013156879</v>
      </c>
      <c r="B60" s="2" t="s">
        <v>162</v>
      </c>
      <c r="C60" s="2" t="s">
        <v>163</v>
      </c>
      <c r="D60" s="5" t="s">
        <v>526</v>
      </c>
      <c r="E60" s="2"/>
      <c r="F60" s="3" t="s">
        <v>10</v>
      </c>
      <c r="G60" s="2" t="s">
        <v>11</v>
      </c>
      <c r="H60" s="2" t="s">
        <v>30</v>
      </c>
      <c r="I60" s="2" t="s">
        <v>31</v>
      </c>
      <c r="J60" s="2" t="s">
        <v>32</v>
      </c>
    </row>
    <row r="61" spans="1:10" x14ac:dyDescent="0.3">
      <c r="A61" s="2" t="str">
        <f>HYPERLINK("https://hsdes.intel.com/resource/14013156883","14013156883")</f>
        <v>14013156883</v>
      </c>
      <c r="B61" s="2" t="s">
        <v>164</v>
      </c>
      <c r="C61" s="2" t="s">
        <v>165</v>
      </c>
      <c r="D61" s="5" t="s">
        <v>526</v>
      </c>
      <c r="E61" s="2"/>
      <c r="F61" s="3" t="s">
        <v>10</v>
      </c>
      <c r="G61" s="2" t="s">
        <v>11</v>
      </c>
      <c r="H61" s="2" t="s">
        <v>133</v>
      </c>
      <c r="I61" s="2" t="s">
        <v>134</v>
      </c>
      <c r="J61" s="2" t="s">
        <v>27</v>
      </c>
    </row>
    <row r="62" spans="1:10" x14ac:dyDescent="0.3">
      <c r="A62" s="2" t="str">
        <f>HYPERLINK("https://hsdes.intel.com/resource/14013156911","14013156911")</f>
        <v>14013156911</v>
      </c>
      <c r="B62" s="2" t="s">
        <v>166</v>
      </c>
      <c r="C62" s="2" t="s">
        <v>167</v>
      </c>
      <c r="D62" s="5" t="s">
        <v>526</v>
      </c>
      <c r="E62" s="2"/>
      <c r="F62" s="3" t="s">
        <v>10</v>
      </c>
      <c r="G62" s="2" t="s">
        <v>11</v>
      </c>
      <c r="H62" s="2" t="s">
        <v>30</v>
      </c>
      <c r="I62" s="2" t="s">
        <v>31</v>
      </c>
      <c r="J62" s="2" t="s">
        <v>32</v>
      </c>
    </row>
    <row r="63" spans="1:10" x14ac:dyDescent="0.3">
      <c r="A63" s="2" t="str">
        <f>HYPERLINK("https://hsdes.intel.com/resource/14013156931","14013156931")</f>
        <v>14013156931</v>
      </c>
      <c r="B63" s="2" t="s">
        <v>168</v>
      </c>
      <c r="C63" s="2" t="s">
        <v>169</v>
      </c>
      <c r="D63" s="5" t="s">
        <v>526</v>
      </c>
      <c r="E63" s="2"/>
      <c r="F63" s="3" t="s">
        <v>10</v>
      </c>
      <c r="G63" s="2" t="s">
        <v>11</v>
      </c>
      <c r="H63" s="2" t="s">
        <v>30</v>
      </c>
      <c r="I63" s="2" t="s">
        <v>31</v>
      </c>
      <c r="J63" s="2" t="s">
        <v>32</v>
      </c>
    </row>
    <row r="64" spans="1:10" x14ac:dyDescent="0.3">
      <c r="A64" s="2" t="str">
        <f>HYPERLINK("https://hsdes.intel.com/resource/14013156953","14013156953")</f>
        <v>14013156953</v>
      </c>
      <c r="B64" s="2" t="s">
        <v>170</v>
      </c>
      <c r="C64" s="2" t="s">
        <v>171</v>
      </c>
      <c r="D64" s="5" t="s">
        <v>526</v>
      </c>
      <c r="E64" s="2"/>
      <c r="F64" s="3" t="s">
        <v>10</v>
      </c>
      <c r="G64" s="2" t="s">
        <v>11</v>
      </c>
      <c r="H64" s="2" t="s">
        <v>30</v>
      </c>
      <c r="I64" s="2" t="s">
        <v>31</v>
      </c>
      <c r="J64" s="2" t="s">
        <v>32</v>
      </c>
    </row>
    <row r="65" spans="1:10" x14ac:dyDescent="0.3">
      <c r="A65" s="2" t="str">
        <f>HYPERLINK("https://hsdes.intel.com/resource/14013156976","14013156976")</f>
        <v>14013156976</v>
      </c>
      <c r="B65" s="2" t="s">
        <v>172</v>
      </c>
      <c r="C65" s="2" t="s">
        <v>173</v>
      </c>
      <c r="D65" s="5" t="s">
        <v>526</v>
      </c>
      <c r="E65" s="2"/>
      <c r="F65" s="3" t="s">
        <v>10</v>
      </c>
      <c r="G65" s="2" t="s">
        <v>11</v>
      </c>
      <c r="H65" s="2" t="s">
        <v>30</v>
      </c>
      <c r="I65" s="2" t="s">
        <v>31</v>
      </c>
      <c r="J65" s="2" t="s">
        <v>32</v>
      </c>
    </row>
    <row r="66" spans="1:10" x14ac:dyDescent="0.3">
      <c r="A66" s="2" t="str">
        <f>HYPERLINK("https://hsdes.intel.com/resource/14013156977","14013156977")</f>
        <v>14013156977</v>
      </c>
      <c r="B66" s="2" t="s">
        <v>174</v>
      </c>
      <c r="C66" s="2" t="s">
        <v>175</v>
      </c>
      <c r="D66" s="5" t="s">
        <v>526</v>
      </c>
      <c r="E66" s="2"/>
      <c r="F66" s="3" t="s">
        <v>10</v>
      </c>
      <c r="G66" s="2" t="s">
        <v>11</v>
      </c>
      <c r="H66" s="2" t="s">
        <v>30</v>
      </c>
      <c r="I66" s="2" t="s">
        <v>31</v>
      </c>
      <c r="J66" s="2" t="s">
        <v>32</v>
      </c>
    </row>
    <row r="67" spans="1:10" x14ac:dyDescent="0.3">
      <c r="A67" s="2" t="str">
        <f>HYPERLINK("https://hsdes.intel.com/resource/14013156980","14013156980")</f>
        <v>14013156980</v>
      </c>
      <c r="B67" s="2" t="s">
        <v>176</v>
      </c>
      <c r="C67" s="2" t="s">
        <v>177</v>
      </c>
      <c r="D67" s="5" t="s">
        <v>526</v>
      </c>
      <c r="E67" s="2"/>
      <c r="F67" s="3" t="s">
        <v>10</v>
      </c>
      <c r="G67" s="2" t="s">
        <v>11</v>
      </c>
      <c r="H67" s="2" t="s">
        <v>30</v>
      </c>
      <c r="I67" s="2" t="s">
        <v>31</v>
      </c>
      <c r="J67" s="2" t="s">
        <v>32</v>
      </c>
    </row>
    <row r="68" spans="1:10" x14ac:dyDescent="0.3">
      <c r="A68" s="2" t="str">
        <f>HYPERLINK("https://hsdes.intel.com/resource/14013157008","14013157008")</f>
        <v>14013157008</v>
      </c>
      <c r="B68" s="2" t="s">
        <v>178</v>
      </c>
      <c r="C68" s="2" t="s">
        <v>179</v>
      </c>
      <c r="D68" s="5" t="s">
        <v>526</v>
      </c>
      <c r="E68" s="2"/>
      <c r="F68" s="3" t="s">
        <v>10</v>
      </c>
      <c r="G68" s="2" t="s">
        <v>11</v>
      </c>
      <c r="H68" s="2" t="s">
        <v>30</v>
      </c>
      <c r="I68" s="2" t="s">
        <v>31</v>
      </c>
      <c r="J68" s="2" t="s">
        <v>32</v>
      </c>
    </row>
    <row r="69" spans="1:10" x14ac:dyDescent="0.3">
      <c r="A69" s="2" t="str">
        <f>HYPERLINK("https://hsdes.intel.com/resource/14013157009","14013157009")</f>
        <v>14013157009</v>
      </c>
      <c r="B69" s="2" t="s">
        <v>180</v>
      </c>
      <c r="C69" s="2" t="s">
        <v>181</v>
      </c>
      <c r="D69" s="5" t="s">
        <v>526</v>
      </c>
      <c r="E69" s="2"/>
      <c r="F69" s="3" t="s">
        <v>10</v>
      </c>
      <c r="G69" s="2" t="s">
        <v>11</v>
      </c>
      <c r="H69" s="2" t="s">
        <v>30</v>
      </c>
      <c r="I69" s="2" t="s">
        <v>31</v>
      </c>
      <c r="J69" s="2" t="s">
        <v>32</v>
      </c>
    </row>
    <row r="70" spans="1:10" x14ac:dyDescent="0.3">
      <c r="A70" s="2" t="str">
        <f>HYPERLINK("https://hsdes.intel.com/resource/14013157010","14013157010")</f>
        <v>14013157010</v>
      </c>
      <c r="B70" s="2" t="s">
        <v>182</v>
      </c>
      <c r="C70" s="2" t="s">
        <v>183</v>
      </c>
      <c r="D70" s="5" t="s">
        <v>526</v>
      </c>
      <c r="E70" s="2"/>
      <c r="F70" s="3" t="s">
        <v>10</v>
      </c>
      <c r="G70" s="2" t="s">
        <v>11</v>
      </c>
      <c r="H70" s="2" t="s">
        <v>30</v>
      </c>
      <c r="I70" s="2" t="s">
        <v>31</v>
      </c>
      <c r="J70" s="2" t="s">
        <v>32</v>
      </c>
    </row>
    <row r="71" spans="1:10" x14ac:dyDescent="0.3">
      <c r="A71" s="2" t="str">
        <f>HYPERLINK("https://hsdes.intel.com/resource/14013157012","14013157012")</f>
        <v>14013157012</v>
      </c>
      <c r="B71" s="2" t="s">
        <v>184</v>
      </c>
      <c r="C71" s="2" t="s">
        <v>185</v>
      </c>
      <c r="D71" s="5" t="s">
        <v>526</v>
      </c>
      <c r="E71" s="2"/>
      <c r="F71" s="3" t="s">
        <v>10</v>
      </c>
      <c r="G71" s="2" t="s">
        <v>11</v>
      </c>
      <c r="H71" s="2" t="s">
        <v>30</v>
      </c>
      <c r="I71" s="2" t="s">
        <v>31</v>
      </c>
      <c r="J71" s="2" t="s">
        <v>14</v>
      </c>
    </row>
    <row r="72" spans="1:10" x14ac:dyDescent="0.3">
      <c r="A72" s="2" t="str">
        <f>HYPERLINK("https://hsdes.intel.com/resource/14013157017","14013157017")</f>
        <v>14013157017</v>
      </c>
      <c r="B72" s="2" t="s">
        <v>186</v>
      </c>
      <c r="C72" s="2" t="s">
        <v>187</v>
      </c>
      <c r="D72" s="5" t="s">
        <v>526</v>
      </c>
      <c r="E72" s="2"/>
      <c r="F72" s="3" t="s">
        <v>10</v>
      </c>
      <c r="G72" s="2" t="s">
        <v>11</v>
      </c>
      <c r="H72" s="2" t="s">
        <v>30</v>
      </c>
      <c r="I72" s="2" t="s">
        <v>31</v>
      </c>
      <c r="J72" s="2" t="s">
        <v>32</v>
      </c>
    </row>
    <row r="73" spans="1:10" x14ac:dyDescent="0.3">
      <c r="A73" s="2" t="str">
        <f>HYPERLINK("https://hsdes.intel.com/resource/14013157021","14013157021")</f>
        <v>14013157021</v>
      </c>
      <c r="B73" s="2" t="s">
        <v>188</v>
      </c>
      <c r="C73" s="2" t="s">
        <v>189</v>
      </c>
      <c r="D73" s="5" t="s">
        <v>526</v>
      </c>
      <c r="E73" s="2"/>
      <c r="F73" s="3" t="s">
        <v>10</v>
      </c>
      <c r="G73" s="2" t="s">
        <v>11</v>
      </c>
      <c r="H73" s="2" t="s">
        <v>30</v>
      </c>
      <c r="I73" s="2" t="s">
        <v>31</v>
      </c>
      <c r="J73" s="2" t="s">
        <v>32</v>
      </c>
    </row>
    <row r="74" spans="1:10" x14ac:dyDescent="0.3">
      <c r="A74" s="2" t="str">
        <f>HYPERLINK("https://hsdes.intel.com/resource/14013157075","14013157075")</f>
        <v>14013157075</v>
      </c>
      <c r="B74" s="2" t="s">
        <v>190</v>
      </c>
      <c r="C74" s="2" t="s">
        <v>191</v>
      </c>
      <c r="D74" s="5" t="s">
        <v>526</v>
      </c>
      <c r="E74" s="2"/>
      <c r="F74" s="3" t="s">
        <v>10</v>
      </c>
      <c r="G74" s="2" t="s">
        <v>11</v>
      </c>
      <c r="H74" s="2" t="s">
        <v>30</v>
      </c>
      <c r="I74" s="2" t="s">
        <v>31</v>
      </c>
      <c r="J74" s="2" t="s">
        <v>32</v>
      </c>
    </row>
    <row r="75" spans="1:10" x14ac:dyDescent="0.3">
      <c r="A75" s="2" t="str">
        <f>HYPERLINK("https://hsdes.intel.com/resource/14013157103","14013157103")</f>
        <v>14013157103</v>
      </c>
      <c r="B75" s="2" t="s">
        <v>192</v>
      </c>
      <c r="C75" s="2" t="s">
        <v>193</v>
      </c>
      <c r="D75" s="5" t="s">
        <v>526</v>
      </c>
      <c r="E75" s="2"/>
      <c r="F75" s="3" t="s">
        <v>10</v>
      </c>
      <c r="G75" s="2" t="s">
        <v>11</v>
      </c>
      <c r="H75" s="2" t="s">
        <v>194</v>
      </c>
      <c r="I75" s="2" t="s">
        <v>134</v>
      </c>
      <c r="J75" s="2" t="s">
        <v>32</v>
      </c>
    </row>
    <row r="76" spans="1:10" x14ac:dyDescent="0.3">
      <c r="A76" s="2" t="str">
        <f>HYPERLINK("https://hsdes.intel.com/resource/14013157181","14013157181")</f>
        <v>14013157181</v>
      </c>
      <c r="B76" s="2" t="s">
        <v>195</v>
      </c>
      <c r="C76" s="2" t="s">
        <v>196</v>
      </c>
      <c r="D76" s="5" t="s">
        <v>526</v>
      </c>
      <c r="E76" s="2"/>
      <c r="F76" s="3" t="s">
        <v>10</v>
      </c>
      <c r="G76" s="2" t="s">
        <v>11</v>
      </c>
      <c r="H76" s="2" t="s">
        <v>30</v>
      </c>
      <c r="I76" s="2" t="s">
        <v>31</v>
      </c>
      <c r="J76" s="2" t="s">
        <v>32</v>
      </c>
    </row>
    <row r="77" spans="1:10" x14ac:dyDescent="0.3">
      <c r="A77" s="2" t="str">
        <f>HYPERLINK("https://hsdes.intel.com/resource/14013157235","14013157235")</f>
        <v>14013157235</v>
      </c>
      <c r="B77" s="2" t="s">
        <v>197</v>
      </c>
      <c r="C77" s="2" t="s">
        <v>198</v>
      </c>
      <c r="D77" s="5" t="s">
        <v>526</v>
      </c>
      <c r="E77" s="2"/>
      <c r="F77" s="3" t="s">
        <v>10</v>
      </c>
      <c r="G77" s="2" t="s">
        <v>11</v>
      </c>
      <c r="H77" s="2" t="s">
        <v>30</v>
      </c>
      <c r="I77" s="2" t="s">
        <v>31</v>
      </c>
      <c r="J77" s="2" t="s">
        <v>32</v>
      </c>
    </row>
    <row r="78" spans="1:10" x14ac:dyDescent="0.3">
      <c r="A78" s="2" t="str">
        <f>HYPERLINK("https://hsdes.intel.com/resource/14013157239","14013157239")</f>
        <v>14013157239</v>
      </c>
      <c r="B78" s="2" t="s">
        <v>199</v>
      </c>
      <c r="C78" s="2" t="s">
        <v>200</v>
      </c>
      <c r="D78" s="5" t="s">
        <v>526</v>
      </c>
      <c r="E78" s="2"/>
      <c r="F78" s="3" t="s">
        <v>10</v>
      </c>
      <c r="G78" s="2" t="s">
        <v>11</v>
      </c>
      <c r="H78" s="2" t="s">
        <v>30</v>
      </c>
      <c r="I78" s="2" t="s">
        <v>31</v>
      </c>
      <c r="J78" s="2" t="s">
        <v>32</v>
      </c>
    </row>
    <row r="79" spans="1:10" x14ac:dyDescent="0.3">
      <c r="A79" s="2" t="str">
        <f>HYPERLINK("https://hsdes.intel.com/resource/14013157253","14013157253")</f>
        <v>14013157253</v>
      </c>
      <c r="B79" s="2" t="s">
        <v>201</v>
      </c>
      <c r="C79" s="2" t="s">
        <v>202</v>
      </c>
      <c r="D79" s="5" t="s">
        <v>526</v>
      </c>
      <c r="E79" s="2"/>
      <c r="F79" s="3" t="s">
        <v>10</v>
      </c>
      <c r="G79" s="2" t="s">
        <v>11</v>
      </c>
      <c r="H79" s="2" t="s">
        <v>30</v>
      </c>
      <c r="I79" s="2" t="s">
        <v>31</v>
      </c>
      <c r="J79" s="2" t="s">
        <v>27</v>
      </c>
    </row>
    <row r="80" spans="1:10" x14ac:dyDescent="0.3">
      <c r="A80" s="2" t="str">
        <f>HYPERLINK("https://hsdes.intel.com/resource/14013157278","14013157278")</f>
        <v>14013157278</v>
      </c>
      <c r="B80" s="2" t="s">
        <v>203</v>
      </c>
      <c r="C80" s="2" t="s">
        <v>204</v>
      </c>
      <c r="D80" s="5" t="s">
        <v>526</v>
      </c>
      <c r="E80" s="2"/>
      <c r="F80" s="3" t="s">
        <v>10</v>
      </c>
      <c r="G80" s="2" t="s">
        <v>11</v>
      </c>
      <c r="H80" s="2" t="s">
        <v>205</v>
      </c>
      <c r="I80" s="2" t="s">
        <v>134</v>
      </c>
      <c r="J80" s="2" t="s">
        <v>32</v>
      </c>
    </row>
    <row r="81" spans="1:10" x14ac:dyDescent="0.3">
      <c r="A81" s="2" t="str">
        <f>HYPERLINK("https://hsdes.intel.com/resource/14013157287","14013157287")</f>
        <v>14013157287</v>
      </c>
      <c r="B81" s="2" t="s">
        <v>206</v>
      </c>
      <c r="C81" s="2" t="s">
        <v>207</v>
      </c>
      <c r="D81" s="5" t="s">
        <v>526</v>
      </c>
      <c r="E81" s="2"/>
      <c r="F81" s="3" t="s">
        <v>10</v>
      </c>
      <c r="G81" s="2" t="s">
        <v>11</v>
      </c>
      <c r="H81" s="2" t="s">
        <v>30</v>
      </c>
      <c r="I81" s="2" t="s">
        <v>31</v>
      </c>
      <c r="J81" s="2" t="s">
        <v>32</v>
      </c>
    </row>
    <row r="82" spans="1:10" x14ac:dyDescent="0.3">
      <c r="A82" s="2" t="str">
        <f>HYPERLINK("https://hsdes.intel.com/resource/14013157294","14013157294")</f>
        <v>14013157294</v>
      </c>
      <c r="B82" s="2" t="s">
        <v>208</v>
      </c>
      <c r="C82" s="2" t="s">
        <v>209</v>
      </c>
      <c r="D82" s="5" t="s">
        <v>526</v>
      </c>
      <c r="E82" s="2"/>
      <c r="F82" s="3" t="s">
        <v>10</v>
      </c>
      <c r="G82" s="2" t="s">
        <v>11</v>
      </c>
      <c r="H82" s="2" t="s">
        <v>159</v>
      </c>
      <c r="I82" s="2" t="s">
        <v>210</v>
      </c>
      <c r="J82" s="2" t="s">
        <v>32</v>
      </c>
    </row>
    <row r="83" spans="1:10" x14ac:dyDescent="0.3">
      <c r="A83" s="2" t="str">
        <f>HYPERLINK("https://hsdes.intel.com/resource/14013157315","14013157315")</f>
        <v>14013157315</v>
      </c>
      <c r="B83" s="2" t="s">
        <v>211</v>
      </c>
      <c r="C83" s="2" t="s">
        <v>212</v>
      </c>
      <c r="D83" s="5" t="s">
        <v>526</v>
      </c>
      <c r="E83" s="2"/>
      <c r="F83" s="3" t="s">
        <v>10</v>
      </c>
      <c r="G83" s="2" t="s">
        <v>11</v>
      </c>
      <c r="H83" s="2" t="s">
        <v>30</v>
      </c>
      <c r="I83" s="2" t="s">
        <v>31</v>
      </c>
      <c r="J83" s="2" t="s">
        <v>32</v>
      </c>
    </row>
    <row r="84" spans="1:10" x14ac:dyDescent="0.3">
      <c r="A84" s="2" t="str">
        <f>HYPERLINK("https://hsdes.intel.com/resource/14013157332","14013157332")</f>
        <v>14013157332</v>
      </c>
      <c r="B84" s="2" t="s">
        <v>213</v>
      </c>
      <c r="C84" s="2" t="s">
        <v>214</v>
      </c>
      <c r="D84" s="5" t="s">
        <v>526</v>
      </c>
      <c r="E84" s="2"/>
      <c r="F84" s="3" t="s">
        <v>10</v>
      </c>
      <c r="G84" s="2" t="s">
        <v>11</v>
      </c>
      <c r="H84" s="2" t="s">
        <v>30</v>
      </c>
      <c r="I84" s="2" t="s">
        <v>31</v>
      </c>
      <c r="J84" s="2" t="s">
        <v>32</v>
      </c>
    </row>
    <row r="85" spans="1:10" x14ac:dyDescent="0.3">
      <c r="A85" s="2" t="str">
        <f>HYPERLINK("https://hsdes.intel.com/resource/14013157345","14013157345")</f>
        <v>14013157345</v>
      </c>
      <c r="B85" s="2" t="s">
        <v>215</v>
      </c>
      <c r="C85" s="2" t="s">
        <v>216</v>
      </c>
      <c r="D85" s="5" t="s">
        <v>526</v>
      </c>
      <c r="E85" s="2"/>
      <c r="F85" s="3" t="s">
        <v>10</v>
      </c>
      <c r="G85" s="2" t="s">
        <v>11</v>
      </c>
      <c r="H85" s="2" t="s">
        <v>30</v>
      </c>
      <c r="I85" s="2" t="s">
        <v>31</v>
      </c>
      <c r="J85" s="2" t="s">
        <v>32</v>
      </c>
    </row>
    <row r="86" spans="1:10" x14ac:dyDescent="0.3">
      <c r="A86" s="2" t="str">
        <f>HYPERLINK("https://hsdes.intel.com/resource/14013157372","14013157372")</f>
        <v>14013157372</v>
      </c>
      <c r="B86" s="2" t="s">
        <v>217</v>
      </c>
      <c r="C86" s="2" t="s">
        <v>218</v>
      </c>
      <c r="D86" s="5" t="s">
        <v>526</v>
      </c>
      <c r="E86" s="2"/>
      <c r="F86" s="3" t="s">
        <v>10</v>
      </c>
      <c r="G86" s="2" t="s">
        <v>11</v>
      </c>
      <c r="H86" s="2" t="s">
        <v>30</v>
      </c>
      <c r="I86" s="2" t="s">
        <v>31</v>
      </c>
      <c r="J86" s="2" t="s">
        <v>32</v>
      </c>
    </row>
    <row r="87" spans="1:10" x14ac:dyDescent="0.3">
      <c r="A87" s="2" t="str">
        <f>HYPERLINK("https://hsdes.intel.com/resource/14013157378","14013157378")</f>
        <v>14013157378</v>
      </c>
      <c r="B87" s="2" t="s">
        <v>219</v>
      </c>
      <c r="C87" s="2" t="s">
        <v>220</v>
      </c>
      <c r="D87" s="5" t="s">
        <v>526</v>
      </c>
      <c r="E87" s="2"/>
      <c r="F87" s="3" t="s">
        <v>10</v>
      </c>
      <c r="G87" s="2" t="s">
        <v>11</v>
      </c>
      <c r="H87" s="2" t="s">
        <v>30</v>
      </c>
      <c r="I87" s="2" t="s">
        <v>31</v>
      </c>
      <c r="J87" s="2" t="s">
        <v>32</v>
      </c>
    </row>
    <row r="88" spans="1:10" x14ac:dyDescent="0.3">
      <c r="A88" s="2" t="str">
        <f>HYPERLINK("https://hsdes.intel.com/resource/14013157449","14013157449")</f>
        <v>14013157449</v>
      </c>
      <c r="B88" s="2" t="s">
        <v>221</v>
      </c>
      <c r="C88" s="2" t="s">
        <v>222</v>
      </c>
      <c r="D88" s="5" t="s">
        <v>526</v>
      </c>
      <c r="E88" s="2"/>
      <c r="F88" s="3" t="s">
        <v>10</v>
      </c>
      <c r="G88" s="2" t="s">
        <v>11</v>
      </c>
      <c r="H88" s="2" t="s">
        <v>133</v>
      </c>
      <c r="I88" s="2" t="s">
        <v>134</v>
      </c>
      <c r="J88" s="2" t="s">
        <v>14</v>
      </c>
    </row>
    <row r="89" spans="1:10" x14ac:dyDescent="0.3">
      <c r="A89" s="2" t="str">
        <f>HYPERLINK("https://hsdes.intel.com/resource/14013157450","14013157450")</f>
        <v>14013157450</v>
      </c>
      <c r="B89" s="2" t="s">
        <v>223</v>
      </c>
      <c r="C89" s="2" t="s">
        <v>224</v>
      </c>
      <c r="D89" s="5" t="s">
        <v>526</v>
      </c>
      <c r="E89" s="2"/>
      <c r="F89" s="3" t="s">
        <v>10</v>
      </c>
      <c r="G89" s="2" t="s">
        <v>11</v>
      </c>
      <c r="H89" s="2" t="s">
        <v>133</v>
      </c>
      <c r="I89" s="2" t="s">
        <v>134</v>
      </c>
      <c r="J89" s="2" t="s">
        <v>14</v>
      </c>
    </row>
    <row r="90" spans="1:10" x14ac:dyDescent="0.3">
      <c r="A90" s="2" t="str">
        <f>HYPERLINK("https://hsdes.intel.com/resource/14013157452","14013157452")</f>
        <v>14013157452</v>
      </c>
      <c r="B90" s="2" t="s">
        <v>225</v>
      </c>
      <c r="C90" s="2" t="s">
        <v>226</v>
      </c>
      <c r="D90" s="5" t="s">
        <v>526</v>
      </c>
      <c r="E90" s="2"/>
      <c r="F90" s="3" t="s">
        <v>10</v>
      </c>
      <c r="G90" s="2" t="s">
        <v>11</v>
      </c>
      <c r="H90" s="2" t="s">
        <v>133</v>
      </c>
      <c r="I90" s="2" t="s">
        <v>134</v>
      </c>
      <c r="J90" s="2" t="s">
        <v>14</v>
      </c>
    </row>
    <row r="91" spans="1:10" x14ac:dyDescent="0.3">
      <c r="A91" s="2" t="str">
        <f>HYPERLINK("https://hsdes.intel.com/resource/14013157474","14013157474")</f>
        <v>14013157474</v>
      </c>
      <c r="B91" s="2" t="s">
        <v>227</v>
      </c>
      <c r="C91" s="2" t="s">
        <v>228</v>
      </c>
      <c r="D91" s="5" t="s">
        <v>526</v>
      </c>
      <c r="E91" s="2"/>
      <c r="F91" s="3" t="s">
        <v>10</v>
      </c>
      <c r="G91" s="2" t="s">
        <v>39</v>
      </c>
      <c r="H91" s="2" t="s">
        <v>30</v>
      </c>
      <c r="I91" s="2" t="s">
        <v>31</v>
      </c>
      <c r="J91" s="2" t="s">
        <v>32</v>
      </c>
    </row>
    <row r="92" spans="1:10" x14ac:dyDescent="0.3">
      <c r="A92" s="2" t="str">
        <f>HYPERLINK("https://hsdes.intel.com/resource/14013157506","14013157506")</f>
        <v>14013157506</v>
      </c>
      <c r="B92" s="2" t="s">
        <v>229</v>
      </c>
      <c r="C92" s="2" t="s">
        <v>230</v>
      </c>
      <c r="D92" s="5" t="s">
        <v>526</v>
      </c>
      <c r="E92" s="2"/>
      <c r="F92" s="3" t="s">
        <v>10</v>
      </c>
      <c r="G92" s="2" t="s">
        <v>11</v>
      </c>
      <c r="H92" s="2" t="s">
        <v>30</v>
      </c>
      <c r="I92" s="2" t="s">
        <v>31</v>
      </c>
      <c r="J92" s="2" t="s">
        <v>32</v>
      </c>
    </row>
    <row r="93" spans="1:10" x14ac:dyDescent="0.3">
      <c r="A93" s="2" t="str">
        <f>HYPERLINK("https://hsdes.intel.com/resource/14013157514","14013157514")</f>
        <v>14013157514</v>
      </c>
      <c r="B93" s="2" t="s">
        <v>231</v>
      </c>
      <c r="C93" s="2" t="s">
        <v>232</v>
      </c>
      <c r="D93" s="5" t="s">
        <v>526</v>
      </c>
      <c r="E93" s="2"/>
      <c r="F93" s="3" t="s">
        <v>10</v>
      </c>
      <c r="G93" s="2" t="s">
        <v>11</v>
      </c>
      <c r="H93" s="2" t="s">
        <v>30</v>
      </c>
      <c r="I93" s="2" t="s">
        <v>31</v>
      </c>
      <c r="J93" s="2" t="s">
        <v>32</v>
      </c>
    </row>
    <row r="94" spans="1:10" x14ac:dyDescent="0.3">
      <c r="A94" s="2" t="str">
        <f>HYPERLINK("https://hsdes.intel.com/resource/14013157558","14013157558")</f>
        <v>14013157558</v>
      </c>
      <c r="B94" s="2" t="s">
        <v>233</v>
      </c>
      <c r="C94" s="2" t="s">
        <v>234</v>
      </c>
      <c r="D94" s="5" t="s">
        <v>526</v>
      </c>
      <c r="E94" s="2"/>
      <c r="F94" s="3" t="s">
        <v>10</v>
      </c>
      <c r="G94" s="2" t="s">
        <v>11</v>
      </c>
      <c r="H94" s="2" t="s">
        <v>205</v>
      </c>
      <c r="I94" s="2" t="s">
        <v>134</v>
      </c>
      <c r="J94" s="2" t="s">
        <v>14</v>
      </c>
    </row>
    <row r="95" spans="1:10" x14ac:dyDescent="0.3">
      <c r="A95" s="2" t="str">
        <f>HYPERLINK("https://hsdes.intel.com/resource/14013157573","14013157573")</f>
        <v>14013157573</v>
      </c>
      <c r="B95" s="2" t="s">
        <v>235</v>
      </c>
      <c r="C95" s="2" t="s">
        <v>236</v>
      </c>
      <c r="D95" s="5" t="s">
        <v>526</v>
      </c>
      <c r="E95" s="2"/>
      <c r="F95" s="3" t="s">
        <v>10</v>
      </c>
      <c r="G95" s="2" t="s">
        <v>11</v>
      </c>
      <c r="H95" s="2" t="s">
        <v>30</v>
      </c>
      <c r="I95" s="2" t="s">
        <v>31</v>
      </c>
      <c r="J95" s="2" t="s">
        <v>14</v>
      </c>
    </row>
    <row r="96" spans="1:10" x14ac:dyDescent="0.3">
      <c r="A96" s="2" t="str">
        <f>HYPERLINK("https://hsdes.intel.com/resource/14013157670","14013157670")</f>
        <v>14013157670</v>
      </c>
      <c r="B96" s="2" t="s">
        <v>237</v>
      </c>
      <c r="C96" s="2" t="s">
        <v>238</v>
      </c>
      <c r="D96" s="5" t="s">
        <v>526</v>
      </c>
      <c r="E96" s="2"/>
      <c r="F96" s="3" t="s">
        <v>10</v>
      </c>
      <c r="G96" s="2" t="s">
        <v>11</v>
      </c>
      <c r="H96" s="2" t="s">
        <v>85</v>
      </c>
      <c r="I96" s="2" t="s">
        <v>86</v>
      </c>
      <c r="J96" s="2" t="s">
        <v>14</v>
      </c>
    </row>
    <row r="97" spans="1:10" x14ac:dyDescent="0.3">
      <c r="A97" s="2" t="str">
        <f>HYPERLINK("https://hsdes.intel.com/resource/14013157672","14013157672")</f>
        <v>14013157672</v>
      </c>
      <c r="B97" s="2" t="s">
        <v>239</v>
      </c>
      <c r="C97" s="2" t="s">
        <v>240</v>
      </c>
      <c r="D97" s="5" t="s">
        <v>526</v>
      </c>
      <c r="E97" s="2"/>
      <c r="F97" s="3" t="s">
        <v>10</v>
      </c>
      <c r="G97" s="2" t="s">
        <v>11</v>
      </c>
      <c r="H97" s="2" t="s">
        <v>30</v>
      </c>
      <c r="I97" s="2" t="s">
        <v>31</v>
      </c>
      <c r="J97" s="2" t="s">
        <v>32</v>
      </c>
    </row>
    <row r="98" spans="1:10" x14ac:dyDescent="0.3">
      <c r="A98" s="2" t="str">
        <f>HYPERLINK("https://hsdes.intel.com/resource/14013157705","14013157705")</f>
        <v>14013157705</v>
      </c>
      <c r="B98" s="2" t="s">
        <v>241</v>
      </c>
      <c r="C98" s="2" t="s">
        <v>242</v>
      </c>
      <c r="D98" s="5" t="s">
        <v>526</v>
      </c>
      <c r="E98" s="2"/>
      <c r="F98" s="3" t="s">
        <v>10</v>
      </c>
      <c r="G98" s="2" t="s">
        <v>39</v>
      </c>
      <c r="H98" s="2" t="s">
        <v>12</v>
      </c>
      <c r="I98" s="2" t="s">
        <v>13</v>
      </c>
      <c r="J98" s="2" t="s">
        <v>27</v>
      </c>
    </row>
    <row r="99" spans="1:10" x14ac:dyDescent="0.3">
      <c r="A99" s="2" t="str">
        <f>HYPERLINK("https://hsdes.intel.com/resource/14013157742","14013157742")</f>
        <v>14013157742</v>
      </c>
      <c r="B99" s="2" t="s">
        <v>243</v>
      </c>
      <c r="C99" s="2" t="s">
        <v>244</v>
      </c>
      <c r="D99" s="5" t="s">
        <v>526</v>
      </c>
      <c r="E99" s="2"/>
      <c r="F99" s="3" t="s">
        <v>10</v>
      </c>
      <c r="G99" s="2" t="s">
        <v>11</v>
      </c>
      <c r="H99" s="2" t="s">
        <v>30</v>
      </c>
      <c r="I99" s="2" t="s">
        <v>31</v>
      </c>
      <c r="J99" s="2" t="s">
        <v>32</v>
      </c>
    </row>
    <row r="100" spans="1:10" x14ac:dyDescent="0.3">
      <c r="A100" s="2" t="str">
        <f>HYPERLINK("https://hsdes.intel.com/resource/14013157749","14013157749")</f>
        <v>14013157749</v>
      </c>
      <c r="B100" s="2" t="s">
        <v>245</v>
      </c>
      <c r="C100" s="2" t="s">
        <v>246</v>
      </c>
      <c r="D100" s="5" t="s">
        <v>526</v>
      </c>
      <c r="E100" s="2"/>
      <c r="F100" s="3" t="s">
        <v>10</v>
      </c>
      <c r="G100" s="2" t="s">
        <v>11</v>
      </c>
      <c r="H100" s="2" t="s">
        <v>159</v>
      </c>
      <c r="I100" s="2" t="s">
        <v>210</v>
      </c>
      <c r="J100" s="2" t="s">
        <v>32</v>
      </c>
    </row>
    <row r="101" spans="1:10" x14ac:dyDescent="0.3">
      <c r="A101" s="2" t="str">
        <f>HYPERLINK("https://hsdes.intel.com/resource/14013157753","14013157753")</f>
        <v>14013157753</v>
      </c>
      <c r="B101" s="2" t="s">
        <v>247</v>
      </c>
      <c r="C101" s="2" t="s">
        <v>248</v>
      </c>
      <c r="D101" s="5" t="s">
        <v>526</v>
      </c>
      <c r="E101" s="2"/>
      <c r="F101" s="3" t="s">
        <v>10</v>
      </c>
      <c r="G101" s="2" t="s">
        <v>11</v>
      </c>
      <c r="H101" s="2" t="s">
        <v>30</v>
      </c>
      <c r="I101" s="2" t="s">
        <v>31</v>
      </c>
      <c r="J101" s="2" t="s">
        <v>32</v>
      </c>
    </row>
    <row r="102" spans="1:10" x14ac:dyDescent="0.3">
      <c r="A102" s="2" t="str">
        <f>HYPERLINK("https://hsdes.intel.com/resource/14013157784","14013157784")</f>
        <v>14013157784</v>
      </c>
      <c r="B102" s="2" t="s">
        <v>249</v>
      </c>
      <c r="C102" s="2" t="s">
        <v>250</v>
      </c>
      <c r="D102" s="5" t="s">
        <v>526</v>
      </c>
      <c r="E102" s="2"/>
      <c r="F102" s="3" t="s">
        <v>10</v>
      </c>
      <c r="G102" s="2" t="s">
        <v>39</v>
      </c>
      <c r="H102" s="2" t="s">
        <v>85</v>
      </c>
      <c r="I102" s="2" t="s">
        <v>86</v>
      </c>
      <c r="J102" s="2" t="s">
        <v>14</v>
      </c>
    </row>
    <row r="103" spans="1:10" x14ac:dyDescent="0.3">
      <c r="A103" s="2" t="str">
        <f>HYPERLINK("https://hsdes.intel.com/resource/14013157808","14013157808")</f>
        <v>14013157808</v>
      </c>
      <c r="B103" s="2" t="s">
        <v>251</v>
      </c>
      <c r="C103" s="2" t="s">
        <v>252</v>
      </c>
      <c r="D103" s="5" t="s">
        <v>526</v>
      </c>
      <c r="E103" s="2"/>
      <c r="F103" s="3" t="s">
        <v>10</v>
      </c>
      <c r="G103" s="2" t="s">
        <v>11</v>
      </c>
      <c r="H103" s="2" t="s">
        <v>30</v>
      </c>
      <c r="I103" s="2" t="s">
        <v>31</v>
      </c>
      <c r="J103" s="2" t="s">
        <v>32</v>
      </c>
    </row>
    <row r="104" spans="1:10" x14ac:dyDescent="0.3">
      <c r="A104" s="2" t="str">
        <f>HYPERLINK("https://hsdes.intel.com/resource/14013157811","14013157811")</f>
        <v>14013157811</v>
      </c>
      <c r="B104" s="2" t="s">
        <v>253</v>
      </c>
      <c r="C104" s="2" t="s">
        <v>254</v>
      </c>
      <c r="D104" s="5" t="s">
        <v>526</v>
      </c>
      <c r="E104" s="2"/>
      <c r="F104" s="3" t="s">
        <v>10</v>
      </c>
      <c r="G104" s="2" t="s">
        <v>11</v>
      </c>
      <c r="H104" s="2" t="s">
        <v>30</v>
      </c>
      <c r="I104" s="2" t="s">
        <v>31</v>
      </c>
      <c r="J104" s="2" t="s">
        <v>32</v>
      </c>
    </row>
    <row r="105" spans="1:10" x14ac:dyDescent="0.3">
      <c r="A105" s="2" t="str">
        <f>HYPERLINK("https://hsdes.intel.com/resource/14013157817","14013157817")</f>
        <v>14013157817</v>
      </c>
      <c r="B105" s="2" t="s">
        <v>255</v>
      </c>
      <c r="C105" s="2" t="s">
        <v>256</v>
      </c>
      <c r="D105" s="5" t="s">
        <v>526</v>
      </c>
      <c r="E105" s="2"/>
      <c r="F105" s="3" t="s">
        <v>10</v>
      </c>
      <c r="G105" s="2" t="s">
        <v>11</v>
      </c>
      <c r="H105" s="2" t="s">
        <v>30</v>
      </c>
      <c r="I105" s="2" t="s">
        <v>31</v>
      </c>
      <c r="J105" s="2" t="s">
        <v>32</v>
      </c>
    </row>
    <row r="106" spans="1:10" x14ac:dyDescent="0.3">
      <c r="A106" s="2" t="str">
        <f>HYPERLINK("https://hsdes.intel.com/resource/14013157822","14013157822")</f>
        <v>14013157822</v>
      </c>
      <c r="B106" s="2" t="s">
        <v>257</v>
      </c>
      <c r="C106" s="2" t="s">
        <v>258</v>
      </c>
      <c r="D106" s="5" t="s">
        <v>526</v>
      </c>
      <c r="E106" s="2"/>
      <c r="F106" s="3" t="s">
        <v>10</v>
      </c>
      <c r="G106" s="2" t="s">
        <v>11</v>
      </c>
      <c r="H106" s="2" t="s">
        <v>30</v>
      </c>
      <c r="I106" s="2" t="s">
        <v>31</v>
      </c>
      <c r="J106" s="2" t="s">
        <v>32</v>
      </c>
    </row>
    <row r="107" spans="1:10" x14ac:dyDescent="0.3">
      <c r="A107" s="2" t="str">
        <f>HYPERLINK("https://hsdes.intel.com/resource/14013157826","14013157826")</f>
        <v>14013157826</v>
      </c>
      <c r="B107" s="2" t="s">
        <v>259</v>
      </c>
      <c r="C107" s="2" t="s">
        <v>260</v>
      </c>
      <c r="D107" s="5" t="s">
        <v>526</v>
      </c>
      <c r="E107" s="2"/>
      <c r="F107" s="3" t="s">
        <v>10</v>
      </c>
      <c r="G107" s="2" t="s">
        <v>39</v>
      </c>
      <c r="H107" s="2" t="s">
        <v>68</v>
      </c>
      <c r="I107" s="2" t="s">
        <v>41</v>
      </c>
      <c r="J107" s="2" t="s">
        <v>27</v>
      </c>
    </row>
    <row r="108" spans="1:10" x14ac:dyDescent="0.3">
      <c r="A108" s="2" t="str">
        <f>HYPERLINK("https://hsdes.intel.com/resource/14013157922","14013157922")</f>
        <v>14013157922</v>
      </c>
      <c r="B108" s="2" t="s">
        <v>261</v>
      </c>
      <c r="C108" s="2" t="s">
        <v>262</v>
      </c>
      <c r="D108" s="5" t="s">
        <v>526</v>
      </c>
      <c r="E108" s="2"/>
      <c r="F108" s="3" t="s">
        <v>10</v>
      </c>
      <c r="G108" s="2" t="s">
        <v>11</v>
      </c>
      <c r="H108" s="2" t="s">
        <v>30</v>
      </c>
      <c r="I108" s="2" t="s">
        <v>31</v>
      </c>
      <c r="J108" s="2" t="s">
        <v>32</v>
      </c>
    </row>
    <row r="109" spans="1:10" x14ac:dyDescent="0.3">
      <c r="A109" s="2" t="str">
        <f>HYPERLINK("https://hsdes.intel.com/resource/14013157950","14013157950")</f>
        <v>14013157950</v>
      </c>
      <c r="B109" s="2" t="s">
        <v>263</v>
      </c>
      <c r="C109" s="2" t="s">
        <v>264</v>
      </c>
      <c r="D109" s="5" t="s">
        <v>526</v>
      </c>
      <c r="E109" s="2"/>
      <c r="F109" s="3" t="s">
        <v>10</v>
      </c>
      <c r="G109" s="2" t="s">
        <v>11</v>
      </c>
      <c r="H109" s="2" t="s">
        <v>265</v>
      </c>
      <c r="I109" s="2" t="s">
        <v>266</v>
      </c>
      <c r="J109" s="2" t="s">
        <v>32</v>
      </c>
    </row>
    <row r="110" spans="1:10" x14ac:dyDescent="0.3">
      <c r="A110" s="2" t="str">
        <f>HYPERLINK("https://hsdes.intel.com/resource/14013158089","14013158089")</f>
        <v>14013158089</v>
      </c>
      <c r="B110" s="2" t="s">
        <v>267</v>
      </c>
      <c r="C110" s="2" t="s">
        <v>268</v>
      </c>
      <c r="D110" s="5" t="s">
        <v>526</v>
      </c>
      <c r="E110" s="2"/>
      <c r="F110" s="3" t="s">
        <v>10</v>
      </c>
      <c r="G110" s="2" t="s">
        <v>11</v>
      </c>
      <c r="H110" s="2" t="s">
        <v>12</v>
      </c>
      <c r="I110" s="2" t="s">
        <v>13</v>
      </c>
      <c r="J110" s="2" t="s">
        <v>27</v>
      </c>
    </row>
    <row r="111" spans="1:10" x14ac:dyDescent="0.3">
      <c r="A111" s="2" t="str">
        <f>HYPERLINK("https://hsdes.intel.com/resource/14013158096","14013158096")</f>
        <v>14013158096</v>
      </c>
      <c r="B111" s="2" t="s">
        <v>269</v>
      </c>
      <c r="C111" s="2" t="s">
        <v>270</v>
      </c>
      <c r="D111" s="5" t="s">
        <v>526</v>
      </c>
      <c r="E111" s="2"/>
      <c r="F111" s="3" t="s">
        <v>10</v>
      </c>
      <c r="G111" s="2" t="s">
        <v>11</v>
      </c>
      <c r="H111" s="2" t="s">
        <v>12</v>
      </c>
      <c r="I111" s="2" t="s">
        <v>13</v>
      </c>
      <c r="J111" s="2" t="s">
        <v>14</v>
      </c>
    </row>
    <row r="112" spans="1:10" x14ac:dyDescent="0.3">
      <c r="A112" s="2" t="str">
        <f>HYPERLINK("https://hsdes.intel.com/resource/14013158099","14013158099")</f>
        <v>14013158099</v>
      </c>
      <c r="B112" s="2" t="s">
        <v>271</v>
      </c>
      <c r="C112" s="2" t="s">
        <v>272</v>
      </c>
      <c r="D112" s="5" t="s">
        <v>526</v>
      </c>
      <c r="E112" s="2"/>
      <c r="F112" s="3" t="s">
        <v>10</v>
      </c>
      <c r="G112" s="2" t="s">
        <v>11</v>
      </c>
      <c r="H112" s="2" t="s">
        <v>30</v>
      </c>
      <c r="I112" s="2" t="s">
        <v>31</v>
      </c>
      <c r="J112" s="2" t="s">
        <v>14</v>
      </c>
    </row>
    <row r="113" spans="1:10" x14ac:dyDescent="0.3">
      <c r="A113" s="2" t="str">
        <f>HYPERLINK("https://hsdes.intel.com/resource/14013158101","14013158101")</f>
        <v>14013158101</v>
      </c>
      <c r="B113" s="2" t="s">
        <v>273</v>
      </c>
      <c r="C113" s="2" t="s">
        <v>274</v>
      </c>
      <c r="D113" s="5" t="s">
        <v>526</v>
      </c>
      <c r="E113" s="2"/>
      <c r="F113" s="3" t="s">
        <v>10</v>
      </c>
      <c r="G113" s="2" t="s">
        <v>11</v>
      </c>
      <c r="H113" s="2" t="s">
        <v>30</v>
      </c>
      <c r="I113" s="2" t="s">
        <v>31</v>
      </c>
      <c r="J113" s="2" t="s">
        <v>14</v>
      </c>
    </row>
    <row r="114" spans="1:10" x14ac:dyDescent="0.3">
      <c r="A114" s="2" t="str">
        <f>HYPERLINK("https://hsdes.intel.com/resource/14013158122","14013158122")</f>
        <v>14013158122</v>
      </c>
      <c r="B114" s="2" t="s">
        <v>275</v>
      </c>
      <c r="C114" s="2" t="s">
        <v>276</v>
      </c>
      <c r="D114" s="7" t="s">
        <v>369</v>
      </c>
      <c r="E114" s="2" t="s">
        <v>277</v>
      </c>
      <c r="F114" s="3" t="s">
        <v>10</v>
      </c>
      <c r="G114" s="2" t="s">
        <v>11</v>
      </c>
      <c r="H114" s="2" t="s">
        <v>105</v>
      </c>
      <c r="I114" s="2" t="s">
        <v>210</v>
      </c>
      <c r="J114" s="2" t="s">
        <v>32</v>
      </c>
    </row>
    <row r="115" spans="1:10" x14ac:dyDescent="0.3">
      <c r="A115" s="2" t="str">
        <f>HYPERLINK("https://hsdes.intel.com/resource/14013158163","14013158163")</f>
        <v>14013158163</v>
      </c>
      <c r="B115" s="2" t="s">
        <v>278</v>
      </c>
      <c r="C115" s="2" t="s">
        <v>279</v>
      </c>
      <c r="D115" s="5" t="s">
        <v>526</v>
      </c>
      <c r="E115" s="2"/>
      <c r="F115" s="3" t="s">
        <v>10</v>
      </c>
      <c r="G115" s="2" t="s">
        <v>11</v>
      </c>
      <c r="H115" s="2" t="s">
        <v>85</v>
      </c>
      <c r="I115" s="2" t="s">
        <v>86</v>
      </c>
      <c r="J115" s="2" t="s">
        <v>14</v>
      </c>
    </row>
    <row r="116" spans="1:10" x14ac:dyDescent="0.3">
      <c r="A116" s="2" t="str">
        <f>HYPERLINK("https://hsdes.intel.com/resource/14013158179","14013158179")</f>
        <v>14013158179</v>
      </c>
      <c r="B116" s="2" t="s">
        <v>280</v>
      </c>
      <c r="C116" s="2" t="s">
        <v>281</v>
      </c>
      <c r="D116" s="5" t="s">
        <v>526</v>
      </c>
      <c r="E116" s="2"/>
      <c r="F116" s="3" t="s">
        <v>10</v>
      </c>
      <c r="G116" s="2" t="s">
        <v>11</v>
      </c>
      <c r="H116" s="2" t="s">
        <v>282</v>
      </c>
      <c r="I116" s="2" t="s">
        <v>54</v>
      </c>
      <c r="J116" s="2" t="s">
        <v>32</v>
      </c>
    </row>
    <row r="117" spans="1:10" x14ac:dyDescent="0.3">
      <c r="A117" s="2" t="str">
        <f>HYPERLINK("https://hsdes.intel.com/resource/14013158288","14013158288")</f>
        <v>14013158288</v>
      </c>
      <c r="B117" s="2" t="s">
        <v>283</v>
      </c>
      <c r="C117" s="2" t="s">
        <v>284</v>
      </c>
      <c r="D117" s="5" t="s">
        <v>526</v>
      </c>
      <c r="E117" s="2"/>
      <c r="F117" s="3" t="s">
        <v>10</v>
      </c>
      <c r="G117" s="2" t="s">
        <v>11</v>
      </c>
      <c r="H117" s="2" t="s">
        <v>265</v>
      </c>
      <c r="I117" s="2" t="s">
        <v>266</v>
      </c>
      <c r="J117" s="2" t="s">
        <v>32</v>
      </c>
    </row>
    <row r="118" spans="1:10" x14ac:dyDescent="0.3">
      <c r="A118" s="2" t="str">
        <f>HYPERLINK("https://hsdes.intel.com/resource/14013158293","14013158293")</f>
        <v>14013158293</v>
      </c>
      <c r="B118" s="2" t="s">
        <v>285</v>
      </c>
      <c r="C118" s="2" t="s">
        <v>286</v>
      </c>
      <c r="D118" s="5" t="s">
        <v>526</v>
      </c>
      <c r="E118" s="2"/>
      <c r="F118" s="3" t="s">
        <v>10</v>
      </c>
      <c r="G118" s="2" t="s">
        <v>11</v>
      </c>
      <c r="H118" s="2" t="s">
        <v>53</v>
      </c>
      <c r="I118" s="2" t="s">
        <v>54</v>
      </c>
      <c r="J118" s="2" t="s">
        <v>32</v>
      </c>
    </row>
    <row r="119" spans="1:10" x14ac:dyDescent="0.3">
      <c r="A119" s="2" t="str">
        <f>HYPERLINK("https://hsdes.intel.com/resource/14013158306","14013158306")</f>
        <v>14013158306</v>
      </c>
      <c r="B119" s="2" t="s">
        <v>287</v>
      </c>
      <c r="C119" s="2" t="s">
        <v>288</v>
      </c>
      <c r="D119" s="5" t="s">
        <v>526</v>
      </c>
      <c r="E119" s="2"/>
      <c r="F119" s="3" t="s">
        <v>10</v>
      </c>
      <c r="G119" s="2" t="s">
        <v>39</v>
      </c>
      <c r="H119" s="2" t="s">
        <v>12</v>
      </c>
      <c r="I119" s="2" t="s">
        <v>13</v>
      </c>
      <c r="J119" s="2" t="s">
        <v>14</v>
      </c>
    </row>
    <row r="120" spans="1:10" x14ac:dyDescent="0.3">
      <c r="A120" s="2" t="str">
        <f>HYPERLINK("https://hsdes.intel.com/resource/14013158308","14013158308")</f>
        <v>14013158308</v>
      </c>
      <c r="B120" s="2" t="s">
        <v>289</v>
      </c>
      <c r="C120" s="2" t="s">
        <v>290</v>
      </c>
      <c r="D120" s="5" t="s">
        <v>526</v>
      </c>
      <c r="E120" s="2"/>
      <c r="F120" s="3" t="s">
        <v>10</v>
      </c>
      <c r="G120" s="2" t="s">
        <v>39</v>
      </c>
      <c r="H120" s="2" t="s">
        <v>12</v>
      </c>
      <c r="I120" s="2" t="s">
        <v>13</v>
      </c>
      <c r="J120" s="2" t="s">
        <v>32</v>
      </c>
    </row>
    <row r="121" spans="1:10" x14ac:dyDescent="0.3">
      <c r="A121" s="2" t="str">
        <f>HYPERLINK("https://hsdes.intel.com/resource/14013158313","14013158313")</f>
        <v>14013158313</v>
      </c>
      <c r="B121" s="2" t="s">
        <v>291</v>
      </c>
      <c r="C121" s="2" t="s">
        <v>292</v>
      </c>
      <c r="D121" s="5" t="s">
        <v>526</v>
      </c>
      <c r="E121" s="2"/>
      <c r="F121" s="3" t="s">
        <v>10</v>
      </c>
      <c r="G121" s="2" t="s">
        <v>11</v>
      </c>
      <c r="H121" s="2" t="s">
        <v>12</v>
      </c>
      <c r="I121" s="2" t="s">
        <v>13</v>
      </c>
      <c r="J121" s="2" t="s">
        <v>27</v>
      </c>
    </row>
    <row r="122" spans="1:10" x14ac:dyDescent="0.3">
      <c r="A122" s="2" t="str">
        <f>HYPERLINK("https://hsdes.intel.com/resource/14013158406","14013158406")</f>
        <v>14013158406</v>
      </c>
      <c r="B122" s="2" t="s">
        <v>293</v>
      </c>
      <c r="C122" s="2" t="s">
        <v>294</v>
      </c>
      <c r="D122" s="5" t="s">
        <v>526</v>
      </c>
      <c r="E122" s="2"/>
      <c r="F122" s="3" t="s">
        <v>10</v>
      </c>
      <c r="G122" s="2" t="s">
        <v>11</v>
      </c>
      <c r="H122" s="2" t="s">
        <v>30</v>
      </c>
      <c r="I122" s="2" t="s">
        <v>31</v>
      </c>
      <c r="J122" s="2" t="s">
        <v>32</v>
      </c>
    </row>
    <row r="123" spans="1:10" x14ac:dyDescent="0.3">
      <c r="A123" s="2" t="str">
        <f>HYPERLINK("https://hsdes.intel.com/resource/14013158464","14013158464")</f>
        <v>14013158464</v>
      </c>
      <c r="B123" s="2" t="s">
        <v>295</v>
      </c>
      <c r="C123" s="2" t="s">
        <v>296</v>
      </c>
      <c r="D123" s="5" t="s">
        <v>526</v>
      </c>
      <c r="E123" s="2"/>
      <c r="F123" s="3" t="s">
        <v>10</v>
      </c>
      <c r="G123" s="2" t="s">
        <v>11</v>
      </c>
      <c r="H123" s="2" t="s">
        <v>49</v>
      </c>
      <c r="I123" s="2" t="s">
        <v>128</v>
      </c>
      <c r="J123" s="2" t="s">
        <v>14</v>
      </c>
    </row>
    <row r="124" spans="1:10" x14ac:dyDescent="0.3">
      <c r="A124" s="2" t="str">
        <f>HYPERLINK("https://hsdes.intel.com/resource/14013158501","14013158501")</f>
        <v>14013158501</v>
      </c>
      <c r="B124" s="2" t="s">
        <v>297</v>
      </c>
      <c r="C124" s="2" t="s">
        <v>298</v>
      </c>
      <c r="D124" s="5" t="s">
        <v>526</v>
      </c>
      <c r="E124" s="2"/>
      <c r="F124" s="3" t="s">
        <v>10</v>
      </c>
      <c r="G124" s="2" t="s">
        <v>11</v>
      </c>
      <c r="H124" s="2" t="s">
        <v>30</v>
      </c>
      <c r="I124" s="2" t="s">
        <v>31</v>
      </c>
      <c r="J124" s="2" t="s">
        <v>32</v>
      </c>
    </row>
    <row r="125" spans="1:10" x14ac:dyDescent="0.3">
      <c r="A125" s="2" t="str">
        <f>HYPERLINK("https://hsdes.intel.com/resource/14013158511","14013158511")</f>
        <v>14013158511</v>
      </c>
      <c r="B125" s="2" t="s">
        <v>299</v>
      </c>
      <c r="C125" s="2" t="s">
        <v>300</v>
      </c>
      <c r="D125" s="5" t="s">
        <v>526</v>
      </c>
      <c r="E125" s="2"/>
      <c r="F125" s="3" t="s">
        <v>10</v>
      </c>
      <c r="G125" s="2" t="s">
        <v>11</v>
      </c>
      <c r="H125" s="2" t="s">
        <v>30</v>
      </c>
      <c r="I125" s="2" t="s">
        <v>31</v>
      </c>
      <c r="J125" s="2" t="s">
        <v>32</v>
      </c>
    </row>
    <row r="126" spans="1:10" x14ac:dyDescent="0.3">
      <c r="A126" s="2" t="str">
        <f>HYPERLINK("https://hsdes.intel.com/resource/14013158711","14013158711")</f>
        <v>14013158711</v>
      </c>
      <c r="B126" s="2" t="s">
        <v>301</v>
      </c>
      <c r="C126" s="2" t="s">
        <v>302</v>
      </c>
      <c r="D126" s="5" t="s">
        <v>526</v>
      </c>
      <c r="E126" s="2"/>
      <c r="F126" s="3" t="s">
        <v>10</v>
      </c>
      <c r="G126" s="2" t="s">
        <v>11</v>
      </c>
      <c r="H126" s="2" t="s">
        <v>12</v>
      </c>
      <c r="I126" s="2" t="s">
        <v>13</v>
      </c>
      <c r="J126" s="2" t="s">
        <v>27</v>
      </c>
    </row>
    <row r="127" spans="1:10" x14ac:dyDescent="0.3">
      <c r="A127" s="2" t="str">
        <f>HYPERLINK("https://hsdes.intel.com/resource/14013158731","14013158731")</f>
        <v>14013158731</v>
      </c>
      <c r="B127" s="2" t="s">
        <v>303</v>
      </c>
      <c r="C127" s="2" t="s">
        <v>304</v>
      </c>
      <c r="D127" s="5" t="s">
        <v>526</v>
      </c>
      <c r="E127" s="2"/>
      <c r="F127" s="3" t="s">
        <v>10</v>
      </c>
      <c r="G127" s="2" t="s">
        <v>11</v>
      </c>
      <c r="H127" s="2" t="s">
        <v>12</v>
      </c>
      <c r="I127" s="2" t="s">
        <v>13</v>
      </c>
      <c r="J127" s="2" t="s">
        <v>14</v>
      </c>
    </row>
    <row r="128" spans="1:10" x14ac:dyDescent="0.3">
      <c r="A128" s="2" t="str">
        <f>HYPERLINK("https://hsdes.intel.com/resource/14013158739","14013158739")</f>
        <v>14013158739</v>
      </c>
      <c r="B128" s="2" t="s">
        <v>305</v>
      </c>
      <c r="C128" s="2" t="s">
        <v>306</v>
      </c>
      <c r="D128" s="5" t="s">
        <v>526</v>
      </c>
      <c r="E128" s="2"/>
      <c r="F128" s="3" t="s">
        <v>10</v>
      </c>
      <c r="G128" s="2" t="s">
        <v>11</v>
      </c>
      <c r="H128" s="2" t="s">
        <v>12</v>
      </c>
      <c r="I128" s="2" t="s">
        <v>13</v>
      </c>
      <c r="J128" s="2" t="s">
        <v>14</v>
      </c>
    </row>
    <row r="129" spans="1:10" x14ac:dyDescent="0.3">
      <c r="A129" s="2" t="str">
        <f>HYPERLINK("https://hsdes.intel.com/resource/14013158782","14013158782")</f>
        <v>14013158782</v>
      </c>
      <c r="B129" s="2" t="s">
        <v>307</v>
      </c>
      <c r="C129" s="2" t="s">
        <v>308</v>
      </c>
      <c r="D129" s="5" t="s">
        <v>526</v>
      </c>
      <c r="E129" s="2"/>
      <c r="F129" s="3" t="s">
        <v>10</v>
      </c>
      <c r="G129" s="2" t="s">
        <v>11</v>
      </c>
      <c r="H129" s="2" t="s">
        <v>133</v>
      </c>
      <c r="I129" s="2" t="s">
        <v>134</v>
      </c>
      <c r="J129" s="2" t="s">
        <v>27</v>
      </c>
    </row>
    <row r="130" spans="1:10" x14ac:dyDescent="0.3">
      <c r="A130" s="2" t="str">
        <f>HYPERLINK("https://hsdes.intel.com/resource/14013158788","14013158788")</f>
        <v>14013158788</v>
      </c>
      <c r="B130" s="2" t="s">
        <v>309</v>
      </c>
      <c r="C130" s="2" t="s">
        <v>310</v>
      </c>
      <c r="D130" s="5" t="s">
        <v>526</v>
      </c>
      <c r="E130" s="2"/>
      <c r="F130" s="3" t="s">
        <v>10</v>
      </c>
      <c r="G130" s="2" t="s">
        <v>11</v>
      </c>
      <c r="H130" s="2" t="s">
        <v>133</v>
      </c>
      <c r="I130" s="2" t="s">
        <v>134</v>
      </c>
      <c r="J130" s="2" t="s">
        <v>14</v>
      </c>
    </row>
    <row r="131" spans="1:10" x14ac:dyDescent="0.3">
      <c r="A131" s="2" t="str">
        <f>HYPERLINK("https://hsdes.intel.com/resource/14013158792","14013158792")</f>
        <v>14013158792</v>
      </c>
      <c r="B131" s="2" t="s">
        <v>311</v>
      </c>
      <c r="C131" s="2" t="s">
        <v>312</v>
      </c>
      <c r="D131" s="5" t="s">
        <v>526</v>
      </c>
      <c r="E131" s="2"/>
      <c r="F131" s="3" t="s">
        <v>10</v>
      </c>
      <c r="G131" s="2" t="s">
        <v>39</v>
      </c>
      <c r="H131" s="2" t="s">
        <v>12</v>
      </c>
      <c r="I131" s="2" t="s">
        <v>13</v>
      </c>
      <c r="J131" s="2" t="s">
        <v>27</v>
      </c>
    </row>
    <row r="132" spans="1:10" x14ac:dyDescent="0.3">
      <c r="A132" s="2" t="str">
        <f>HYPERLINK("https://hsdes.intel.com/resource/14013158806","14013158806")</f>
        <v>14013158806</v>
      </c>
      <c r="B132" s="2" t="s">
        <v>313</v>
      </c>
      <c r="C132" s="2" t="s">
        <v>314</v>
      </c>
      <c r="D132" s="5" t="s">
        <v>526</v>
      </c>
      <c r="E132" s="2"/>
      <c r="F132" s="3" t="s">
        <v>10</v>
      </c>
      <c r="G132" s="2" t="s">
        <v>11</v>
      </c>
      <c r="H132" s="2" t="s">
        <v>12</v>
      </c>
      <c r="I132" s="2" t="s">
        <v>13</v>
      </c>
      <c r="J132" s="2" t="s">
        <v>14</v>
      </c>
    </row>
    <row r="133" spans="1:10" x14ac:dyDescent="0.3">
      <c r="A133" s="2" t="str">
        <f>HYPERLINK("https://hsdes.intel.com/resource/14013158809","14013158809")</f>
        <v>14013158809</v>
      </c>
      <c r="B133" s="2" t="s">
        <v>315</v>
      </c>
      <c r="C133" s="2" t="s">
        <v>316</v>
      </c>
      <c r="D133" s="5" t="s">
        <v>526</v>
      </c>
      <c r="E133" s="2"/>
      <c r="F133" s="3" t="s">
        <v>10</v>
      </c>
      <c r="G133" s="2" t="s">
        <v>11</v>
      </c>
      <c r="H133" s="2" t="s">
        <v>12</v>
      </c>
      <c r="I133" s="2" t="s">
        <v>13</v>
      </c>
      <c r="J133" s="2" t="s">
        <v>14</v>
      </c>
    </row>
    <row r="134" spans="1:10" x14ac:dyDescent="0.3">
      <c r="A134" s="2" t="str">
        <f>HYPERLINK("https://hsdes.intel.com/resource/14013158815","14013158815")</f>
        <v>14013158815</v>
      </c>
      <c r="B134" s="2" t="s">
        <v>317</v>
      </c>
      <c r="C134" s="2" t="s">
        <v>318</v>
      </c>
      <c r="D134" s="5" t="s">
        <v>526</v>
      </c>
      <c r="E134" s="2"/>
      <c r="F134" s="3" t="s">
        <v>10</v>
      </c>
      <c r="G134" s="2" t="s">
        <v>11</v>
      </c>
      <c r="H134" s="2" t="s">
        <v>12</v>
      </c>
      <c r="I134" s="2" t="s">
        <v>13</v>
      </c>
      <c r="J134" s="2" t="s">
        <v>27</v>
      </c>
    </row>
    <row r="135" spans="1:10" x14ac:dyDescent="0.3">
      <c r="A135" s="2" t="str">
        <f>HYPERLINK("https://hsdes.intel.com/resource/14013158817","14013158817")</f>
        <v>14013158817</v>
      </c>
      <c r="B135" s="2" t="s">
        <v>319</v>
      </c>
      <c r="C135" s="2" t="s">
        <v>320</v>
      </c>
      <c r="D135" s="5" t="s">
        <v>526</v>
      </c>
      <c r="E135" s="2"/>
      <c r="F135" s="3" t="s">
        <v>10</v>
      </c>
      <c r="G135" s="2" t="s">
        <v>11</v>
      </c>
      <c r="H135" s="2" t="s">
        <v>12</v>
      </c>
      <c r="I135" s="2" t="s">
        <v>13</v>
      </c>
      <c r="J135" s="2" t="s">
        <v>27</v>
      </c>
    </row>
    <row r="136" spans="1:10" x14ac:dyDescent="0.3">
      <c r="A136" s="2" t="str">
        <f>HYPERLINK("https://hsdes.intel.com/resource/14013158819","14013158819")</f>
        <v>14013158819</v>
      </c>
      <c r="B136" s="2" t="s">
        <v>321</v>
      </c>
      <c r="C136" s="2" t="s">
        <v>322</v>
      </c>
      <c r="D136" s="5" t="s">
        <v>526</v>
      </c>
      <c r="E136" s="2"/>
      <c r="F136" s="3" t="s">
        <v>10</v>
      </c>
      <c r="G136" s="2" t="s">
        <v>11</v>
      </c>
      <c r="H136" s="2" t="s">
        <v>12</v>
      </c>
      <c r="I136" s="2" t="s">
        <v>13</v>
      </c>
      <c r="J136" s="2" t="s">
        <v>27</v>
      </c>
    </row>
    <row r="137" spans="1:10" x14ac:dyDescent="0.3">
      <c r="A137" s="2" t="str">
        <f>HYPERLINK("https://hsdes.intel.com/resource/14013158821","14013158821")</f>
        <v>14013158821</v>
      </c>
      <c r="B137" s="2" t="s">
        <v>323</v>
      </c>
      <c r="C137" s="2" t="s">
        <v>324</v>
      </c>
      <c r="D137" s="5" t="s">
        <v>526</v>
      </c>
      <c r="E137" s="2"/>
      <c r="F137" s="3" t="s">
        <v>10</v>
      </c>
      <c r="G137" s="2" t="s">
        <v>11</v>
      </c>
      <c r="H137" s="2" t="s">
        <v>12</v>
      </c>
      <c r="I137" s="2" t="s">
        <v>13</v>
      </c>
      <c r="J137" s="2" t="s">
        <v>27</v>
      </c>
    </row>
    <row r="138" spans="1:10" x14ac:dyDescent="0.3">
      <c r="A138" s="2" t="str">
        <f>HYPERLINK("https://hsdes.intel.com/resource/14013158823","14013158823")</f>
        <v>14013158823</v>
      </c>
      <c r="B138" s="2" t="s">
        <v>325</v>
      </c>
      <c r="C138" s="2" t="s">
        <v>326</v>
      </c>
      <c r="D138" s="5" t="s">
        <v>526</v>
      </c>
      <c r="E138" s="2"/>
      <c r="F138" s="3" t="s">
        <v>10</v>
      </c>
      <c r="G138" s="2" t="s">
        <v>11</v>
      </c>
      <c r="H138" s="2" t="s">
        <v>12</v>
      </c>
      <c r="I138" s="2" t="s">
        <v>13</v>
      </c>
      <c r="J138" s="2" t="s">
        <v>27</v>
      </c>
    </row>
    <row r="139" spans="1:10" x14ac:dyDescent="0.3">
      <c r="A139" s="2" t="str">
        <f>HYPERLINK("https://hsdes.intel.com/resource/14013158825","14013158825")</f>
        <v>14013158825</v>
      </c>
      <c r="B139" s="2" t="s">
        <v>327</v>
      </c>
      <c r="C139" s="2" t="s">
        <v>328</v>
      </c>
      <c r="D139" s="5" t="s">
        <v>526</v>
      </c>
      <c r="E139" s="2"/>
      <c r="F139" s="3" t="s">
        <v>10</v>
      </c>
      <c r="G139" s="2" t="s">
        <v>11</v>
      </c>
      <c r="H139" s="2" t="s">
        <v>12</v>
      </c>
      <c r="I139" s="2" t="s">
        <v>13</v>
      </c>
      <c r="J139" s="2" t="s">
        <v>27</v>
      </c>
    </row>
    <row r="140" spans="1:10" x14ac:dyDescent="0.3">
      <c r="A140" s="2" t="str">
        <f>HYPERLINK("https://hsdes.intel.com/resource/14013158834","14013158834")</f>
        <v>14013158834</v>
      </c>
      <c r="B140" s="2" t="s">
        <v>329</v>
      </c>
      <c r="C140" s="2" t="s">
        <v>330</v>
      </c>
      <c r="D140" s="5" t="s">
        <v>526</v>
      </c>
      <c r="E140" s="2"/>
      <c r="F140" s="3" t="s">
        <v>10</v>
      </c>
      <c r="G140" s="2" t="s">
        <v>11</v>
      </c>
      <c r="H140" s="2" t="s">
        <v>12</v>
      </c>
      <c r="I140" s="2" t="s">
        <v>13</v>
      </c>
      <c r="J140" s="2" t="s">
        <v>27</v>
      </c>
    </row>
    <row r="141" spans="1:10" x14ac:dyDescent="0.3">
      <c r="A141" s="2" t="str">
        <f>HYPERLINK("https://hsdes.intel.com/resource/14013158836","14013158836")</f>
        <v>14013158836</v>
      </c>
      <c r="B141" s="2" t="s">
        <v>331</v>
      </c>
      <c r="C141" s="2" t="s">
        <v>332</v>
      </c>
      <c r="D141" s="5" t="s">
        <v>526</v>
      </c>
      <c r="E141" s="2"/>
      <c r="F141" s="3" t="s">
        <v>10</v>
      </c>
      <c r="G141" s="2" t="s">
        <v>11</v>
      </c>
      <c r="H141" s="2" t="s">
        <v>12</v>
      </c>
      <c r="I141" s="2" t="s">
        <v>13</v>
      </c>
      <c r="J141" s="2" t="s">
        <v>27</v>
      </c>
    </row>
    <row r="142" spans="1:10" x14ac:dyDescent="0.3">
      <c r="A142" s="2" t="str">
        <f>HYPERLINK("https://hsdes.intel.com/resource/14013158841","14013158841")</f>
        <v>14013158841</v>
      </c>
      <c r="B142" s="2" t="s">
        <v>333</v>
      </c>
      <c r="C142" s="2" t="s">
        <v>334</v>
      </c>
      <c r="D142" s="5" t="s">
        <v>526</v>
      </c>
      <c r="E142" s="2"/>
      <c r="F142" s="3" t="s">
        <v>10</v>
      </c>
      <c r="G142" s="2" t="s">
        <v>11</v>
      </c>
      <c r="H142" s="2" t="s">
        <v>12</v>
      </c>
      <c r="I142" s="2" t="s">
        <v>13</v>
      </c>
      <c r="J142" s="2" t="s">
        <v>14</v>
      </c>
    </row>
    <row r="143" spans="1:10" x14ac:dyDescent="0.3">
      <c r="A143" s="2" t="str">
        <f>HYPERLINK("https://hsdes.intel.com/resource/14013158843","14013158843")</f>
        <v>14013158843</v>
      </c>
      <c r="B143" s="2" t="s">
        <v>335</v>
      </c>
      <c r="C143" s="2" t="s">
        <v>336</v>
      </c>
      <c r="D143" s="5" t="s">
        <v>526</v>
      </c>
      <c r="E143" s="2"/>
      <c r="F143" s="3" t="s">
        <v>10</v>
      </c>
      <c r="G143" s="2" t="s">
        <v>11</v>
      </c>
      <c r="H143" s="2" t="s">
        <v>12</v>
      </c>
      <c r="I143" s="2" t="s">
        <v>13</v>
      </c>
      <c r="J143" s="2" t="s">
        <v>27</v>
      </c>
    </row>
    <row r="144" spans="1:10" x14ac:dyDescent="0.3">
      <c r="A144" s="2" t="str">
        <f>HYPERLINK("https://hsdes.intel.com/resource/14013158846","14013158846")</f>
        <v>14013158846</v>
      </c>
      <c r="B144" s="2" t="s">
        <v>337</v>
      </c>
      <c r="C144" s="2" t="s">
        <v>338</v>
      </c>
      <c r="D144" s="5" t="s">
        <v>526</v>
      </c>
      <c r="E144" s="2"/>
      <c r="F144" s="3" t="s">
        <v>10</v>
      </c>
      <c r="G144" s="2" t="s">
        <v>11</v>
      </c>
      <c r="H144" s="2" t="s">
        <v>12</v>
      </c>
      <c r="I144" s="2" t="s">
        <v>13</v>
      </c>
      <c r="J144" s="2" t="s">
        <v>14</v>
      </c>
    </row>
    <row r="145" spans="1:10" x14ac:dyDescent="0.3">
      <c r="A145" s="2" t="str">
        <f>HYPERLINK("https://hsdes.intel.com/resource/14013158912","14013158912")</f>
        <v>14013158912</v>
      </c>
      <c r="B145" s="2" t="s">
        <v>339</v>
      </c>
      <c r="C145" s="2" t="s">
        <v>340</v>
      </c>
      <c r="D145" s="5" t="s">
        <v>526</v>
      </c>
      <c r="E145" s="2"/>
      <c r="F145" s="3" t="s">
        <v>10</v>
      </c>
      <c r="G145" s="2" t="s">
        <v>11</v>
      </c>
      <c r="H145" s="2" t="s">
        <v>12</v>
      </c>
      <c r="I145" s="2" t="s">
        <v>13</v>
      </c>
      <c r="J145" s="2" t="s">
        <v>27</v>
      </c>
    </row>
    <row r="146" spans="1:10" x14ac:dyDescent="0.3">
      <c r="A146" s="2" t="str">
        <f>HYPERLINK("https://hsdes.intel.com/resource/14013158937","14013158937")</f>
        <v>14013158937</v>
      </c>
      <c r="B146" s="2" t="s">
        <v>341</v>
      </c>
      <c r="C146" s="2" t="s">
        <v>342</v>
      </c>
      <c r="D146" s="5" t="s">
        <v>526</v>
      </c>
      <c r="E146" s="2"/>
      <c r="F146" s="3" t="s">
        <v>10</v>
      </c>
      <c r="G146" s="2" t="s">
        <v>11</v>
      </c>
      <c r="H146" s="2" t="s">
        <v>12</v>
      </c>
      <c r="I146" s="2" t="s">
        <v>13</v>
      </c>
      <c r="J146" s="2" t="s">
        <v>27</v>
      </c>
    </row>
    <row r="147" spans="1:10" x14ac:dyDescent="0.3">
      <c r="A147" s="2" t="str">
        <f>HYPERLINK("https://hsdes.intel.com/resource/14013158953","14013158953")</f>
        <v>14013158953</v>
      </c>
      <c r="B147" s="2" t="s">
        <v>343</v>
      </c>
      <c r="C147" s="2" t="s">
        <v>344</v>
      </c>
      <c r="D147" s="5" t="s">
        <v>526</v>
      </c>
      <c r="E147" s="2"/>
      <c r="F147" s="3" t="s">
        <v>10</v>
      </c>
      <c r="G147" s="2" t="s">
        <v>11</v>
      </c>
      <c r="H147" s="2" t="s">
        <v>12</v>
      </c>
      <c r="I147" s="2" t="s">
        <v>13</v>
      </c>
      <c r="J147" s="2" t="s">
        <v>27</v>
      </c>
    </row>
    <row r="148" spans="1:10" x14ac:dyDescent="0.3">
      <c r="A148" s="2" t="str">
        <f>HYPERLINK("https://hsdes.intel.com/resource/14013158965","14013158965")</f>
        <v>14013158965</v>
      </c>
      <c r="B148" s="2" t="s">
        <v>345</v>
      </c>
      <c r="C148" s="2" t="s">
        <v>346</v>
      </c>
      <c r="D148" s="5" t="s">
        <v>526</v>
      </c>
      <c r="E148" s="2"/>
      <c r="F148" s="3" t="s">
        <v>10</v>
      </c>
      <c r="G148" s="2" t="s">
        <v>11</v>
      </c>
      <c r="H148" s="2" t="s">
        <v>30</v>
      </c>
      <c r="I148" s="2" t="s">
        <v>31</v>
      </c>
      <c r="J148" s="2" t="s">
        <v>32</v>
      </c>
    </row>
    <row r="149" spans="1:10" x14ac:dyDescent="0.3">
      <c r="A149" s="2" t="str">
        <f>HYPERLINK("https://hsdes.intel.com/resource/14013158967","14013158967")</f>
        <v>14013158967</v>
      </c>
      <c r="B149" s="2" t="s">
        <v>347</v>
      </c>
      <c r="C149" s="2" t="s">
        <v>348</v>
      </c>
      <c r="D149" s="7" t="s">
        <v>369</v>
      </c>
      <c r="E149" s="2" t="s">
        <v>48</v>
      </c>
      <c r="F149" s="3" t="s">
        <v>10</v>
      </c>
      <c r="G149" s="2" t="s">
        <v>11</v>
      </c>
      <c r="H149" s="2" t="s">
        <v>30</v>
      </c>
      <c r="I149" s="2" t="s">
        <v>31</v>
      </c>
      <c r="J149" s="2" t="s">
        <v>32</v>
      </c>
    </row>
    <row r="150" spans="1:10" x14ac:dyDescent="0.3">
      <c r="A150" s="2" t="str">
        <f>HYPERLINK("https://hsdes.intel.com/resource/14013158985","14013158985")</f>
        <v>14013158985</v>
      </c>
      <c r="B150" s="2" t="s">
        <v>349</v>
      </c>
      <c r="C150" s="2" t="s">
        <v>350</v>
      </c>
      <c r="D150" s="5" t="s">
        <v>526</v>
      </c>
      <c r="E150" s="2"/>
      <c r="F150" s="3" t="s">
        <v>10</v>
      </c>
      <c r="G150" s="2" t="s">
        <v>11</v>
      </c>
      <c r="H150" s="2" t="s">
        <v>282</v>
      </c>
      <c r="I150" s="2" t="s">
        <v>54</v>
      </c>
      <c r="J150" s="2" t="s">
        <v>32</v>
      </c>
    </row>
    <row r="151" spans="1:10" x14ac:dyDescent="0.3">
      <c r="A151" s="2" t="str">
        <f>HYPERLINK("https://hsdes.intel.com/resource/14013158993","14013158993")</f>
        <v>14013158993</v>
      </c>
      <c r="B151" s="2" t="s">
        <v>351</v>
      </c>
      <c r="C151" s="2" t="s">
        <v>352</v>
      </c>
      <c r="D151" s="5" t="s">
        <v>526</v>
      </c>
      <c r="E151" s="2"/>
      <c r="F151" s="3" t="s">
        <v>10</v>
      </c>
      <c r="G151" s="2" t="s">
        <v>11</v>
      </c>
      <c r="H151" s="2" t="s">
        <v>30</v>
      </c>
      <c r="I151" s="2" t="s">
        <v>31</v>
      </c>
      <c r="J151" s="2" t="s">
        <v>32</v>
      </c>
    </row>
    <row r="152" spans="1:10" x14ac:dyDescent="0.3">
      <c r="A152" s="2" t="str">
        <f>HYPERLINK("https://hsdes.intel.com/resource/14013159002","14013159002")</f>
        <v>14013159002</v>
      </c>
      <c r="B152" s="2" t="s">
        <v>353</v>
      </c>
      <c r="C152" s="2" t="s">
        <v>354</v>
      </c>
      <c r="D152" s="5" t="s">
        <v>526</v>
      </c>
      <c r="E152" s="2"/>
      <c r="F152" s="3" t="s">
        <v>10</v>
      </c>
      <c r="G152" s="2" t="s">
        <v>11</v>
      </c>
      <c r="H152" s="2" t="s">
        <v>85</v>
      </c>
      <c r="I152" s="2" t="s">
        <v>86</v>
      </c>
      <c r="J152" s="2" t="s">
        <v>27</v>
      </c>
    </row>
    <row r="153" spans="1:10" x14ac:dyDescent="0.3">
      <c r="A153" s="2" t="str">
        <f>HYPERLINK("https://hsdes.intel.com/resource/14013159006","14013159006")</f>
        <v>14013159006</v>
      </c>
      <c r="B153" s="2" t="s">
        <v>355</v>
      </c>
      <c r="C153" s="2" t="s">
        <v>356</v>
      </c>
      <c r="D153" s="5" t="s">
        <v>526</v>
      </c>
      <c r="E153" s="2"/>
      <c r="F153" s="3" t="s">
        <v>10</v>
      </c>
      <c r="G153" s="2" t="s">
        <v>11</v>
      </c>
      <c r="H153" s="2" t="s">
        <v>12</v>
      </c>
      <c r="I153" s="2" t="s">
        <v>13</v>
      </c>
      <c r="J153" s="2" t="s">
        <v>14</v>
      </c>
    </row>
    <row r="154" spans="1:10" x14ac:dyDescent="0.3">
      <c r="A154" s="2" t="str">
        <f>HYPERLINK("https://hsdes.intel.com/resource/14013159008","14013159008")</f>
        <v>14013159008</v>
      </c>
      <c r="B154" s="2" t="s">
        <v>357</v>
      </c>
      <c r="C154" s="2" t="s">
        <v>358</v>
      </c>
      <c r="D154" s="5" t="s">
        <v>526</v>
      </c>
      <c r="E154" s="2"/>
      <c r="F154" s="3" t="s">
        <v>10</v>
      </c>
      <c r="G154" s="2" t="s">
        <v>11</v>
      </c>
      <c r="H154" s="2" t="s">
        <v>30</v>
      </c>
      <c r="I154" s="2" t="s">
        <v>31</v>
      </c>
      <c r="J154" s="2" t="s">
        <v>14</v>
      </c>
    </row>
    <row r="155" spans="1:10" x14ac:dyDescent="0.3">
      <c r="A155" s="2" t="str">
        <f>HYPERLINK("https://hsdes.intel.com/resource/14013159027","14013159027")</f>
        <v>14013159027</v>
      </c>
      <c r="B155" s="2" t="s">
        <v>359</v>
      </c>
      <c r="C155" s="2" t="s">
        <v>360</v>
      </c>
      <c r="D155" s="5" t="s">
        <v>526</v>
      </c>
      <c r="E155" s="2"/>
      <c r="F155" s="3" t="s">
        <v>10</v>
      </c>
      <c r="G155" s="2" t="s">
        <v>39</v>
      </c>
      <c r="H155" s="2" t="s">
        <v>12</v>
      </c>
      <c r="I155" s="2" t="s">
        <v>13</v>
      </c>
      <c r="J155" s="2" t="s">
        <v>27</v>
      </c>
    </row>
    <row r="156" spans="1:10" x14ac:dyDescent="0.3">
      <c r="A156" s="2" t="str">
        <f>HYPERLINK("https://hsdes.intel.com/resource/14013159034","14013159034")</f>
        <v>14013159034</v>
      </c>
      <c r="B156" s="2" t="s">
        <v>361</v>
      </c>
      <c r="C156" s="2" t="s">
        <v>362</v>
      </c>
      <c r="D156" s="5" t="s">
        <v>526</v>
      </c>
      <c r="E156" s="2"/>
      <c r="F156" s="3" t="s">
        <v>10</v>
      </c>
      <c r="G156" s="2" t="s">
        <v>11</v>
      </c>
      <c r="H156" s="2" t="s">
        <v>30</v>
      </c>
      <c r="I156" s="2" t="s">
        <v>31</v>
      </c>
      <c r="J156" s="2" t="s">
        <v>14</v>
      </c>
    </row>
    <row r="157" spans="1:10" x14ac:dyDescent="0.3">
      <c r="A157" s="2" t="str">
        <f>HYPERLINK("https://hsdes.intel.com/resource/14013159082","14013159082")</f>
        <v>14013159082</v>
      </c>
      <c r="B157" s="2" t="s">
        <v>363</v>
      </c>
      <c r="C157" s="2" t="s">
        <v>364</v>
      </c>
      <c r="D157" s="5" t="s">
        <v>526</v>
      </c>
      <c r="E157" s="2"/>
      <c r="F157" s="3" t="s">
        <v>10</v>
      </c>
      <c r="G157" s="2" t="s">
        <v>11</v>
      </c>
      <c r="H157" s="2" t="s">
        <v>12</v>
      </c>
      <c r="I157" s="2" t="s">
        <v>13</v>
      </c>
      <c r="J157" s="2" t="s">
        <v>14</v>
      </c>
    </row>
    <row r="158" spans="1:10" x14ac:dyDescent="0.3">
      <c r="A158" s="2" t="str">
        <f>HYPERLINK("https://hsdes.intel.com/resource/14013159088","14013159088")</f>
        <v>14013159088</v>
      </c>
      <c r="B158" s="2" t="s">
        <v>365</v>
      </c>
      <c r="C158" s="2" t="s">
        <v>366</v>
      </c>
      <c r="D158" s="5" t="s">
        <v>526</v>
      </c>
      <c r="E158" s="2"/>
      <c r="F158" s="3" t="s">
        <v>10</v>
      </c>
      <c r="G158" s="2" t="s">
        <v>11</v>
      </c>
      <c r="H158" s="2" t="s">
        <v>12</v>
      </c>
      <c r="I158" s="2" t="s">
        <v>13</v>
      </c>
      <c r="J158" s="2" t="s">
        <v>27</v>
      </c>
    </row>
    <row r="159" spans="1:10" x14ac:dyDescent="0.3">
      <c r="A159" s="2" t="str">
        <f>HYPERLINK("https://hsdes.intel.com/resource/14013159100","14013159100")</f>
        <v>14013159100</v>
      </c>
      <c r="B159" s="2" t="s">
        <v>367</v>
      </c>
      <c r="C159" s="2" t="s">
        <v>368</v>
      </c>
      <c r="D159" s="7" t="s">
        <v>369</v>
      </c>
      <c r="E159" s="2" t="s">
        <v>277</v>
      </c>
      <c r="F159" s="3" t="s">
        <v>10</v>
      </c>
      <c r="G159" s="2" t="s">
        <v>11</v>
      </c>
      <c r="H159" s="2" t="s">
        <v>12</v>
      </c>
      <c r="I159" s="2" t="s">
        <v>13</v>
      </c>
      <c r="J159" s="2" t="s">
        <v>14</v>
      </c>
    </row>
    <row r="160" spans="1:10" x14ac:dyDescent="0.3">
      <c r="A160" s="2" t="str">
        <f>HYPERLINK("https://hsdes.intel.com/resource/14013159106","14013159106")</f>
        <v>14013159106</v>
      </c>
      <c r="B160" s="2" t="s">
        <v>370</v>
      </c>
      <c r="C160" s="2" t="s">
        <v>371</v>
      </c>
      <c r="D160" s="5" t="s">
        <v>526</v>
      </c>
      <c r="E160" s="2"/>
      <c r="F160" s="3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</row>
    <row r="161" spans="1:10" x14ac:dyDescent="0.3">
      <c r="A161" s="2" t="str">
        <f>HYPERLINK("https://hsdes.intel.com/resource/14013159108","14013159108")</f>
        <v>14013159108</v>
      </c>
      <c r="B161" s="2" t="s">
        <v>372</v>
      </c>
      <c r="C161" s="2" t="s">
        <v>373</v>
      </c>
      <c r="D161" s="5" t="s">
        <v>526</v>
      </c>
      <c r="E161" s="2"/>
      <c r="F161" s="3" t="s">
        <v>10</v>
      </c>
      <c r="G161" s="2" t="s">
        <v>11</v>
      </c>
      <c r="H161" s="2" t="s">
        <v>12</v>
      </c>
      <c r="I161" s="2" t="s">
        <v>13</v>
      </c>
      <c r="J161" s="2" t="s">
        <v>27</v>
      </c>
    </row>
    <row r="162" spans="1:10" x14ac:dyDescent="0.3">
      <c r="A162" s="2" t="str">
        <f>HYPERLINK("https://hsdes.intel.com/resource/14013159116","14013159116")</f>
        <v>14013159116</v>
      </c>
      <c r="B162" s="2" t="s">
        <v>374</v>
      </c>
      <c r="C162" s="2" t="s">
        <v>375</v>
      </c>
      <c r="D162" s="5" t="s">
        <v>526</v>
      </c>
      <c r="E162" s="2"/>
      <c r="F162" s="3" t="s">
        <v>10</v>
      </c>
      <c r="G162" s="2" t="s">
        <v>11</v>
      </c>
      <c r="H162" s="2" t="s">
        <v>12</v>
      </c>
      <c r="I162" s="2" t="s">
        <v>13</v>
      </c>
      <c r="J162" s="2" t="s">
        <v>27</v>
      </c>
    </row>
    <row r="163" spans="1:10" x14ac:dyDescent="0.3">
      <c r="A163" s="2" t="str">
        <f>HYPERLINK("https://hsdes.intel.com/resource/14013159121","14013159121")</f>
        <v>14013159121</v>
      </c>
      <c r="B163" s="2" t="s">
        <v>376</v>
      </c>
      <c r="C163" s="2" t="s">
        <v>377</v>
      </c>
      <c r="D163" s="5" t="s">
        <v>526</v>
      </c>
      <c r="E163" s="2"/>
      <c r="F163" s="3" t="s">
        <v>10</v>
      </c>
      <c r="G163" s="2" t="s">
        <v>11</v>
      </c>
      <c r="H163" s="2" t="s">
        <v>12</v>
      </c>
      <c r="I163" s="2" t="s">
        <v>13</v>
      </c>
      <c r="J163" s="2" t="s">
        <v>14</v>
      </c>
    </row>
    <row r="164" spans="1:10" x14ac:dyDescent="0.3">
      <c r="A164" s="2" t="str">
        <f>HYPERLINK("https://hsdes.intel.com/resource/14013159136","14013159136")</f>
        <v>14013159136</v>
      </c>
      <c r="B164" s="2" t="s">
        <v>378</v>
      </c>
      <c r="C164" s="2" t="s">
        <v>379</v>
      </c>
      <c r="D164" s="5" t="s">
        <v>526</v>
      </c>
      <c r="E164" s="2"/>
      <c r="F164" s="3" t="s">
        <v>10</v>
      </c>
      <c r="G164" s="2" t="s">
        <v>11</v>
      </c>
      <c r="H164" s="2" t="s">
        <v>12</v>
      </c>
      <c r="I164" s="2" t="s">
        <v>13</v>
      </c>
      <c r="J164" s="2" t="s">
        <v>27</v>
      </c>
    </row>
    <row r="165" spans="1:10" x14ac:dyDescent="0.3">
      <c r="A165" s="2" t="str">
        <f>HYPERLINK("https://hsdes.intel.com/resource/14013159138","14013159138")</f>
        <v>14013159138</v>
      </c>
      <c r="B165" s="2" t="s">
        <v>380</v>
      </c>
      <c r="C165" s="2" t="s">
        <v>381</v>
      </c>
      <c r="D165" s="5" t="s">
        <v>526</v>
      </c>
      <c r="E165" s="2"/>
      <c r="F165" s="3" t="s">
        <v>10</v>
      </c>
      <c r="G165" s="2" t="s">
        <v>11</v>
      </c>
      <c r="H165" s="2" t="s">
        <v>12</v>
      </c>
      <c r="I165" s="2" t="s">
        <v>13</v>
      </c>
      <c r="J165" s="2" t="s">
        <v>27</v>
      </c>
    </row>
    <row r="166" spans="1:10" x14ac:dyDescent="0.3">
      <c r="A166" s="2" t="str">
        <f>HYPERLINK("https://hsdes.intel.com/resource/14013159141","14013159141")</f>
        <v>14013159141</v>
      </c>
      <c r="B166" s="2" t="s">
        <v>382</v>
      </c>
      <c r="C166" s="2" t="s">
        <v>383</v>
      </c>
      <c r="D166" s="5" t="s">
        <v>526</v>
      </c>
      <c r="E166" s="2"/>
      <c r="F166" s="3" t="s">
        <v>10</v>
      </c>
      <c r="G166" s="2" t="s">
        <v>11</v>
      </c>
      <c r="H166" s="2" t="s">
        <v>12</v>
      </c>
      <c r="I166" s="2" t="s">
        <v>13</v>
      </c>
      <c r="J166" s="2" t="s">
        <v>27</v>
      </c>
    </row>
    <row r="167" spans="1:10" x14ac:dyDescent="0.3">
      <c r="A167" s="2" t="str">
        <f>HYPERLINK("https://hsdes.intel.com/resource/14013159143","14013159143")</f>
        <v>14013159143</v>
      </c>
      <c r="B167" s="2" t="s">
        <v>384</v>
      </c>
      <c r="C167" s="2" t="s">
        <v>385</v>
      </c>
      <c r="D167" s="5" t="s">
        <v>526</v>
      </c>
      <c r="E167" s="2"/>
      <c r="F167" s="3" t="s">
        <v>10</v>
      </c>
      <c r="G167" s="2" t="s">
        <v>11</v>
      </c>
      <c r="H167" s="2" t="s">
        <v>12</v>
      </c>
      <c r="I167" s="2" t="s">
        <v>13</v>
      </c>
      <c r="J167" s="2" t="s">
        <v>27</v>
      </c>
    </row>
    <row r="168" spans="1:10" x14ac:dyDescent="0.3">
      <c r="A168" s="2" t="str">
        <f>HYPERLINK("https://hsdes.intel.com/resource/14013159148","14013159148")</f>
        <v>14013159148</v>
      </c>
      <c r="B168" s="2" t="s">
        <v>386</v>
      </c>
      <c r="C168" s="2" t="s">
        <v>387</v>
      </c>
      <c r="D168" s="5" t="s">
        <v>526</v>
      </c>
      <c r="E168" s="2"/>
      <c r="F168" s="3" t="s">
        <v>10</v>
      </c>
      <c r="G168" s="2" t="s">
        <v>11</v>
      </c>
      <c r="H168" s="2" t="s">
        <v>12</v>
      </c>
      <c r="I168" s="2" t="s">
        <v>13</v>
      </c>
      <c r="J168" s="2" t="s">
        <v>27</v>
      </c>
    </row>
    <row r="169" spans="1:10" x14ac:dyDescent="0.3">
      <c r="A169" s="2" t="str">
        <f>HYPERLINK("https://hsdes.intel.com/resource/14013159151","14013159151")</f>
        <v>14013159151</v>
      </c>
      <c r="B169" s="2" t="s">
        <v>388</v>
      </c>
      <c r="C169" s="2" t="s">
        <v>389</v>
      </c>
      <c r="D169" s="5" t="s">
        <v>526</v>
      </c>
      <c r="E169" s="2"/>
      <c r="F169" s="3" t="s">
        <v>10</v>
      </c>
      <c r="G169" s="2" t="s">
        <v>11</v>
      </c>
      <c r="H169" s="2" t="s">
        <v>12</v>
      </c>
      <c r="I169" s="2" t="s">
        <v>13</v>
      </c>
      <c r="J169" s="2" t="s">
        <v>27</v>
      </c>
    </row>
    <row r="170" spans="1:10" x14ac:dyDescent="0.3">
      <c r="A170" s="2" t="str">
        <f>HYPERLINK("https://hsdes.intel.com/resource/14013159158","14013159158")</f>
        <v>14013159158</v>
      </c>
      <c r="B170" s="2" t="s">
        <v>390</v>
      </c>
      <c r="C170" s="2" t="s">
        <v>391</v>
      </c>
      <c r="D170" s="5" t="s">
        <v>526</v>
      </c>
      <c r="E170" s="2"/>
      <c r="F170" s="3" t="s">
        <v>10</v>
      </c>
      <c r="G170" s="2" t="s">
        <v>11</v>
      </c>
      <c r="H170" s="2" t="s">
        <v>12</v>
      </c>
      <c r="I170" s="2" t="s">
        <v>13</v>
      </c>
      <c r="J170" s="2" t="s">
        <v>27</v>
      </c>
    </row>
    <row r="171" spans="1:10" x14ac:dyDescent="0.3">
      <c r="A171" s="2" t="str">
        <f>HYPERLINK("https://hsdes.intel.com/resource/14013159161","14013159161")</f>
        <v>14013159161</v>
      </c>
      <c r="B171" s="2" t="s">
        <v>392</v>
      </c>
      <c r="C171" s="2" t="s">
        <v>393</v>
      </c>
      <c r="D171" s="5" t="s">
        <v>526</v>
      </c>
      <c r="E171" s="2"/>
      <c r="F171" s="3" t="s">
        <v>10</v>
      </c>
      <c r="G171" s="2" t="s">
        <v>11</v>
      </c>
      <c r="H171" s="2" t="s">
        <v>12</v>
      </c>
      <c r="I171" s="2" t="s">
        <v>13</v>
      </c>
      <c r="J171" s="2" t="s">
        <v>14</v>
      </c>
    </row>
    <row r="172" spans="1:10" x14ac:dyDescent="0.3">
      <c r="A172" s="2" t="str">
        <f>HYPERLINK("https://hsdes.intel.com/resource/14013159169","14013159169")</f>
        <v>14013159169</v>
      </c>
      <c r="B172" s="2" t="s">
        <v>394</v>
      </c>
      <c r="C172" s="2" t="s">
        <v>395</v>
      </c>
      <c r="D172" s="5" t="s">
        <v>526</v>
      </c>
      <c r="E172" s="2"/>
      <c r="F172" s="3" t="s">
        <v>10</v>
      </c>
      <c r="G172" s="2" t="s">
        <v>11</v>
      </c>
      <c r="H172" s="2" t="s">
        <v>12</v>
      </c>
      <c r="I172" s="2" t="s">
        <v>13</v>
      </c>
      <c r="J172" s="2" t="s">
        <v>14</v>
      </c>
    </row>
    <row r="173" spans="1:10" x14ac:dyDescent="0.3">
      <c r="A173" s="2" t="str">
        <f>HYPERLINK("https://hsdes.intel.com/resource/14013159172","14013159172")</f>
        <v>14013159172</v>
      </c>
      <c r="B173" s="2" t="s">
        <v>396</v>
      </c>
      <c r="C173" s="2" t="s">
        <v>397</v>
      </c>
      <c r="D173" s="5" t="s">
        <v>526</v>
      </c>
      <c r="E173" s="2"/>
      <c r="F173" s="3" t="s">
        <v>10</v>
      </c>
      <c r="G173" s="2" t="s">
        <v>11</v>
      </c>
      <c r="H173" s="2" t="s">
        <v>12</v>
      </c>
      <c r="I173" s="2" t="s">
        <v>13</v>
      </c>
      <c r="J173" s="2" t="s">
        <v>27</v>
      </c>
    </row>
    <row r="174" spans="1:10" x14ac:dyDescent="0.3">
      <c r="A174" s="2" t="str">
        <f>HYPERLINK("https://hsdes.intel.com/resource/14013159175","14013159175")</f>
        <v>14013159175</v>
      </c>
      <c r="B174" s="2" t="s">
        <v>398</v>
      </c>
      <c r="C174" s="2" t="s">
        <v>399</v>
      </c>
      <c r="D174" s="5" t="s">
        <v>526</v>
      </c>
      <c r="E174" s="2"/>
      <c r="F174" s="3" t="s">
        <v>10</v>
      </c>
      <c r="G174" s="2" t="s">
        <v>11</v>
      </c>
      <c r="H174" s="2" t="s">
        <v>12</v>
      </c>
      <c r="I174" s="2" t="s">
        <v>13</v>
      </c>
      <c r="J174" s="2" t="s">
        <v>27</v>
      </c>
    </row>
    <row r="175" spans="1:10" x14ac:dyDescent="0.3">
      <c r="A175" s="2" t="str">
        <f>HYPERLINK("https://hsdes.intel.com/resource/14013159178","14013159178")</f>
        <v>14013159178</v>
      </c>
      <c r="B175" s="2" t="s">
        <v>400</v>
      </c>
      <c r="C175" s="2" t="s">
        <v>401</v>
      </c>
      <c r="D175" s="5" t="s">
        <v>526</v>
      </c>
      <c r="E175" s="2"/>
      <c r="F175" s="3" t="s">
        <v>10</v>
      </c>
      <c r="G175" s="2" t="s">
        <v>11</v>
      </c>
      <c r="H175" s="2" t="s">
        <v>12</v>
      </c>
      <c r="I175" s="2" t="s">
        <v>13</v>
      </c>
      <c r="J175" s="2" t="s">
        <v>27</v>
      </c>
    </row>
    <row r="176" spans="1:10" x14ac:dyDescent="0.3">
      <c r="A176" s="2" t="str">
        <f>HYPERLINK("https://hsdes.intel.com/resource/14013159182","14013159182")</f>
        <v>14013159182</v>
      </c>
      <c r="B176" s="2" t="s">
        <v>402</v>
      </c>
      <c r="C176" s="2" t="s">
        <v>403</v>
      </c>
      <c r="D176" s="5" t="s">
        <v>526</v>
      </c>
      <c r="E176" s="2"/>
      <c r="F176" s="3" t="s">
        <v>10</v>
      </c>
      <c r="G176" s="2" t="s">
        <v>11</v>
      </c>
      <c r="H176" s="2" t="s">
        <v>12</v>
      </c>
      <c r="I176" s="2" t="s">
        <v>13</v>
      </c>
      <c r="J176" s="2" t="s">
        <v>27</v>
      </c>
    </row>
    <row r="177" spans="1:10" x14ac:dyDescent="0.3">
      <c r="A177" s="2" t="str">
        <f>HYPERLINK("https://hsdes.intel.com/resource/14013159191","14013159191")</f>
        <v>14013159191</v>
      </c>
      <c r="B177" s="2" t="s">
        <v>404</v>
      </c>
      <c r="C177" s="2" t="s">
        <v>405</v>
      </c>
      <c r="D177" s="5" t="s">
        <v>526</v>
      </c>
      <c r="E177" s="2"/>
      <c r="F177" s="3" t="s">
        <v>10</v>
      </c>
      <c r="G177" s="2" t="s">
        <v>11</v>
      </c>
      <c r="H177" s="2" t="s">
        <v>12</v>
      </c>
      <c r="I177" s="2" t="s">
        <v>13</v>
      </c>
      <c r="J177" s="2" t="s">
        <v>27</v>
      </c>
    </row>
    <row r="178" spans="1:10" x14ac:dyDescent="0.3">
      <c r="A178" s="2" t="str">
        <f>HYPERLINK("https://hsdes.intel.com/resource/14013159199","14013159199")</f>
        <v>14013159199</v>
      </c>
      <c r="B178" s="2" t="s">
        <v>406</v>
      </c>
      <c r="C178" s="2" t="s">
        <v>407</v>
      </c>
      <c r="D178" s="5" t="s">
        <v>526</v>
      </c>
      <c r="E178" s="2"/>
      <c r="F178" s="3" t="s">
        <v>10</v>
      </c>
      <c r="G178" s="2" t="s">
        <v>11</v>
      </c>
      <c r="H178" s="2" t="s">
        <v>12</v>
      </c>
      <c r="I178" s="2" t="s">
        <v>13</v>
      </c>
      <c r="J178" s="2" t="s">
        <v>27</v>
      </c>
    </row>
    <row r="179" spans="1:10" x14ac:dyDescent="0.3">
      <c r="A179" s="2" t="str">
        <f>HYPERLINK("https://hsdes.intel.com/resource/14013159204","14013159204")</f>
        <v>14013159204</v>
      </c>
      <c r="B179" s="2" t="s">
        <v>408</v>
      </c>
      <c r="C179" s="2" t="s">
        <v>409</v>
      </c>
      <c r="D179" s="5" t="s">
        <v>526</v>
      </c>
      <c r="E179" s="2"/>
      <c r="F179" s="3" t="s">
        <v>10</v>
      </c>
      <c r="G179" s="2" t="s">
        <v>11</v>
      </c>
      <c r="H179" s="2" t="s">
        <v>12</v>
      </c>
      <c r="I179" s="2" t="s">
        <v>13</v>
      </c>
      <c r="J179" s="2" t="s">
        <v>27</v>
      </c>
    </row>
    <row r="180" spans="1:10" x14ac:dyDescent="0.3">
      <c r="A180" s="2" t="str">
        <f>HYPERLINK("https://hsdes.intel.com/resource/14013159215","14013159215")</f>
        <v>14013159215</v>
      </c>
      <c r="B180" s="2" t="s">
        <v>410</v>
      </c>
      <c r="C180" s="2" t="s">
        <v>411</v>
      </c>
      <c r="D180" s="5" t="s">
        <v>526</v>
      </c>
      <c r="E180" s="2"/>
      <c r="F180" s="3" t="s">
        <v>10</v>
      </c>
      <c r="G180" s="2" t="s">
        <v>39</v>
      </c>
      <c r="H180" s="2" t="s">
        <v>12</v>
      </c>
      <c r="I180" s="2" t="s">
        <v>13</v>
      </c>
      <c r="J180" s="2" t="s">
        <v>14</v>
      </c>
    </row>
    <row r="181" spans="1:10" x14ac:dyDescent="0.3">
      <c r="A181" s="2" t="str">
        <f>HYPERLINK("https://hsdes.intel.com/resource/14013159219","14013159219")</f>
        <v>14013159219</v>
      </c>
      <c r="B181" s="2" t="s">
        <v>412</v>
      </c>
      <c r="C181" s="2" t="s">
        <v>413</v>
      </c>
      <c r="D181" s="5" t="s">
        <v>526</v>
      </c>
      <c r="E181" s="2"/>
      <c r="F181" s="3" t="s">
        <v>10</v>
      </c>
      <c r="G181" s="2" t="s">
        <v>11</v>
      </c>
      <c r="H181" s="2" t="s">
        <v>12</v>
      </c>
      <c r="I181" s="2" t="s">
        <v>13</v>
      </c>
      <c r="J181" s="2" t="s">
        <v>14</v>
      </c>
    </row>
    <row r="182" spans="1:10" x14ac:dyDescent="0.3">
      <c r="A182" s="2" t="str">
        <f>HYPERLINK("https://hsdes.intel.com/resource/14013159222","14013159222")</f>
        <v>14013159222</v>
      </c>
      <c r="B182" s="2" t="s">
        <v>414</v>
      </c>
      <c r="C182" s="2" t="s">
        <v>415</v>
      </c>
      <c r="D182" s="5" t="s">
        <v>526</v>
      </c>
      <c r="E182" s="2"/>
      <c r="F182" s="3" t="s">
        <v>10</v>
      </c>
      <c r="G182" s="2" t="s">
        <v>11</v>
      </c>
      <c r="H182" s="2" t="s">
        <v>12</v>
      </c>
      <c r="I182" s="2" t="s">
        <v>13</v>
      </c>
      <c r="J182" s="2" t="s">
        <v>27</v>
      </c>
    </row>
    <row r="183" spans="1:10" x14ac:dyDescent="0.3">
      <c r="A183" s="4" t="str">
        <f>HYPERLINK("https://hsdes.intel.com/resource/14013159227","14013159227")</f>
        <v>14013159227</v>
      </c>
      <c r="B183" s="2" t="s">
        <v>416</v>
      </c>
      <c r="C183" s="2" t="s">
        <v>417</v>
      </c>
      <c r="D183" s="5" t="s">
        <v>526</v>
      </c>
      <c r="E183" s="2"/>
      <c r="F183" s="3" t="s">
        <v>10</v>
      </c>
      <c r="G183" s="2" t="s">
        <v>11</v>
      </c>
      <c r="H183" s="2" t="s">
        <v>12</v>
      </c>
      <c r="I183" s="2" t="s">
        <v>13</v>
      </c>
      <c r="J183" s="2" t="s">
        <v>27</v>
      </c>
    </row>
    <row r="184" spans="1:10" x14ac:dyDescent="0.3">
      <c r="A184" s="2" t="str">
        <f>HYPERLINK("https://hsdes.intel.com/resource/14013159254","14013159254")</f>
        <v>14013159254</v>
      </c>
      <c r="B184" s="2" t="s">
        <v>418</v>
      </c>
      <c r="C184" s="2" t="s">
        <v>419</v>
      </c>
      <c r="D184" s="5" t="s">
        <v>526</v>
      </c>
      <c r="E184" s="2"/>
      <c r="F184" s="3" t="s">
        <v>10</v>
      </c>
      <c r="G184" s="2" t="s">
        <v>11</v>
      </c>
      <c r="H184" s="2" t="s">
        <v>12</v>
      </c>
      <c r="I184" s="2" t="s">
        <v>13</v>
      </c>
      <c r="J184" s="2" t="s">
        <v>27</v>
      </c>
    </row>
    <row r="185" spans="1:10" x14ac:dyDescent="0.3">
      <c r="A185" s="2" t="str">
        <f>HYPERLINK("https://hsdes.intel.com/resource/14013159259","14013159259")</f>
        <v>14013159259</v>
      </c>
      <c r="B185" s="2" t="s">
        <v>420</v>
      </c>
      <c r="C185" s="2" t="s">
        <v>421</v>
      </c>
      <c r="D185" s="5" t="s">
        <v>526</v>
      </c>
      <c r="E185" s="2"/>
      <c r="F185" s="3" t="s">
        <v>10</v>
      </c>
      <c r="G185" s="2" t="s">
        <v>11</v>
      </c>
      <c r="H185" s="2" t="s">
        <v>12</v>
      </c>
      <c r="I185" s="2" t="s">
        <v>13</v>
      </c>
      <c r="J185" s="2" t="s">
        <v>27</v>
      </c>
    </row>
    <row r="186" spans="1:10" x14ac:dyDescent="0.3">
      <c r="A186" s="2" t="str">
        <f>HYPERLINK("https://hsdes.intel.com/resource/14013159261","14013159261")</f>
        <v>14013159261</v>
      </c>
      <c r="B186" s="2" t="s">
        <v>422</v>
      </c>
      <c r="C186" s="2" t="s">
        <v>423</v>
      </c>
      <c r="D186" s="5" t="s">
        <v>526</v>
      </c>
      <c r="E186" s="2"/>
      <c r="F186" s="3" t="s">
        <v>10</v>
      </c>
      <c r="G186" s="2" t="s">
        <v>11</v>
      </c>
      <c r="H186" s="2" t="s">
        <v>12</v>
      </c>
      <c r="I186" s="2" t="s">
        <v>13</v>
      </c>
      <c r="J186" s="2" t="s">
        <v>27</v>
      </c>
    </row>
    <row r="187" spans="1:10" x14ac:dyDescent="0.3">
      <c r="A187" s="2" t="str">
        <f>HYPERLINK("https://hsdes.intel.com/resource/14013159264","14013159264")</f>
        <v>14013159264</v>
      </c>
      <c r="B187" s="2" t="s">
        <v>424</v>
      </c>
      <c r="C187" s="2" t="s">
        <v>425</v>
      </c>
      <c r="D187" s="5" t="s">
        <v>526</v>
      </c>
      <c r="E187" s="2"/>
      <c r="F187" s="3" t="s">
        <v>10</v>
      </c>
      <c r="G187" s="2" t="s">
        <v>11</v>
      </c>
      <c r="H187" s="2" t="s">
        <v>12</v>
      </c>
      <c r="I187" s="2" t="s">
        <v>13</v>
      </c>
      <c r="J187" s="2" t="s">
        <v>27</v>
      </c>
    </row>
    <row r="188" spans="1:10" x14ac:dyDescent="0.3">
      <c r="A188" s="2" t="str">
        <f>HYPERLINK("https://hsdes.intel.com/resource/14013159266","14013159266")</f>
        <v>14013159266</v>
      </c>
      <c r="B188" s="2" t="s">
        <v>426</v>
      </c>
      <c r="C188" s="2" t="s">
        <v>427</v>
      </c>
      <c r="D188" s="5" t="s">
        <v>526</v>
      </c>
      <c r="E188" s="2"/>
      <c r="F188" s="3" t="s">
        <v>10</v>
      </c>
      <c r="G188" s="2" t="s">
        <v>11</v>
      </c>
      <c r="H188" s="2" t="s">
        <v>12</v>
      </c>
      <c r="I188" s="2" t="s">
        <v>13</v>
      </c>
      <c r="J188" s="2" t="s">
        <v>27</v>
      </c>
    </row>
    <row r="189" spans="1:10" x14ac:dyDescent="0.3">
      <c r="A189" s="2" t="str">
        <f>HYPERLINK("https://hsdes.intel.com/resource/14013159278","14013159278")</f>
        <v>14013159278</v>
      </c>
      <c r="B189" s="2" t="s">
        <v>428</v>
      </c>
      <c r="C189" s="2" t="s">
        <v>429</v>
      </c>
      <c r="D189" s="5" t="s">
        <v>526</v>
      </c>
      <c r="E189" s="2"/>
      <c r="F189" s="3" t="s">
        <v>10</v>
      </c>
      <c r="G189" s="2" t="s">
        <v>11</v>
      </c>
      <c r="H189" s="2" t="s">
        <v>12</v>
      </c>
      <c r="I189" s="2" t="s">
        <v>13</v>
      </c>
      <c r="J189" s="2" t="s">
        <v>27</v>
      </c>
    </row>
    <row r="190" spans="1:10" x14ac:dyDescent="0.3">
      <c r="A190" s="2" t="str">
        <f>HYPERLINK("https://hsdes.intel.com/resource/14013159280","14013159280")</f>
        <v>14013159280</v>
      </c>
      <c r="B190" s="2" t="s">
        <v>430</v>
      </c>
      <c r="C190" s="2" t="s">
        <v>431</v>
      </c>
      <c r="D190" s="5" t="s">
        <v>526</v>
      </c>
      <c r="E190" s="2"/>
      <c r="F190" s="3" t="s">
        <v>10</v>
      </c>
      <c r="G190" s="2" t="s">
        <v>11</v>
      </c>
      <c r="H190" s="2" t="s">
        <v>12</v>
      </c>
      <c r="I190" s="2" t="s">
        <v>13</v>
      </c>
      <c r="J190" s="2" t="s">
        <v>27</v>
      </c>
    </row>
    <row r="191" spans="1:10" x14ac:dyDescent="0.3">
      <c r="A191" s="2" t="str">
        <f>HYPERLINK("https://hsdes.intel.com/resource/14013159282","14013159282")</f>
        <v>14013159282</v>
      </c>
      <c r="B191" s="2" t="s">
        <v>432</v>
      </c>
      <c r="C191" s="2" t="s">
        <v>433</v>
      </c>
      <c r="D191" s="5" t="s">
        <v>526</v>
      </c>
      <c r="E191" s="2"/>
      <c r="F191" s="3" t="s">
        <v>10</v>
      </c>
      <c r="G191" s="2" t="s">
        <v>11</v>
      </c>
      <c r="H191" s="2" t="s">
        <v>12</v>
      </c>
      <c r="I191" s="2" t="s">
        <v>13</v>
      </c>
      <c r="J191" s="2" t="s">
        <v>27</v>
      </c>
    </row>
    <row r="192" spans="1:10" x14ac:dyDescent="0.3">
      <c r="A192" s="2" t="str">
        <f>HYPERLINK("https://hsdes.intel.com/resource/14013159285","14013159285")</f>
        <v>14013159285</v>
      </c>
      <c r="B192" s="2" t="s">
        <v>434</v>
      </c>
      <c r="C192" s="2" t="s">
        <v>435</v>
      </c>
      <c r="D192" s="5" t="s">
        <v>526</v>
      </c>
      <c r="E192" s="2"/>
      <c r="F192" s="3" t="s">
        <v>10</v>
      </c>
      <c r="G192" s="2" t="s">
        <v>11</v>
      </c>
      <c r="H192" s="2" t="s">
        <v>12</v>
      </c>
      <c r="I192" s="2" t="s">
        <v>13</v>
      </c>
      <c r="J192" s="2" t="s">
        <v>27</v>
      </c>
    </row>
    <row r="193" spans="1:10" x14ac:dyDescent="0.3">
      <c r="A193" s="2" t="str">
        <f>HYPERLINK("https://hsdes.intel.com/resource/14013159294","14013159294")</f>
        <v>14013159294</v>
      </c>
      <c r="B193" s="2" t="s">
        <v>436</v>
      </c>
      <c r="C193" s="2" t="s">
        <v>437</v>
      </c>
      <c r="D193" s="5" t="s">
        <v>526</v>
      </c>
      <c r="E193" s="2"/>
      <c r="F193" s="3" t="s">
        <v>10</v>
      </c>
      <c r="G193" s="2" t="s">
        <v>11</v>
      </c>
      <c r="H193" s="2" t="s">
        <v>12</v>
      </c>
      <c r="I193" s="2" t="s">
        <v>13</v>
      </c>
      <c r="J193" s="2" t="s">
        <v>27</v>
      </c>
    </row>
    <row r="194" spans="1:10" x14ac:dyDescent="0.3">
      <c r="A194" s="2" t="str">
        <f>HYPERLINK("https://hsdes.intel.com/resource/14013159296","14013159296")</f>
        <v>14013159296</v>
      </c>
      <c r="B194" s="2" t="s">
        <v>438</v>
      </c>
      <c r="C194" s="2" t="s">
        <v>439</v>
      </c>
      <c r="D194" s="5" t="s">
        <v>526</v>
      </c>
      <c r="E194" s="2"/>
      <c r="F194" s="3" t="s">
        <v>10</v>
      </c>
      <c r="G194" s="2" t="s">
        <v>11</v>
      </c>
      <c r="H194" s="2" t="s">
        <v>12</v>
      </c>
      <c r="I194" s="2" t="s">
        <v>13</v>
      </c>
      <c r="J194" s="2" t="s">
        <v>27</v>
      </c>
    </row>
    <row r="195" spans="1:10" x14ac:dyDescent="0.3">
      <c r="A195" s="2" t="str">
        <f>HYPERLINK("https://hsdes.intel.com/resource/14013159299","14013159299")</f>
        <v>14013159299</v>
      </c>
      <c r="B195" s="2" t="s">
        <v>440</v>
      </c>
      <c r="C195" s="2" t="s">
        <v>441</v>
      </c>
      <c r="D195" s="5" t="s">
        <v>526</v>
      </c>
      <c r="E195" s="2"/>
      <c r="F195" s="3" t="s">
        <v>10</v>
      </c>
      <c r="G195" s="2" t="s">
        <v>11</v>
      </c>
      <c r="H195" s="2" t="s">
        <v>12</v>
      </c>
      <c r="I195" s="2" t="s">
        <v>13</v>
      </c>
      <c r="J195" s="2" t="s">
        <v>27</v>
      </c>
    </row>
    <row r="196" spans="1:10" x14ac:dyDescent="0.3">
      <c r="A196" s="2" t="str">
        <f>HYPERLINK("https://hsdes.intel.com/resource/14013159302","14013159302")</f>
        <v>14013159302</v>
      </c>
      <c r="B196" s="2" t="s">
        <v>442</v>
      </c>
      <c r="C196" s="2" t="s">
        <v>443</v>
      </c>
      <c r="D196" s="5" t="s">
        <v>526</v>
      </c>
      <c r="E196" s="2"/>
      <c r="F196" s="3" t="s">
        <v>10</v>
      </c>
      <c r="G196" s="2" t="s">
        <v>11</v>
      </c>
      <c r="H196" s="2" t="s">
        <v>12</v>
      </c>
      <c r="I196" s="2" t="s">
        <v>13</v>
      </c>
      <c r="J196" s="2" t="s">
        <v>27</v>
      </c>
    </row>
    <row r="197" spans="1:10" x14ac:dyDescent="0.3">
      <c r="A197" s="2" t="str">
        <f>HYPERLINK("https://hsdes.intel.com/resource/14013159310","14013159310")</f>
        <v>14013159310</v>
      </c>
      <c r="B197" s="2" t="s">
        <v>444</v>
      </c>
      <c r="C197" s="2" t="s">
        <v>445</v>
      </c>
      <c r="D197" s="5" t="s">
        <v>526</v>
      </c>
      <c r="E197" s="2"/>
      <c r="F197" s="3" t="s">
        <v>10</v>
      </c>
      <c r="G197" s="2" t="s">
        <v>11</v>
      </c>
      <c r="H197" s="2" t="s">
        <v>30</v>
      </c>
      <c r="I197" s="2" t="s">
        <v>31</v>
      </c>
      <c r="J197" s="2" t="s">
        <v>14</v>
      </c>
    </row>
    <row r="198" spans="1:10" x14ac:dyDescent="0.3">
      <c r="A198" s="2" t="str">
        <f>HYPERLINK("https://hsdes.intel.com/resource/14013159319","14013159319")</f>
        <v>14013159319</v>
      </c>
      <c r="B198" s="2" t="s">
        <v>446</v>
      </c>
      <c r="C198" s="2" t="s">
        <v>447</v>
      </c>
      <c r="D198" s="5" t="s">
        <v>526</v>
      </c>
      <c r="E198" s="2"/>
      <c r="F198" s="3" t="s">
        <v>10</v>
      </c>
      <c r="G198" s="2" t="s">
        <v>11</v>
      </c>
      <c r="H198" s="2" t="s">
        <v>30</v>
      </c>
      <c r="I198" s="2" t="s">
        <v>31</v>
      </c>
      <c r="J198" s="2" t="s">
        <v>32</v>
      </c>
    </row>
    <row r="199" spans="1:10" x14ac:dyDescent="0.3">
      <c r="A199" s="2" t="str">
        <f>HYPERLINK("https://hsdes.intel.com/resource/14013159323","14013159323")</f>
        <v>14013159323</v>
      </c>
      <c r="B199" s="2" t="s">
        <v>448</v>
      </c>
      <c r="C199" s="2" t="s">
        <v>449</v>
      </c>
      <c r="D199" s="5" t="s">
        <v>526</v>
      </c>
      <c r="E199" s="2"/>
      <c r="F199" s="3" t="s">
        <v>10</v>
      </c>
      <c r="G199" s="2" t="s">
        <v>11</v>
      </c>
      <c r="H199" s="2" t="s">
        <v>30</v>
      </c>
      <c r="I199" s="2" t="s">
        <v>31</v>
      </c>
      <c r="J199" s="2" t="s">
        <v>32</v>
      </c>
    </row>
    <row r="200" spans="1:10" x14ac:dyDescent="0.3">
      <c r="A200" s="2" t="str">
        <f>HYPERLINK("https://hsdes.intel.com/resource/14013159340","14013159340")</f>
        <v>14013159340</v>
      </c>
      <c r="B200" s="2" t="s">
        <v>450</v>
      </c>
      <c r="C200" s="2" t="s">
        <v>451</v>
      </c>
      <c r="D200" s="5" t="s">
        <v>526</v>
      </c>
      <c r="E200" s="2"/>
      <c r="F200" s="3" t="s">
        <v>10</v>
      </c>
      <c r="G200" s="2" t="s">
        <v>11</v>
      </c>
      <c r="H200" s="2" t="s">
        <v>12</v>
      </c>
      <c r="I200" s="2" t="s">
        <v>13</v>
      </c>
      <c r="J200" s="2" t="s">
        <v>27</v>
      </c>
    </row>
    <row r="201" spans="1:10" x14ac:dyDescent="0.3">
      <c r="A201" s="2" t="str">
        <f>HYPERLINK("https://hsdes.intel.com/resource/14013159344","14013159344")</f>
        <v>14013159344</v>
      </c>
      <c r="B201" s="2" t="s">
        <v>452</v>
      </c>
      <c r="C201" s="2" t="s">
        <v>453</v>
      </c>
      <c r="D201" s="5" t="s">
        <v>526</v>
      </c>
      <c r="E201" s="2"/>
      <c r="F201" s="3" t="s">
        <v>10</v>
      </c>
      <c r="G201" s="2" t="s">
        <v>11</v>
      </c>
      <c r="H201" s="2" t="s">
        <v>12</v>
      </c>
      <c r="I201" s="2" t="s">
        <v>13</v>
      </c>
      <c r="J201" s="2" t="s">
        <v>27</v>
      </c>
    </row>
    <row r="202" spans="1:10" x14ac:dyDescent="0.3">
      <c r="A202" s="2" t="str">
        <f>HYPERLINK("https://hsdes.intel.com/resource/14013159349","14013159349")</f>
        <v>14013159349</v>
      </c>
      <c r="B202" s="2" t="s">
        <v>454</v>
      </c>
      <c r="C202" s="2" t="s">
        <v>455</v>
      </c>
      <c r="D202" s="5" t="s">
        <v>526</v>
      </c>
      <c r="E202" s="2"/>
      <c r="F202" s="3" t="s">
        <v>10</v>
      </c>
      <c r="G202" s="2" t="s">
        <v>11</v>
      </c>
      <c r="H202" s="2" t="s">
        <v>12</v>
      </c>
      <c r="I202" s="2" t="s">
        <v>13</v>
      </c>
      <c r="J202" s="2" t="s">
        <v>27</v>
      </c>
    </row>
    <row r="203" spans="1:10" x14ac:dyDescent="0.3">
      <c r="A203" s="2" t="str">
        <f>HYPERLINK("https://hsdes.intel.com/resource/14013159351","14013159351")</f>
        <v>14013159351</v>
      </c>
      <c r="B203" s="2" t="s">
        <v>456</v>
      </c>
      <c r="C203" s="2" t="s">
        <v>457</v>
      </c>
      <c r="D203" s="5" t="s">
        <v>526</v>
      </c>
      <c r="E203" s="2"/>
      <c r="F203" s="3" t="s">
        <v>10</v>
      </c>
      <c r="G203" s="2" t="s">
        <v>11</v>
      </c>
      <c r="H203" s="2" t="s">
        <v>12</v>
      </c>
      <c r="I203" s="2" t="s">
        <v>13</v>
      </c>
      <c r="J203" s="2" t="s">
        <v>27</v>
      </c>
    </row>
    <row r="204" spans="1:10" x14ac:dyDescent="0.3">
      <c r="A204" s="2" t="str">
        <f>HYPERLINK("https://hsdes.intel.com/resource/14013159382","14013159382")</f>
        <v>14013159382</v>
      </c>
      <c r="B204" s="2" t="s">
        <v>458</v>
      </c>
      <c r="C204" s="2" t="s">
        <v>459</v>
      </c>
      <c r="D204" s="5" t="s">
        <v>526</v>
      </c>
      <c r="E204" s="2"/>
      <c r="F204" s="3" t="s">
        <v>10</v>
      </c>
      <c r="G204" s="2" t="s">
        <v>11</v>
      </c>
      <c r="H204" s="2" t="s">
        <v>12</v>
      </c>
      <c r="I204" s="2" t="s">
        <v>13</v>
      </c>
      <c r="J204" s="2" t="s">
        <v>27</v>
      </c>
    </row>
    <row r="205" spans="1:10" x14ac:dyDescent="0.3">
      <c r="A205" s="2" t="str">
        <f>HYPERLINK("https://hsdes.intel.com/resource/14013159407","14013159407")</f>
        <v>14013159407</v>
      </c>
      <c r="B205" s="2" t="s">
        <v>460</v>
      </c>
      <c r="C205" s="2" t="s">
        <v>461</v>
      </c>
      <c r="D205" s="5" t="s">
        <v>526</v>
      </c>
      <c r="E205" s="2"/>
      <c r="F205" s="3" t="s">
        <v>10</v>
      </c>
      <c r="G205" s="2" t="s">
        <v>39</v>
      </c>
      <c r="H205" s="2" t="s">
        <v>12</v>
      </c>
      <c r="I205" s="2" t="s">
        <v>13</v>
      </c>
      <c r="J205" s="2" t="s">
        <v>27</v>
      </c>
    </row>
    <row r="206" spans="1:10" x14ac:dyDescent="0.3">
      <c r="A206" s="2" t="str">
        <f>HYPERLINK("https://hsdes.intel.com/resource/14013159413","14013159413")</f>
        <v>14013159413</v>
      </c>
      <c r="B206" s="2" t="s">
        <v>462</v>
      </c>
      <c r="C206" s="2" t="s">
        <v>463</v>
      </c>
      <c r="D206" s="5" t="s">
        <v>526</v>
      </c>
      <c r="E206" s="2"/>
      <c r="F206" s="3" t="s">
        <v>10</v>
      </c>
      <c r="G206" s="2" t="s">
        <v>39</v>
      </c>
      <c r="H206" s="2" t="s">
        <v>12</v>
      </c>
      <c r="I206" s="2" t="s">
        <v>13</v>
      </c>
      <c r="J206" s="2" t="s">
        <v>27</v>
      </c>
    </row>
    <row r="207" spans="1:10" x14ac:dyDescent="0.3">
      <c r="A207" s="2" t="str">
        <f>HYPERLINK("https://hsdes.intel.com/resource/14013159419","14013159419")</f>
        <v>14013159419</v>
      </c>
      <c r="B207" s="2" t="s">
        <v>464</v>
      </c>
      <c r="C207" s="2" t="s">
        <v>465</v>
      </c>
      <c r="D207" s="5" t="s">
        <v>526</v>
      </c>
      <c r="E207" s="2"/>
      <c r="F207" s="3" t="s">
        <v>10</v>
      </c>
      <c r="G207" s="2" t="s">
        <v>11</v>
      </c>
      <c r="H207" s="2" t="s">
        <v>12</v>
      </c>
      <c r="I207" s="2" t="s">
        <v>13</v>
      </c>
      <c r="J207" s="2" t="s">
        <v>27</v>
      </c>
    </row>
    <row r="208" spans="1:10" x14ac:dyDescent="0.3">
      <c r="A208" s="2" t="str">
        <f>HYPERLINK("https://hsdes.intel.com/resource/14013159421","14013159421")</f>
        <v>14013159421</v>
      </c>
      <c r="B208" s="2" t="s">
        <v>466</v>
      </c>
      <c r="C208" s="2" t="s">
        <v>467</v>
      </c>
      <c r="D208" s="5" t="s">
        <v>526</v>
      </c>
      <c r="E208" s="2"/>
      <c r="F208" s="3" t="s">
        <v>10</v>
      </c>
      <c r="G208" s="2" t="s">
        <v>11</v>
      </c>
      <c r="H208" s="2" t="s">
        <v>12</v>
      </c>
      <c r="I208" s="2" t="s">
        <v>13</v>
      </c>
      <c r="J208" s="2" t="s">
        <v>27</v>
      </c>
    </row>
    <row r="209" spans="1:10" x14ac:dyDescent="0.3">
      <c r="A209" s="2" t="str">
        <f>HYPERLINK("https://hsdes.intel.com/resource/14013159423","14013159423")</f>
        <v>14013159423</v>
      </c>
      <c r="B209" s="2" t="s">
        <v>468</v>
      </c>
      <c r="C209" s="2" t="s">
        <v>469</v>
      </c>
      <c r="D209" s="5" t="s">
        <v>526</v>
      </c>
      <c r="E209" s="2"/>
      <c r="F209" s="3" t="s">
        <v>10</v>
      </c>
      <c r="G209" s="2" t="s">
        <v>11</v>
      </c>
      <c r="H209" s="2" t="s">
        <v>12</v>
      </c>
      <c r="I209" s="2" t="s">
        <v>13</v>
      </c>
      <c r="J209" s="2" t="s">
        <v>27</v>
      </c>
    </row>
    <row r="210" spans="1:10" x14ac:dyDescent="0.3">
      <c r="A210" s="2" t="str">
        <f>HYPERLINK("https://hsdes.intel.com/resource/14013159431","14013159431")</f>
        <v>14013159431</v>
      </c>
      <c r="B210" s="2" t="s">
        <v>470</v>
      </c>
      <c r="C210" s="2" t="s">
        <v>471</v>
      </c>
      <c r="D210" s="5" t="s">
        <v>526</v>
      </c>
      <c r="E210" s="2"/>
      <c r="F210" s="3" t="s">
        <v>10</v>
      </c>
      <c r="G210" s="2" t="s">
        <v>11</v>
      </c>
      <c r="H210" s="2" t="s">
        <v>12</v>
      </c>
      <c r="I210" s="2" t="s">
        <v>13</v>
      </c>
      <c r="J210" s="2" t="s">
        <v>27</v>
      </c>
    </row>
    <row r="211" spans="1:10" x14ac:dyDescent="0.3">
      <c r="A211" s="2" t="str">
        <f>HYPERLINK("https://hsdes.intel.com/resource/14013159441","14013159441")</f>
        <v>14013159441</v>
      </c>
      <c r="B211" s="2" t="s">
        <v>472</v>
      </c>
      <c r="C211" s="2" t="s">
        <v>473</v>
      </c>
      <c r="D211" s="5" t="s">
        <v>526</v>
      </c>
      <c r="E211" s="2"/>
      <c r="F211" s="3" t="s">
        <v>10</v>
      </c>
      <c r="G211" s="2" t="s">
        <v>11</v>
      </c>
      <c r="H211" s="2" t="s">
        <v>12</v>
      </c>
      <c r="I211" s="2" t="s">
        <v>13</v>
      </c>
      <c r="J211" s="2" t="s">
        <v>27</v>
      </c>
    </row>
    <row r="212" spans="1:10" x14ac:dyDescent="0.3">
      <c r="A212" s="2" t="str">
        <f>HYPERLINK("https://hsdes.intel.com/resource/14013159443","14013159443")</f>
        <v>14013159443</v>
      </c>
      <c r="B212" s="2" t="s">
        <v>474</v>
      </c>
      <c r="C212" s="2" t="s">
        <v>475</v>
      </c>
      <c r="D212" s="5" t="s">
        <v>526</v>
      </c>
      <c r="E212" s="2"/>
      <c r="F212" s="3" t="s">
        <v>10</v>
      </c>
      <c r="G212" s="2" t="s">
        <v>11</v>
      </c>
      <c r="H212" s="2" t="s">
        <v>12</v>
      </c>
      <c r="I212" s="2" t="s">
        <v>13</v>
      </c>
      <c r="J212" s="2" t="s">
        <v>27</v>
      </c>
    </row>
    <row r="213" spans="1:10" x14ac:dyDescent="0.3">
      <c r="A213" s="2" t="str">
        <f>HYPERLINK("https://hsdes.intel.com/resource/14013159450","14013159450")</f>
        <v>14013159450</v>
      </c>
      <c r="B213" s="2" t="s">
        <v>476</v>
      </c>
      <c r="C213" s="2" t="s">
        <v>477</v>
      </c>
      <c r="D213" s="5" t="s">
        <v>526</v>
      </c>
      <c r="E213" s="2"/>
      <c r="F213" s="3" t="s">
        <v>10</v>
      </c>
      <c r="G213" s="2" t="s">
        <v>11</v>
      </c>
      <c r="H213" s="2" t="s">
        <v>12</v>
      </c>
      <c r="I213" s="2" t="s">
        <v>13</v>
      </c>
      <c r="J213" s="2" t="s">
        <v>27</v>
      </c>
    </row>
    <row r="214" spans="1:10" x14ac:dyDescent="0.3">
      <c r="A214" s="2" t="str">
        <f>HYPERLINK("https://hsdes.intel.com/resource/14013159453","14013159453")</f>
        <v>14013159453</v>
      </c>
      <c r="B214" s="2" t="s">
        <v>478</v>
      </c>
      <c r="C214" s="2" t="s">
        <v>479</v>
      </c>
      <c r="D214" s="5" t="s">
        <v>526</v>
      </c>
      <c r="E214" s="2"/>
      <c r="F214" s="3" t="s">
        <v>10</v>
      </c>
      <c r="G214" s="2" t="s">
        <v>11</v>
      </c>
      <c r="H214" s="2" t="s">
        <v>12</v>
      </c>
      <c r="I214" s="2" t="s">
        <v>13</v>
      </c>
      <c r="J214" s="2" t="s">
        <v>27</v>
      </c>
    </row>
    <row r="215" spans="1:10" x14ac:dyDescent="0.3">
      <c r="A215" s="2" t="str">
        <f>HYPERLINK("https://hsdes.intel.com/resource/14013159460","14013159460")</f>
        <v>14013159460</v>
      </c>
      <c r="B215" s="2" t="s">
        <v>480</v>
      </c>
      <c r="C215" s="2" t="s">
        <v>481</v>
      </c>
      <c r="D215" s="5" t="s">
        <v>526</v>
      </c>
      <c r="E215" s="2"/>
      <c r="F215" s="3" t="s">
        <v>10</v>
      </c>
      <c r="G215" s="2" t="s">
        <v>11</v>
      </c>
      <c r="H215" s="2" t="s">
        <v>12</v>
      </c>
      <c r="I215" s="2" t="s">
        <v>13</v>
      </c>
      <c r="J215" s="2" t="s">
        <v>27</v>
      </c>
    </row>
    <row r="216" spans="1:10" x14ac:dyDescent="0.3">
      <c r="A216" s="2" t="str">
        <f>HYPERLINK("https://hsdes.intel.com/resource/14013159478","14013159478")</f>
        <v>14013159478</v>
      </c>
      <c r="B216" s="2" t="s">
        <v>482</v>
      </c>
      <c r="C216" s="2" t="s">
        <v>483</v>
      </c>
      <c r="D216" s="5" t="s">
        <v>526</v>
      </c>
      <c r="E216" s="2"/>
      <c r="F216" s="3" t="s">
        <v>10</v>
      </c>
      <c r="G216" s="2" t="s">
        <v>11</v>
      </c>
      <c r="H216" s="2" t="s">
        <v>12</v>
      </c>
      <c r="I216" s="2" t="s">
        <v>13</v>
      </c>
      <c r="J216" s="2" t="s">
        <v>27</v>
      </c>
    </row>
    <row r="217" spans="1:10" x14ac:dyDescent="0.3">
      <c r="A217" s="2" t="str">
        <f>HYPERLINK("https://hsdes.intel.com/resource/14013159482","14013159482")</f>
        <v>14013159482</v>
      </c>
      <c r="B217" s="2" t="s">
        <v>484</v>
      </c>
      <c r="C217" s="2" t="s">
        <v>485</v>
      </c>
      <c r="D217" s="5" t="s">
        <v>526</v>
      </c>
      <c r="E217" s="2"/>
      <c r="F217" s="3" t="s">
        <v>10</v>
      </c>
      <c r="G217" s="2" t="s">
        <v>11</v>
      </c>
      <c r="H217" s="2" t="s">
        <v>12</v>
      </c>
      <c r="I217" s="2" t="s">
        <v>13</v>
      </c>
      <c r="J217" s="2" t="s">
        <v>27</v>
      </c>
    </row>
    <row r="218" spans="1:10" x14ac:dyDescent="0.3">
      <c r="A218" s="2" t="str">
        <f>HYPERLINK("https://hsdes.intel.com/resource/14013159493","14013159493")</f>
        <v>14013159493</v>
      </c>
      <c r="B218" s="2" t="s">
        <v>486</v>
      </c>
      <c r="C218" s="2" t="s">
        <v>487</v>
      </c>
      <c r="D218" s="5" t="s">
        <v>526</v>
      </c>
      <c r="E218" s="2"/>
      <c r="F218" s="3" t="s">
        <v>10</v>
      </c>
      <c r="G218" s="2" t="s">
        <v>11</v>
      </c>
      <c r="H218" s="2" t="s">
        <v>12</v>
      </c>
      <c r="I218" s="2" t="s">
        <v>13</v>
      </c>
      <c r="J218" s="2" t="s">
        <v>27</v>
      </c>
    </row>
    <row r="219" spans="1:10" x14ac:dyDescent="0.3">
      <c r="A219" s="2" t="str">
        <f>HYPERLINK("https://hsdes.intel.com/resource/14013159498","14013159498")</f>
        <v>14013159498</v>
      </c>
      <c r="B219" s="2" t="s">
        <v>488</v>
      </c>
      <c r="C219" s="2" t="s">
        <v>489</v>
      </c>
      <c r="D219" s="5" t="s">
        <v>526</v>
      </c>
      <c r="E219" s="2"/>
      <c r="F219" s="3" t="s">
        <v>10</v>
      </c>
      <c r="G219" s="2" t="s">
        <v>11</v>
      </c>
      <c r="H219" s="2" t="s">
        <v>12</v>
      </c>
      <c r="I219" s="2" t="s">
        <v>13</v>
      </c>
      <c r="J219" s="2" t="s">
        <v>27</v>
      </c>
    </row>
    <row r="220" spans="1:10" x14ac:dyDescent="0.3">
      <c r="A220" s="2" t="str">
        <f>HYPERLINK("https://hsdes.intel.com/resource/14013159500","14013159500")</f>
        <v>14013159500</v>
      </c>
      <c r="B220" s="2" t="s">
        <v>490</v>
      </c>
      <c r="C220" s="2" t="s">
        <v>491</v>
      </c>
      <c r="D220" s="5" t="s">
        <v>526</v>
      </c>
      <c r="E220" s="2"/>
      <c r="F220" s="3" t="s">
        <v>10</v>
      </c>
      <c r="G220" s="2" t="s">
        <v>11</v>
      </c>
      <c r="H220" s="2" t="s">
        <v>12</v>
      </c>
      <c r="I220" s="2" t="s">
        <v>13</v>
      </c>
      <c r="J220" s="2" t="s">
        <v>27</v>
      </c>
    </row>
    <row r="221" spans="1:10" x14ac:dyDescent="0.3">
      <c r="A221" s="2" t="str">
        <f>HYPERLINK("https://hsdes.intel.com/resource/14013159503","14013159503")</f>
        <v>14013159503</v>
      </c>
      <c r="B221" s="2" t="s">
        <v>492</v>
      </c>
      <c r="C221" s="2" t="s">
        <v>493</v>
      </c>
      <c r="D221" s="5" t="s">
        <v>526</v>
      </c>
      <c r="E221" s="2"/>
      <c r="F221" s="3" t="s">
        <v>10</v>
      </c>
      <c r="G221" s="2" t="s">
        <v>11</v>
      </c>
      <c r="H221" s="2" t="s">
        <v>12</v>
      </c>
      <c r="I221" s="2" t="s">
        <v>13</v>
      </c>
      <c r="J221" s="2" t="s">
        <v>27</v>
      </c>
    </row>
    <row r="222" spans="1:10" x14ac:dyDescent="0.3">
      <c r="A222" s="2" t="str">
        <f>HYPERLINK("https://hsdes.intel.com/resource/14013159505","14013159505")</f>
        <v>14013159505</v>
      </c>
      <c r="B222" s="2" t="s">
        <v>494</v>
      </c>
      <c r="C222" s="2" t="s">
        <v>495</v>
      </c>
      <c r="D222" s="5" t="s">
        <v>526</v>
      </c>
      <c r="E222" s="2"/>
      <c r="F222" s="3" t="s">
        <v>10</v>
      </c>
      <c r="G222" s="2" t="s">
        <v>11</v>
      </c>
      <c r="H222" s="2" t="s">
        <v>12</v>
      </c>
      <c r="I222" s="2" t="s">
        <v>13</v>
      </c>
      <c r="J222" s="2" t="s">
        <v>27</v>
      </c>
    </row>
    <row r="223" spans="1:10" x14ac:dyDescent="0.3">
      <c r="A223" s="2" t="str">
        <f>HYPERLINK("https://hsdes.intel.com/resource/14013159507","14013159507")</f>
        <v>14013159507</v>
      </c>
      <c r="B223" s="2" t="s">
        <v>496</v>
      </c>
      <c r="C223" s="2" t="s">
        <v>497</v>
      </c>
      <c r="D223" s="5" t="s">
        <v>526</v>
      </c>
      <c r="E223" s="2"/>
      <c r="F223" s="3" t="s">
        <v>10</v>
      </c>
      <c r="G223" s="2" t="s">
        <v>11</v>
      </c>
      <c r="H223" s="2" t="s">
        <v>12</v>
      </c>
      <c r="I223" s="2" t="s">
        <v>13</v>
      </c>
      <c r="J223" s="2" t="s">
        <v>27</v>
      </c>
    </row>
    <row r="224" spans="1:10" x14ac:dyDescent="0.3">
      <c r="A224" s="2" t="str">
        <f>HYPERLINK("https://hsdes.intel.com/resource/14013159519","14013159519")</f>
        <v>14013159519</v>
      </c>
      <c r="B224" s="2" t="s">
        <v>498</v>
      </c>
      <c r="C224" s="2" t="s">
        <v>499</v>
      </c>
      <c r="D224" s="5" t="s">
        <v>526</v>
      </c>
      <c r="E224" s="2"/>
      <c r="F224" s="3" t="s">
        <v>10</v>
      </c>
      <c r="G224" s="2" t="s">
        <v>11</v>
      </c>
      <c r="H224" s="2" t="s">
        <v>12</v>
      </c>
      <c r="I224" s="2" t="s">
        <v>13</v>
      </c>
      <c r="J224" s="2" t="s">
        <v>27</v>
      </c>
    </row>
    <row r="225" spans="1:10" x14ac:dyDescent="0.3">
      <c r="A225" s="2" t="str">
        <f>HYPERLINK("https://hsdes.intel.com/resource/14013159554","14013159554")</f>
        <v>14013159554</v>
      </c>
      <c r="B225" s="2" t="s">
        <v>500</v>
      </c>
      <c r="C225" s="2" t="s">
        <v>501</v>
      </c>
      <c r="D225" s="5" t="s">
        <v>526</v>
      </c>
      <c r="E225" s="2"/>
      <c r="F225" s="3" t="s">
        <v>10</v>
      </c>
      <c r="G225" s="2" t="s">
        <v>11</v>
      </c>
      <c r="H225" s="2" t="s">
        <v>12</v>
      </c>
      <c r="I225" s="2" t="s">
        <v>13</v>
      </c>
      <c r="J225" s="2" t="s">
        <v>27</v>
      </c>
    </row>
    <row r="226" spans="1:10" x14ac:dyDescent="0.3">
      <c r="A226" s="2" t="str">
        <f>HYPERLINK("https://hsdes.intel.com/resource/14013159581","14013159581")</f>
        <v>14013159581</v>
      </c>
      <c r="B226" s="2" t="s">
        <v>502</v>
      </c>
      <c r="C226" s="2" t="s">
        <v>503</v>
      </c>
      <c r="D226" s="5" t="s">
        <v>526</v>
      </c>
      <c r="E226" s="2"/>
      <c r="F226" s="3" t="s">
        <v>10</v>
      </c>
      <c r="G226" s="2" t="s">
        <v>11</v>
      </c>
      <c r="H226" s="2" t="s">
        <v>12</v>
      </c>
      <c r="I226" s="2" t="s">
        <v>13</v>
      </c>
      <c r="J226" s="2" t="s">
        <v>27</v>
      </c>
    </row>
    <row r="227" spans="1:10" x14ac:dyDescent="0.3">
      <c r="A227" s="2" t="str">
        <f>HYPERLINK("https://hsdes.intel.com/resource/14013159584","14013159584")</f>
        <v>14013159584</v>
      </c>
      <c r="B227" s="2" t="s">
        <v>504</v>
      </c>
      <c r="C227" s="2" t="s">
        <v>505</v>
      </c>
      <c r="D227" s="5" t="s">
        <v>526</v>
      </c>
      <c r="E227" s="2"/>
      <c r="F227" s="3" t="s">
        <v>10</v>
      </c>
      <c r="G227" s="2" t="s">
        <v>11</v>
      </c>
      <c r="H227" s="2" t="s">
        <v>12</v>
      </c>
      <c r="I227" s="2" t="s">
        <v>13</v>
      </c>
      <c r="J227" s="2" t="s">
        <v>27</v>
      </c>
    </row>
    <row r="228" spans="1:10" x14ac:dyDescent="0.3">
      <c r="A228" s="2" t="str">
        <f>HYPERLINK("https://hsdes.intel.com/resource/14013159587","14013159587")</f>
        <v>14013159587</v>
      </c>
      <c r="B228" s="2" t="s">
        <v>506</v>
      </c>
      <c r="C228" s="2" t="s">
        <v>507</v>
      </c>
      <c r="D228" s="5" t="s">
        <v>526</v>
      </c>
      <c r="E228" s="2"/>
      <c r="F228" s="3" t="s">
        <v>10</v>
      </c>
      <c r="G228" s="2" t="s">
        <v>11</v>
      </c>
      <c r="H228" s="2" t="s">
        <v>12</v>
      </c>
      <c r="I228" s="2" t="s">
        <v>13</v>
      </c>
      <c r="J228" s="2" t="s">
        <v>27</v>
      </c>
    </row>
    <row r="229" spans="1:10" x14ac:dyDescent="0.3">
      <c r="A229" s="2" t="str">
        <f>HYPERLINK("https://hsdes.intel.com/resource/14013159601","14013159601")</f>
        <v>14013159601</v>
      </c>
      <c r="B229" s="2" t="s">
        <v>508</v>
      </c>
      <c r="C229" s="2" t="s">
        <v>509</v>
      </c>
      <c r="D229" s="5" t="s">
        <v>526</v>
      </c>
      <c r="E229" s="2"/>
      <c r="F229" s="3" t="s">
        <v>10</v>
      </c>
      <c r="G229" s="2" t="s">
        <v>11</v>
      </c>
      <c r="H229" s="2" t="s">
        <v>12</v>
      </c>
      <c r="I229" s="2" t="s">
        <v>13</v>
      </c>
      <c r="J229" s="2" t="s">
        <v>14</v>
      </c>
    </row>
    <row r="230" spans="1:10" x14ac:dyDescent="0.3">
      <c r="A230" s="2" t="str">
        <f>HYPERLINK("https://hsdes.intel.com/resource/14013159644","14013159644")</f>
        <v>14013159644</v>
      </c>
      <c r="B230" s="2" t="s">
        <v>510</v>
      </c>
      <c r="C230" s="2" t="s">
        <v>511</v>
      </c>
      <c r="D230" s="5" t="s">
        <v>526</v>
      </c>
      <c r="E230" s="2"/>
      <c r="F230" s="3" t="s">
        <v>10</v>
      </c>
      <c r="G230" s="2" t="s">
        <v>11</v>
      </c>
      <c r="H230" s="2" t="s">
        <v>12</v>
      </c>
      <c r="I230" s="2" t="s">
        <v>13</v>
      </c>
      <c r="J230" s="2" t="s">
        <v>27</v>
      </c>
    </row>
    <row r="231" spans="1:10" x14ac:dyDescent="0.3">
      <c r="A231" s="2" t="str">
        <f>HYPERLINK("https://hsdes.intel.com/resource/14013159645","14013159645")</f>
        <v>14013159645</v>
      </c>
      <c r="B231" s="2" t="s">
        <v>512</v>
      </c>
      <c r="C231" s="2" t="s">
        <v>513</v>
      </c>
      <c r="D231" s="5" t="s">
        <v>526</v>
      </c>
      <c r="E231" s="2"/>
      <c r="F231" s="3" t="s">
        <v>10</v>
      </c>
      <c r="G231" s="2" t="s">
        <v>11</v>
      </c>
      <c r="H231" s="2" t="s">
        <v>12</v>
      </c>
      <c r="I231" s="2" t="s">
        <v>13</v>
      </c>
      <c r="J231" s="2" t="s">
        <v>27</v>
      </c>
    </row>
    <row r="232" spans="1:10" x14ac:dyDescent="0.3">
      <c r="A232" s="2" t="str">
        <f>HYPERLINK("https://hsdes.intel.com/resource/14013159647","14013159647")</f>
        <v>14013159647</v>
      </c>
      <c r="B232" s="2" t="s">
        <v>514</v>
      </c>
      <c r="C232" s="2" t="s">
        <v>515</v>
      </c>
      <c r="D232" s="5" t="s">
        <v>526</v>
      </c>
      <c r="E232" s="2"/>
      <c r="F232" s="3" t="s">
        <v>10</v>
      </c>
      <c r="G232" s="2" t="s">
        <v>11</v>
      </c>
      <c r="H232" s="2" t="s">
        <v>12</v>
      </c>
      <c r="I232" s="2" t="s">
        <v>13</v>
      </c>
      <c r="J232" s="2" t="s">
        <v>14</v>
      </c>
    </row>
    <row r="233" spans="1:10" x14ac:dyDescent="0.3">
      <c r="A233" s="2" t="str">
        <f>HYPERLINK("https://hsdes.intel.com/resource/14013159649","14013159649")</f>
        <v>14013159649</v>
      </c>
      <c r="B233" s="2" t="s">
        <v>516</v>
      </c>
      <c r="C233" s="2" t="s">
        <v>517</v>
      </c>
      <c r="D233" s="5" t="s">
        <v>526</v>
      </c>
      <c r="E233" s="2"/>
      <c r="F233" s="3" t="s">
        <v>10</v>
      </c>
      <c r="G233" s="2" t="s">
        <v>11</v>
      </c>
      <c r="H233" s="2" t="s">
        <v>12</v>
      </c>
      <c r="I233" s="2" t="s">
        <v>13</v>
      </c>
      <c r="J233" s="2" t="s">
        <v>27</v>
      </c>
    </row>
    <row r="234" spans="1:10" x14ac:dyDescent="0.3">
      <c r="A234" s="2" t="str">
        <f>HYPERLINK("https://hsdes.intel.com/resource/14013159652","14013159652")</f>
        <v>14013159652</v>
      </c>
      <c r="B234" s="2" t="s">
        <v>518</v>
      </c>
      <c r="C234" s="2" t="s">
        <v>519</v>
      </c>
      <c r="D234" s="5" t="s">
        <v>526</v>
      </c>
      <c r="E234" s="2"/>
      <c r="F234" s="3" t="s">
        <v>10</v>
      </c>
      <c r="G234" s="2" t="s">
        <v>11</v>
      </c>
      <c r="H234" s="2" t="s">
        <v>12</v>
      </c>
      <c r="I234" s="2" t="s">
        <v>13</v>
      </c>
      <c r="J234" s="2" t="s">
        <v>27</v>
      </c>
    </row>
    <row r="235" spans="1:10" x14ac:dyDescent="0.3">
      <c r="A235" s="2" t="str">
        <f>HYPERLINK("https://hsdes.intel.com/resource/14013159654","14013159654")</f>
        <v>14013159654</v>
      </c>
      <c r="B235" s="2" t="s">
        <v>520</v>
      </c>
      <c r="C235" s="2" t="s">
        <v>521</v>
      </c>
      <c r="D235" s="5" t="s">
        <v>526</v>
      </c>
      <c r="E235" s="2"/>
      <c r="F235" s="3" t="s">
        <v>10</v>
      </c>
      <c r="G235" s="2" t="s">
        <v>11</v>
      </c>
      <c r="H235" s="2" t="s">
        <v>12</v>
      </c>
      <c r="I235" s="2" t="s">
        <v>13</v>
      </c>
      <c r="J235" s="2" t="s">
        <v>27</v>
      </c>
    </row>
    <row r="236" spans="1:10" x14ac:dyDescent="0.3">
      <c r="A236" s="2" t="str">
        <f>HYPERLINK("https://hsdes.intel.com/resource/14013159662","14013159662")</f>
        <v>14013159662</v>
      </c>
      <c r="B236" s="2" t="s">
        <v>522</v>
      </c>
      <c r="C236" s="2" t="s">
        <v>523</v>
      </c>
      <c r="D236" s="5" t="s">
        <v>526</v>
      </c>
      <c r="E236" s="2"/>
      <c r="F236" s="3" t="s">
        <v>10</v>
      </c>
      <c r="G236" s="2" t="s">
        <v>11</v>
      </c>
      <c r="H236" s="2" t="s">
        <v>12</v>
      </c>
      <c r="I236" s="2" t="s">
        <v>13</v>
      </c>
      <c r="J236" s="2" t="s">
        <v>14</v>
      </c>
    </row>
    <row r="237" spans="1:10" x14ac:dyDescent="0.3">
      <c r="A237" s="2" t="str">
        <f>HYPERLINK("https://hsdes.intel.com/resource/14013159682","14013159682")</f>
        <v>14013159682</v>
      </c>
      <c r="B237" s="2" t="s">
        <v>524</v>
      </c>
      <c r="C237" s="2" t="s">
        <v>525</v>
      </c>
      <c r="D237" s="5" t="s">
        <v>526</v>
      </c>
      <c r="E237" s="2"/>
      <c r="F237" s="3" t="s">
        <v>10</v>
      </c>
      <c r="G237" s="2" t="s">
        <v>11</v>
      </c>
      <c r="H237" s="2" t="s">
        <v>265</v>
      </c>
      <c r="I237" s="2" t="s">
        <v>266</v>
      </c>
      <c r="J237" s="2" t="s">
        <v>14</v>
      </c>
    </row>
    <row r="238" spans="1:10" x14ac:dyDescent="0.3">
      <c r="A238" s="2" t="str">
        <f>HYPERLINK("https://hsdes.intel.com/resource/14013159696","14013159696")</f>
        <v>14013159696</v>
      </c>
      <c r="B238" s="2" t="s">
        <v>527</v>
      </c>
      <c r="C238" s="2" t="s">
        <v>528</v>
      </c>
      <c r="D238" s="5" t="s">
        <v>526</v>
      </c>
      <c r="E238" s="2"/>
      <c r="F238" s="3" t="s">
        <v>10</v>
      </c>
      <c r="G238" s="2" t="s">
        <v>11</v>
      </c>
      <c r="H238" s="2" t="s">
        <v>12</v>
      </c>
      <c r="I238" s="2" t="s">
        <v>13</v>
      </c>
      <c r="J238" s="2" t="s">
        <v>27</v>
      </c>
    </row>
    <row r="239" spans="1:10" x14ac:dyDescent="0.3">
      <c r="A239" s="2" t="str">
        <f>HYPERLINK("https://hsdes.intel.com/resource/14013159700","14013159700")</f>
        <v>14013159700</v>
      </c>
      <c r="B239" s="2" t="s">
        <v>529</v>
      </c>
      <c r="C239" s="2" t="s">
        <v>530</v>
      </c>
      <c r="D239" s="5" t="s">
        <v>526</v>
      </c>
      <c r="E239" s="2"/>
      <c r="F239" s="3" t="s">
        <v>10</v>
      </c>
      <c r="G239" s="2" t="s">
        <v>11</v>
      </c>
      <c r="H239" s="2" t="s">
        <v>12</v>
      </c>
      <c r="I239" s="2" t="s">
        <v>13</v>
      </c>
      <c r="J239" s="2" t="s">
        <v>27</v>
      </c>
    </row>
    <row r="240" spans="1:10" x14ac:dyDescent="0.3">
      <c r="A240" s="2" t="str">
        <f>HYPERLINK("https://hsdes.intel.com/resource/14013159702","14013159702")</f>
        <v>14013159702</v>
      </c>
      <c r="B240" s="2" t="s">
        <v>531</v>
      </c>
      <c r="C240" s="2" t="s">
        <v>532</v>
      </c>
      <c r="D240" s="5" t="s">
        <v>526</v>
      </c>
      <c r="E240" s="2"/>
      <c r="F240" s="3" t="s">
        <v>10</v>
      </c>
      <c r="G240" s="2" t="s">
        <v>11</v>
      </c>
      <c r="H240" s="2" t="s">
        <v>12</v>
      </c>
      <c r="I240" s="2" t="s">
        <v>13</v>
      </c>
      <c r="J240" s="2" t="s">
        <v>27</v>
      </c>
    </row>
    <row r="241" spans="1:10" x14ac:dyDescent="0.3">
      <c r="A241" s="2" t="str">
        <f>HYPERLINK("https://hsdes.intel.com/resource/14013159709","14013159709")</f>
        <v>14013159709</v>
      </c>
      <c r="B241" s="2" t="s">
        <v>533</v>
      </c>
      <c r="C241" s="2" t="s">
        <v>534</v>
      </c>
      <c r="D241" s="5" t="s">
        <v>526</v>
      </c>
      <c r="E241" s="2"/>
      <c r="F241" s="3" t="s">
        <v>10</v>
      </c>
      <c r="G241" s="2" t="s">
        <v>11</v>
      </c>
      <c r="H241" s="2" t="s">
        <v>12</v>
      </c>
      <c r="I241" s="2" t="s">
        <v>13</v>
      </c>
      <c r="J241" s="2" t="s">
        <v>27</v>
      </c>
    </row>
    <row r="242" spans="1:10" x14ac:dyDescent="0.3">
      <c r="A242" s="2" t="str">
        <f>HYPERLINK("https://hsdes.intel.com/resource/14013159714","14013159714")</f>
        <v>14013159714</v>
      </c>
      <c r="B242" s="2" t="s">
        <v>535</v>
      </c>
      <c r="C242" s="2" t="s">
        <v>536</v>
      </c>
      <c r="D242" s="5" t="s">
        <v>526</v>
      </c>
      <c r="E242" s="2"/>
      <c r="F242" s="3" t="s">
        <v>10</v>
      </c>
      <c r="G242" s="2" t="s">
        <v>11</v>
      </c>
      <c r="H242" s="2" t="s">
        <v>12</v>
      </c>
      <c r="I242" s="2" t="s">
        <v>13</v>
      </c>
      <c r="J242" s="2" t="s">
        <v>27</v>
      </c>
    </row>
    <row r="243" spans="1:10" x14ac:dyDescent="0.3">
      <c r="A243" s="2" t="str">
        <f>HYPERLINK("https://hsdes.intel.com/resource/14013159812","14013159812")</f>
        <v>14013159812</v>
      </c>
      <c r="B243" s="2" t="s">
        <v>537</v>
      </c>
      <c r="C243" s="2" t="s">
        <v>538</v>
      </c>
      <c r="D243" s="5" t="s">
        <v>526</v>
      </c>
      <c r="E243" s="2"/>
      <c r="F243" s="3" t="s">
        <v>10</v>
      </c>
      <c r="G243" s="2" t="s">
        <v>11</v>
      </c>
      <c r="H243" s="2" t="s">
        <v>85</v>
      </c>
      <c r="I243" s="2" t="s">
        <v>86</v>
      </c>
      <c r="J243" s="2" t="s">
        <v>27</v>
      </c>
    </row>
    <row r="244" spans="1:10" x14ac:dyDescent="0.3">
      <c r="A244" s="2" t="str">
        <f>HYPERLINK("https://hsdes.intel.com/resource/14013159864","14013159864")</f>
        <v>14013159864</v>
      </c>
      <c r="B244" s="2" t="s">
        <v>539</v>
      </c>
      <c r="C244" s="2" t="s">
        <v>540</v>
      </c>
      <c r="D244" s="5" t="s">
        <v>526</v>
      </c>
      <c r="E244" s="2"/>
      <c r="F244" s="3" t="s">
        <v>10</v>
      </c>
      <c r="G244" s="2" t="s">
        <v>11</v>
      </c>
      <c r="H244" s="2" t="s">
        <v>12</v>
      </c>
      <c r="I244" s="2" t="s">
        <v>13</v>
      </c>
      <c r="J244" s="2" t="s">
        <v>27</v>
      </c>
    </row>
    <row r="245" spans="1:10" x14ac:dyDescent="0.3">
      <c r="A245" s="2" t="str">
        <f>HYPERLINK("https://hsdes.intel.com/resource/14013159868","14013159868")</f>
        <v>14013159868</v>
      </c>
      <c r="B245" s="2" t="s">
        <v>541</v>
      </c>
      <c r="C245" s="2" t="s">
        <v>542</v>
      </c>
      <c r="D245" s="5" t="s">
        <v>526</v>
      </c>
      <c r="E245" s="2"/>
      <c r="F245" s="3" t="s">
        <v>10</v>
      </c>
      <c r="G245" s="2" t="s">
        <v>11</v>
      </c>
      <c r="H245" s="2" t="s">
        <v>12</v>
      </c>
      <c r="I245" s="2" t="s">
        <v>13</v>
      </c>
      <c r="J245" s="2" t="s">
        <v>32</v>
      </c>
    </row>
    <row r="246" spans="1:10" x14ac:dyDescent="0.3">
      <c r="A246" s="2" t="str">
        <f>HYPERLINK("https://hsdes.intel.com/resource/14013159870","14013159870")</f>
        <v>14013159870</v>
      </c>
      <c r="B246" s="2" t="s">
        <v>543</v>
      </c>
      <c r="C246" s="2" t="s">
        <v>544</v>
      </c>
      <c r="D246" s="5" t="s">
        <v>526</v>
      </c>
      <c r="E246" s="2"/>
      <c r="F246" s="3" t="s">
        <v>10</v>
      </c>
      <c r="G246" s="2" t="s">
        <v>11</v>
      </c>
      <c r="H246" s="2" t="s">
        <v>12</v>
      </c>
      <c r="I246" s="2" t="s">
        <v>13</v>
      </c>
      <c r="J246" s="2" t="s">
        <v>27</v>
      </c>
    </row>
    <row r="247" spans="1:10" x14ac:dyDescent="0.3">
      <c r="A247" s="2" t="str">
        <f>HYPERLINK("https://hsdes.intel.com/resource/14013159874","14013159874")</f>
        <v>14013159874</v>
      </c>
      <c r="B247" s="2" t="s">
        <v>545</v>
      </c>
      <c r="C247" s="2" t="s">
        <v>546</v>
      </c>
      <c r="D247" s="5" t="s">
        <v>526</v>
      </c>
      <c r="E247" s="2"/>
      <c r="F247" s="3" t="s">
        <v>10</v>
      </c>
      <c r="G247" s="2" t="s">
        <v>11</v>
      </c>
      <c r="H247" s="2" t="s">
        <v>12</v>
      </c>
      <c r="I247" s="2" t="s">
        <v>13</v>
      </c>
      <c r="J247" s="2" t="s">
        <v>14</v>
      </c>
    </row>
    <row r="248" spans="1:10" x14ac:dyDescent="0.3">
      <c r="A248" s="2" t="str">
        <f>HYPERLINK("https://hsdes.intel.com/resource/14013159876","14013159876")</f>
        <v>14013159876</v>
      </c>
      <c r="B248" s="2" t="s">
        <v>547</v>
      </c>
      <c r="C248" s="2" t="s">
        <v>548</v>
      </c>
      <c r="D248" s="5" t="s">
        <v>526</v>
      </c>
      <c r="E248" s="2"/>
      <c r="F248" s="3" t="s">
        <v>10</v>
      </c>
      <c r="G248" s="2" t="s">
        <v>11</v>
      </c>
      <c r="H248" s="2" t="s">
        <v>12</v>
      </c>
      <c r="I248" s="2" t="s">
        <v>13</v>
      </c>
      <c r="J248" s="2" t="s">
        <v>27</v>
      </c>
    </row>
    <row r="249" spans="1:10" x14ac:dyDescent="0.3">
      <c r="A249" s="2" t="str">
        <f>HYPERLINK("https://hsdes.intel.com/resource/14013159881","14013159881")</f>
        <v>14013159881</v>
      </c>
      <c r="B249" s="2" t="s">
        <v>549</v>
      </c>
      <c r="C249" s="2" t="s">
        <v>550</v>
      </c>
      <c r="D249" s="5" t="s">
        <v>526</v>
      </c>
      <c r="E249" s="2"/>
      <c r="F249" s="3" t="s">
        <v>10</v>
      </c>
      <c r="G249" s="2" t="s">
        <v>11</v>
      </c>
      <c r="H249" s="2" t="s">
        <v>12</v>
      </c>
      <c r="I249" s="2" t="s">
        <v>13</v>
      </c>
      <c r="J249" s="2" t="s">
        <v>27</v>
      </c>
    </row>
    <row r="250" spans="1:10" x14ac:dyDescent="0.3">
      <c r="A250" s="2" t="str">
        <f>HYPERLINK("https://hsdes.intel.com/resource/14013159884","14013159884")</f>
        <v>14013159884</v>
      </c>
      <c r="B250" s="2" t="s">
        <v>551</v>
      </c>
      <c r="C250" s="2" t="s">
        <v>552</v>
      </c>
      <c r="D250" s="5" t="s">
        <v>526</v>
      </c>
      <c r="E250" s="2"/>
      <c r="F250" s="3" t="s">
        <v>10</v>
      </c>
      <c r="G250" s="2" t="s">
        <v>11</v>
      </c>
      <c r="H250" s="2" t="s">
        <v>12</v>
      </c>
      <c r="I250" s="2" t="s">
        <v>13</v>
      </c>
      <c r="J250" s="2" t="s">
        <v>27</v>
      </c>
    </row>
    <row r="251" spans="1:10" x14ac:dyDescent="0.3">
      <c r="A251" s="2" t="str">
        <f>HYPERLINK("https://hsdes.intel.com/resource/14013159887","14013159887")</f>
        <v>14013159887</v>
      </c>
      <c r="B251" s="2" t="s">
        <v>553</v>
      </c>
      <c r="C251" s="2" t="s">
        <v>554</v>
      </c>
      <c r="D251" s="5" t="s">
        <v>526</v>
      </c>
      <c r="E251" s="2"/>
      <c r="F251" s="3" t="s">
        <v>10</v>
      </c>
      <c r="G251" s="2" t="s">
        <v>11</v>
      </c>
      <c r="H251" s="2" t="s">
        <v>12</v>
      </c>
      <c r="I251" s="2" t="s">
        <v>13</v>
      </c>
      <c r="J251" s="2" t="s">
        <v>27</v>
      </c>
    </row>
    <row r="252" spans="1:10" x14ac:dyDescent="0.3">
      <c r="A252" s="2" t="str">
        <f>HYPERLINK("https://hsdes.intel.com/resource/14013159897","14013159897")</f>
        <v>14013159897</v>
      </c>
      <c r="B252" s="2" t="s">
        <v>555</v>
      </c>
      <c r="C252" s="2" t="s">
        <v>556</v>
      </c>
      <c r="D252" s="5" t="s">
        <v>526</v>
      </c>
      <c r="E252" s="2"/>
      <c r="F252" s="3" t="s">
        <v>10</v>
      </c>
      <c r="G252" s="2" t="s">
        <v>11</v>
      </c>
      <c r="H252" s="2" t="s">
        <v>12</v>
      </c>
      <c r="I252" s="2" t="s">
        <v>13</v>
      </c>
      <c r="J252" s="2" t="s">
        <v>27</v>
      </c>
    </row>
    <row r="253" spans="1:10" x14ac:dyDescent="0.3">
      <c r="A253" s="2" t="str">
        <f>HYPERLINK("https://hsdes.intel.com/resource/14013159912","14013159912")</f>
        <v>14013159912</v>
      </c>
      <c r="B253" s="2" t="s">
        <v>557</v>
      </c>
      <c r="C253" s="2" t="s">
        <v>558</v>
      </c>
      <c r="D253" s="5" t="s">
        <v>526</v>
      </c>
      <c r="E253" s="2"/>
      <c r="F253" s="3" t="s">
        <v>10</v>
      </c>
      <c r="G253" s="2" t="s">
        <v>11</v>
      </c>
      <c r="H253" s="2" t="s">
        <v>12</v>
      </c>
      <c r="I253" s="2" t="s">
        <v>13</v>
      </c>
      <c r="J253" s="2" t="s">
        <v>27</v>
      </c>
    </row>
    <row r="254" spans="1:10" x14ac:dyDescent="0.3">
      <c r="A254" s="2" t="str">
        <f>HYPERLINK("https://hsdes.intel.com/resource/14013159914","14013159914")</f>
        <v>14013159914</v>
      </c>
      <c r="B254" s="2" t="s">
        <v>559</v>
      </c>
      <c r="C254" s="2" t="s">
        <v>560</v>
      </c>
      <c r="D254" s="5" t="s">
        <v>526</v>
      </c>
      <c r="E254" s="2"/>
      <c r="F254" s="3" t="s">
        <v>10</v>
      </c>
      <c r="G254" s="2" t="s">
        <v>11</v>
      </c>
      <c r="H254" s="2" t="s">
        <v>12</v>
      </c>
      <c r="I254" s="2" t="s">
        <v>13</v>
      </c>
      <c r="J254" s="2" t="s">
        <v>27</v>
      </c>
    </row>
    <row r="255" spans="1:10" x14ac:dyDescent="0.3">
      <c r="A255" s="2" t="str">
        <f>HYPERLINK("https://hsdes.intel.com/resource/14013159917","14013159917")</f>
        <v>14013159917</v>
      </c>
      <c r="B255" s="2" t="s">
        <v>561</v>
      </c>
      <c r="C255" s="2" t="s">
        <v>562</v>
      </c>
      <c r="D255" s="5" t="s">
        <v>526</v>
      </c>
      <c r="E255" s="2"/>
      <c r="F255" s="3" t="s">
        <v>10</v>
      </c>
      <c r="G255" s="2" t="s">
        <v>11</v>
      </c>
      <c r="H255" s="2" t="s">
        <v>12</v>
      </c>
      <c r="I255" s="2" t="s">
        <v>13</v>
      </c>
      <c r="J255" s="2" t="s">
        <v>32</v>
      </c>
    </row>
    <row r="256" spans="1:10" x14ac:dyDescent="0.3">
      <c r="A256" s="2" t="str">
        <f>HYPERLINK("https://hsdes.intel.com/resource/14013159920","14013159920")</f>
        <v>14013159920</v>
      </c>
      <c r="B256" s="2" t="s">
        <v>563</v>
      </c>
      <c r="C256" s="2" t="s">
        <v>564</v>
      </c>
      <c r="D256" s="5" t="s">
        <v>526</v>
      </c>
      <c r="E256" s="2"/>
      <c r="F256" s="3" t="s">
        <v>10</v>
      </c>
      <c r="G256" s="2" t="s">
        <v>11</v>
      </c>
      <c r="H256" s="2" t="s">
        <v>12</v>
      </c>
      <c r="I256" s="2" t="s">
        <v>13</v>
      </c>
      <c r="J256" s="2" t="s">
        <v>32</v>
      </c>
    </row>
    <row r="257" spans="1:10" x14ac:dyDescent="0.3">
      <c r="A257" s="2" t="str">
        <f>HYPERLINK("https://hsdes.intel.com/resource/14013159923","14013159923")</f>
        <v>14013159923</v>
      </c>
      <c r="B257" s="2" t="s">
        <v>565</v>
      </c>
      <c r="C257" s="2" t="s">
        <v>566</v>
      </c>
      <c r="D257" s="5" t="s">
        <v>526</v>
      </c>
      <c r="E257" s="2"/>
      <c r="F257" s="3" t="s">
        <v>10</v>
      </c>
      <c r="G257" s="2" t="s">
        <v>11</v>
      </c>
      <c r="H257" s="2" t="s">
        <v>12</v>
      </c>
      <c r="I257" s="2" t="s">
        <v>13</v>
      </c>
      <c r="J257" s="2" t="s">
        <v>32</v>
      </c>
    </row>
    <row r="258" spans="1:10" x14ac:dyDescent="0.3">
      <c r="A258" s="2" t="str">
        <f>HYPERLINK("https://hsdes.intel.com/resource/14013159925","14013159925")</f>
        <v>14013159925</v>
      </c>
      <c r="B258" s="2" t="s">
        <v>567</v>
      </c>
      <c r="C258" s="2" t="s">
        <v>568</v>
      </c>
      <c r="D258" s="5" t="s">
        <v>526</v>
      </c>
      <c r="E258" s="2"/>
      <c r="F258" s="3" t="s">
        <v>10</v>
      </c>
      <c r="G258" s="2" t="s">
        <v>11</v>
      </c>
      <c r="H258" s="2" t="s">
        <v>12</v>
      </c>
      <c r="I258" s="2" t="s">
        <v>13</v>
      </c>
      <c r="J258" s="2" t="s">
        <v>14</v>
      </c>
    </row>
    <row r="259" spans="1:10" x14ac:dyDescent="0.3">
      <c r="A259" s="2" t="str">
        <f>HYPERLINK("https://hsdes.intel.com/resource/14013159928","14013159928")</f>
        <v>14013159928</v>
      </c>
      <c r="B259" s="2" t="s">
        <v>569</v>
      </c>
      <c r="C259" s="2" t="s">
        <v>570</v>
      </c>
      <c r="D259" s="5" t="s">
        <v>526</v>
      </c>
      <c r="E259" s="2"/>
      <c r="F259" s="3" t="s">
        <v>10</v>
      </c>
      <c r="G259" s="2" t="s">
        <v>11</v>
      </c>
      <c r="H259" s="2" t="s">
        <v>12</v>
      </c>
      <c r="I259" s="2" t="s">
        <v>13</v>
      </c>
      <c r="J259" s="2" t="s">
        <v>32</v>
      </c>
    </row>
    <row r="260" spans="1:10" x14ac:dyDescent="0.3">
      <c r="A260" s="2" t="str">
        <f>HYPERLINK("https://hsdes.intel.com/resource/14013159952","14013159952")</f>
        <v>14013159952</v>
      </c>
      <c r="B260" s="2" t="s">
        <v>571</v>
      </c>
      <c r="C260" s="2" t="s">
        <v>572</v>
      </c>
      <c r="D260" s="5" t="s">
        <v>526</v>
      </c>
      <c r="E260" s="2"/>
      <c r="F260" s="3" t="s">
        <v>10</v>
      </c>
      <c r="G260" s="2" t="s">
        <v>11</v>
      </c>
      <c r="H260" s="2" t="s">
        <v>12</v>
      </c>
      <c r="I260" s="2" t="s">
        <v>13</v>
      </c>
      <c r="J260" s="2" t="s">
        <v>27</v>
      </c>
    </row>
    <row r="261" spans="1:10" x14ac:dyDescent="0.3">
      <c r="A261" s="2" t="str">
        <f>HYPERLINK("https://hsdes.intel.com/resource/14013159954","14013159954")</f>
        <v>14013159954</v>
      </c>
      <c r="B261" s="2" t="s">
        <v>573</v>
      </c>
      <c r="C261" s="2" t="s">
        <v>574</v>
      </c>
      <c r="D261" s="5" t="s">
        <v>526</v>
      </c>
      <c r="E261" s="2"/>
      <c r="F261" s="3" t="s">
        <v>10</v>
      </c>
      <c r="G261" s="2" t="s">
        <v>11</v>
      </c>
      <c r="H261" s="2" t="s">
        <v>12</v>
      </c>
      <c r="I261" s="2" t="s">
        <v>13</v>
      </c>
      <c r="J261" s="2" t="s">
        <v>27</v>
      </c>
    </row>
    <row r="262" spans="1:10" x14ac:dyDescent="0.3">
      <c r="A262" s="2" t="str">
        <f>HYPERLINK("https://hsdes.intel.com/resource/14013159971","14013159971")</f>
        <v>14013159971</v>
      </c>
      <c r="B262" s="2" t="s">
        <v>575</v>
      </c>
      <c r="C262" s="2" t="s">
        <v>576</v>
      </c>
      <c r="D262" s="5" t="s">
        <v>526</v>
      </c>
      <c r="E262" s="2"/>
      <c r="F262" s="3" t="s">
        <v>10</v>
      </c>
      <c r="G262" s="2" t="s">
        <v>11</v>
      </c>
      <c r="H262" s="2" t="s">
        <v>12</v>
      </c>
      <c r="I262" s="2" t="s">
        <v>13</v>
      </c>
      <c r="J262" s="2" t="s">
        <v>27</v>
      </c>
    </row>
    <row r="263" spans="1:10" x14ac:dyDescent="0.3">
      <c r="A263" s="2" t="str">
        <f>HYPERLINK("https://hsdes.intel.com/resource/14013159973","14013159973")</f>
        <v>14013159973</v>
      </c>
      <c r="B263" s="2" t="s">
        <v>577</v>
      </c>
      <c r="C263" s="2" t="s">
        <v>578</v>
      </c>
      <c r="D263" s="5" t="s">
        <v>526</v>
      </c>
      <c r="E263" s="2"/>
      <c r="F263" s="3" t="s">
        <v>10</v>
      </c>
      <c r="G263" s="2" t="s">
        <v>11</v>
      </c>
      <c r="H263" s="2" t="s">
        <v>12</v>
      </c>
      <c r="I263" s="2" t="s">
        <v>13</v>
      </c>
      <c r="J263" s="2" t="s">
        <v>32</v>
      </c>
    </row>
    <row r="264" spans="1:10" x14ac:dyDescent="0.3">
      <c r="A264" s="2" t="str">
        <f>HYPERLINK("https://hsdes.intel.com/resource/14013159979","14013159979")</f>
        <v>14013159979</v>
      </c>
      <c r="B264" s="2" t="s">
        <v>579</v>
      </c>
      <c r="C264" s="2" t="s">
        <v>580</v>
      </c>
      <c r="D264" s="5" t="s">
        <v>526</v>
      </c>
      <c r="E264" s="2"/>
      <c r="F264" s="3" t="s">
        <v>10</v>
      </c>
      <c r="G264" s="2" t="s">
        <v>11</v>
      </c>
      <c r="H264" s="2" t="s">
        <v>12</v>
      </c>
      <c r="I264" s="2" t="s">
        <v>13</v>
      </c>
      <c r="J264" s="2" t="s">
        <v>27</v>
      </c>
    </row>
    <row r="265" spans="1:10" x14ac:dyDescent="0.3">
      <c r="A265" s="2" t="str">
        <f>HYPERLINK("https://hsdes.intel.com/resource/14013159987","14013159987")</f>
        <v>14013159987</v>
      </c>
      <c r="B265" s="2" t="s">
        <v>581</v>
      </c>
      <c r="C265" s="2" t="s">
        <v>582</v>
      </c>
      <c r="D265" s="5" t="s">
        <v>526</v>
      </c>
      <c r="E265" s="2"/>
      <c r="F265" s="3" t="s">
        <v>10</v>
      </c>
      <c r="G265" s="2" t="s">
        <v>11</v>
      </c>
      <c r="H265" s="2" t="s">
        <v>12</v>
      </c>
      <c r="I265" s="2" t="s">
        <v>13</v>
      </c>
      <c r="J265" s="2" t="s">
        <v>14</v>
      </c>
    </row>
    <row r="266" spans="1:10" x14ac:dyDescent="0.3">
      <c r="A266" s="2" t="str">
        <f>HYPERLINK("https://hsdes.intel.com/resource/14013160002","14013160002")</f>
        <v>14013160002</v>
      </c>
      <c r="B266" s="2" t="s">
        <v>583</v>
      </c>
      <c r="C266" s="2" t="s">
        <v>584</v>
      </c>
      <c r="D266" s="5" t="s">
        <v>526</v>
      </c>
      <c r="E266" s="2"/>
      <c r="F266" s="3" t="s">
        <v>10</v>
      </c>
      <c r="G266" s="2" t="s">
        <v>11</v>
      </c>
      <c r="H266" s="2" t="s">
        <v>12</v>
      </c>
      <c r="I266" s="2" t="s">
        <v>13</v>
      </c>
      <c r="J266" s="2" t="s">
        <v>27</v>
      </c>
    </row>
    <row r="267" spans="1:10" x14ac:dyDescent="0.3">
      <c r="A267" s="2" t="str">
        <f>HYPERLINK("https://hsdes.intel.com/resource/14013160011","14013160011")</f>
        <v>14013160011</v>
      </c>
      <c r="B267" s="2" t="s">
        <v>585</v>
      </c>
      <c r="C267" s="2" t="s">
        <v>586</v>
      </c>
      <c r="D267" s="5" t="s">
        <v>526</v>
      </c>
      <c r="E267" s="2"/>
      <c r="F267" s="3" t="s">
        <v>10</v>
      </c>
      <c r="G267" s="2" t="s">
        <v>11</v>
      </c>
      <c r="H267" s="2" t="s">
        <v>12</v>
      </c>
      <c r="I267" s="2" t="s">
        <v>13</v>
      </c>
      <c r="J267" s="2" t="s">
        <v>27</v>
      </c>
    </row>
    <row r="268" spans="1:10" x14ac:dyDescent="0.3">
      <c r="A268" s="2" t="str">
        <f>HYPERLINK("https://hsdes.intel.com/resource/14013160014","14013160014")</f>
        <v>14013160014</v>
      </c>
      <c r="B268" s="2" t="s">
        <v>587</v>
      </c>
      <c r="C268" s="2" t="s">
        <v>588</v>
      </c>
      <c r="D268" s="5" t="s">
        <v>526</v>
      </c>
      <c r="E268" s="2"/>
      <c r="F268" s="3" t="s">
        <v>10</v>
      </c>
      <c r="G268" s="2" t="s">
        <v>11</v>
      </c>
      <c r="H268" s="2" t="s">
        <v>12</v>
      </c>
      <c r="I268" s="2" t="s">
        <v>13</v>
      </c>
      <c r="J268" s="2" t="s">
        <v>27</v>
      </c>
    </row>
    <row r="269" spans="1:10" x14ac:dyDescent="0.3">
      <c r="A269" s="2" t="str">
        <f>HYPERLINK("https://hsdes.intel.com/resource/14013160018","14013160018")</f>
        <v>14013160018</v>
      </c>
      <c r="B269" s="2" t="s">
        <v>589</v>
      </c>
      <c r="C269" s="2" t="s">
        <v>590</v>
      </c>
      <c r="D269" s="5" t="s">
        <v>526</v>
      </c>
      <c r="E269" s="2"/>
      <c r="F269" s="3" t="s">
        <v>10</v>
      </c>
      <c r="G269" s="2" t="s">
        <v>11</v>
      </c>
      <c r="H269" s="2" t="s">
        <v>12</v>
      </c>
      <c r="I269" s="2" t="s">
        <v>13</v>
      </c>
      <c r="J269" s="2" t="s">
        <v>27</v>
      </c>
    </row>
    <row r="270" spans="1:10" x14ac:dyDescent="0.3">
      <c r="A270" s="2" t="str">
        <f>HYPERLINK("https://hsdes.intel.com/resource/14013160020","14013160020")</f>
        <v>14013160020</v>
      </c>
      <c r="B270" s="2" t="s">
        <v>591</v>
      </c>
      <c r="C270" s="2" t="s">
        <v>592</v>
      </c>
      <c r="D270" s="5" t="s">
        <v>526</v>
      </c>
      <c r="E270" s="2"/>
      <c r="F270" s="3" t="s">
        <v>10</v>
      </c>
      <c r="G270" s="2" t="s">
        <v>11</v>
      </c>
      <c r="H270" s="2" t="s">
        <v>12</v>
      </c>
      <c r="I270" s="2" t="s">
        <v>13</v>
      </c>
      <c r="J270" s="2" t="s">
        <v>32</v>
      </c>
    </row>
    <row r="271" spans="1:10" x14ac:dyDescent="0.3">
      <c r="A271" s="2" t="str">
        <f>HYPERLINK("https://hsdes.intel.com/resource/14013160022","14013160022")</f>
        <v>14013160022</v>
      </c>
      <c r="B271" s="2" t="s">
        <v>593</v>
      </c>
      <c r="C271" s="2" t="s">
        <v>594</v>
      </c>
      <c r="D271" s="5" t="s">
        <v>526</v>
      </c>
      <c r="E271" s="2"/>
      <c r="F271" s="3" t="s">
        <v>10</v>
      </c>
      <c r="G271" s="2" t="s">
        <v>11</v>
      </c>
      <c r="H271" s="2" t="s">
        <v>12</v>
      </c>
      <c r="I271" s="2" t="s">
        <v>13</v>
      </c>
      <c r="J271" s="2" t="s">
        <v>32</v>
      </c>
    </row>
    <row r="272" spans="1:10" x14ac:dyDescent="0.3">
      <c r="A272" s="2" t="str">
        <f>HYPERLINK("https://hsdes.intel.com/resource/14013160024","14013160024")</f>
        <v>14013160024</v>
      </c>
      <c r="B272" s="2" t="s">
        <v>595</v>
      </c>
      <c r="C272" s="2" t="s">
        <v>596</v>
      </c>
      <c r="D272" s="5" t="s">
        <v>526</v>
      </c>
      <c r="E272" s="2"/>
      <c r="F272" s="3" t="s">
        <v>10</v>
      </c>
      <c r="G272" s="2" t="s">
        <v>11</v>
      </c>
      <c r="H272" s="2" t="s">
        <v>12</v>
      </c>
      <c r="I272" s="2" t="s">
        <v>13</v>
      </c>
      <c r="J272" s="2" t="s">
        <v>32</v>
      </c>
    </row>
    <row r="273" spans="1:10" x14ac:dyDescent="0.3">
      <c r="A273" s="2" t="str">
        <f>HYPERLINK("https://hsdes.intel.com/resource/14013160033","14013160033")</f>
        <v>14013160033</v>
      </c>
      <c r="B273" s="2" t="s">
        <v>597</v>
      </c>
      <c r="C273" s="2" t="s">
        <v>598</v>
      </c>
      <c r="D273" s="5" t="s">
        <v>526</v>
      </c>
      <c r="E273" s="2"/>
      <c r="F273" s="3" t="s">
        <v>10</v>
      </c>
      <c r="G273" s="2" t="s">
        <v>11</v>
      </c>
      <c r="H273" s="2" t="s">
        <v>12</v>
      </c>
      <c r="I273" s="2" t="s">
        <v>13</v>
      </c>
      <c r="J273" s="2" t="s">
        <v>32</v>
      </c>
    </row>
    <row r="274" spans="1:10" x14ac:dyDescent="0.3">
      <c r="A274" s="2" t="str">
        <f>HYPERLINK("https://hsdes.intel.com/resource/14013160036","14013160036")</f>
        <v>14013160036</v>
      </c>
      <c r="B274" s="2" t="s">
        <v>599</v>
      </c>
      <c r="C274" s="2" t="s">
        <v>600</v>
      </c>
      <c r="D274" s="5" t="s">
        <v>526</v>
      </c>
      <c r="E274" s="2"/>
      <c r="F274" s="3" t="s">
        <v>10</v>
      </c>
      <c r="G274" s="2" t="s">
        <v>11</v>
      </c>
      <c r="H274" s="2" t="s">
        <v>12</v>
      </c>
      <c r="I274" s="2" t="s">
        <v>13</v>
      </c>
      <c r="J274" s="2" t="s">
        <v>32</v>
      </c>
    </row>
    <row r="275" spans="1:10" x14ac:dyDescent="0.3">
      <c r="A275" s="2" t="str">
        <f>HYPERLINK("https://hsdes.intel.com/resource/14013160038","14013160038")</f>
        <v>14013160038</v>
      </c>
      <c r="B275" s="2" t="s">
        <v>601</v>
      </c>
      <c r="C275" s="2" t="s">
        <v>602</v>
      </c>
      <c r="D275" s="5" t="s">
        <v>526</v>
      </c>
      <c r="E275" s="2"/>
      <c r="F275" s="3" t="s">
        <v>10</v>
      </c>
      <c r="G275" s="2" t="s">
        <v>11</v>
      </c>
      <c r="H275" s="2" t="s">
        <v>12</v>
      </c>
      <c r="I275" s="2" t="s">
        <v>13</v>
      </c>
      <c r="J275" s="2" t="s">
        <v>27</v>
      </c>
    </row>
    <row r="276" spans="1:10" x14ac:dyDescent="0.3">
      <c r="A276" s="2" t="str">
        <f>HYPERLINK("https://hsdes.intel.com/resource/14013160044","14013160044")</f>
        <v>14013160044</v>
      </c>
      <c r="B276" s="2" t="s">
        <v>603</v>
      </c>
      <c r="C276" s="2" t="s">
        <v>604</v>
      </c>
      <c r="D276" s="5" t="s">
        <v>526</v>
      </c>
      <c r="E276" s="2"/>
      <c r="F276" s="3" t="s">
        <v>10</v>
      </c>
      <c r="G276" s="2" t="s">
        <v>11</v>
      </c>
      <c r="H276" s="2" t="s">
        <v>12</v>
      </c>
      <c r="I276" s="2" t="s">
        <v>13</v>
      </c>
      <c r="J276" s="2" t="s">
        <v>27</v>
      </c>
    </row>
    <row r="277" spans="1:10" x14ac:dyDescent="0.3">
      <c r="A277" s="2" t="str">
        <f>HYPERLINK("https://hsdes.intel.com/resource/14013160046","14013160046")</f>
        <v>14013160046</v>
      </c>
      <c r="B277" s="2" t="s">
        <v>605</v>
      </c>
      <c r="C277" s="2" t="s">
        <v>606</v>
      </c>
      <c r="D277" s="5" t="s">
        <v>526</v>
      </c>
      <c r="E277" s="2"/>
      <c r="F277" s="3" t="s">
        <v>10</v>
      </c>
      <c r="G277" s="2" t="s">
        <v>11</v>
      </c>
      <c r="H277" s="2" t="s">
        <v>12</v>
      </c>
      <c r="I277" s="2" t="s">
        <v>13</v>
      </c>
      <c r="J277" s="2" t="s">
        <v>27</v>
      </c>
    </row>
    <row r="278" spans="1:10" x14ac:dyDescent="0.3">
      <c r="A278" s="2" t="str">
        <f>HYPERLINK("https://hsdes.intel.com/resource/14013160059","14013160059")</f>
        <v>14013160059</v>
      </c>
      <c r="B278" s="2" t="s">
        <v>607</v>
      </c>
      <c r="C278" s="2" t="s">
        <v>608</v>
      </c>
      <c r="D278" s="5" t="s">
        <v>526</v>
      </c>
      <c r="E278" s="2"/>
      <c r="F278" s="3" t="s">
        <v>10</v>
      </c>
      <c r="G278" s="2" t="s">
        <v>11</v>
      </c>
      <c r="H278" s="2" t="s">
        <v>12</v>
      </c>
      <c r="I278" s="2" t="s">
        <v>13</v>
      </c>
      <c r="J278" s="2" t="s">
        <v>27</v>
      </c>
    </row>
    <row r="279" spans="1:10" x14ac:dyDescent="0.3">
      <c r="A279" s="2" t="str">
        <f>HYPERLINK("https://hsdes.intel.com/resource/14013160061","14013160061")</f>
        <v>14013160061</v>
      </c>
      <c r="B279" s="2" t="s">
        <v>609</v>
      </c>
      <c r="C279" s="2" t="s">
        <v>610</v>
      </c>
      <c r="D279" s="5" t="s">
        <v>526</v>
      </c>
      <c r="E279" s="2"/>
      <c r="F279" s="3" t="s">
        <v>10</v>
      </c>
      <c r="G279" s="2" t="s">
        <v>11</v>
      </c>
      <c r="H279" s="2" t="s">
        <v>12</v>
      </c>
      <c r="I279" s="2" t="s">
        <v>13</v>
      </c>
      <c r="J279" s="2" t="s">
        <v>32</v>
      </c>
    </row>
    <row r="280" spans="1:10" x14ac:dyDescent="0.3">
      <c r="A280" s="2" t="str">
        <f>HYPERLINK("https://hsdes.intel.com/resource/14013160063","14013160063")</f>
        <v>14013160063</v>
      </c>
      <c r="B280" s="2" t="s">
        <v>611</v>
      </c>
      <c r="C280" s="2" t="s">
        <v>612</v>
      </c>
      <c r="D280" s="5" t="s">
        <v>526</v>
      </c>
      <c r="E280" s="2"/>
      <c r="F280" s="3" t="s">
        <v>10</v>
      </c>
      <c r="G280" s="2" t="s">
        <v>11</v>
      </c>
      <c r="H280" s="2" t="s">
        <v>12</v>
      </c>
      <c r="I280" s="2" t="s">
        <v>13</v>
      </c>
      <c r="J280" s="2" t="s">
        <v>32</v>
      </c>
    </row>
    <row r="281" spans="1:10" x14ac:dyDescent="0.3">
      <c r="A281" s="2" t="str">
        <f>HYPERLINK("https://hsdes.intel.com/resource/14013160066","14013160066")</f>
        <v>14013160066</v>
      </c>
      <c r="B281" s="2" t="s">
        <v>613</v>
      </c>
      <c r="C281" s="2" t="s">
        <v>614</v>
      </c>
      <c r="D281" s="5" t="s">
        <v>526</v>
      </c>
      <c r="E281" s="2"/>
      <c r="F281" s="3" t="s">
        <v>10</v>
      </c>
      <c r="G281" s="2" t="s">
        <v>11</v>
      </c>
      <c r="H281" s="2" t="s">
        <v>12</v>
      </c>
      <c r="I281" s="2" t="s">
        <v>13</v>
      </c>
      <c r="J281" s="2" t="s">
        <v>14</v>
      </c>
    </row>
    <row r="282" spans="1:10" x14ac:dyDescent="0.3">
      <c r="A282" s="2" t="str">
        <f>HYPERLINK("https://hsdes.intel.com/resource/14013160069","14013160069")</f>
        <v>14013160069</v>
      </c>
      <c r="B282" s="2" t="s">
        <v>615</v>
      </c>
      <c r="C282" s="2" t="s">
        <v>616</v>
      </c>
      <c r="D282" s="5" t="s">
        <v>526</v>
      </c>
      <c r="E282" s="2"/>
      <c r="F282" s="3" t="s">
        <v>10</v>
      </c>
      <c r="G282" s="2" t="s">
        <v>11</v>
      </c>
      <c r="H282" s="2" t="s">
        <v>12</v>
      </c>
      <c r="I282" s="2" t="s">
        <v>13</v>
      </c>
      <c r="J282" s="2" t="s">
        <v>27</v>
      </c>
    </row>
    <row r="283" spans="1:10" x14ac:dyDescent="0.3">
      <c r="A283" s="2" t="str">
        <f>HYPERLINK("https://hsdes.intel.com/resource/14013160080","14013160080")</f>
        <v>14013160080</v>
      </c>
      <c r="B283" s="2" t="s">
        <v>617</v>
      </c>
      <c r="C283" s="2" t="s">
        <v>618</v>
      </c>
      <c r="D283" s="5" t="s">
        <v>526</v>
      </c>
      <c r="E283" s="2"/>
      <c r="F283" s="3" t="s">
        <v>10</v>
      </c>
      <c r="G283" s="2" t="s">
        <v>11</v>
      </c>
      <c r="H283" s="2" t="s">
        <v>12</v>
      </c>
      <c r="I283" s="2" t="s">
        <v>13</v>
      </c>
      <c r="J283" s="2" t="s">
        <v>27</v>
      </c>
    </row>
    <row r="284" spans="1:10" x14ac:dyDescent="0.3">
      <c r="A284" s="2" t="str">
        <f>HYPERLINK("https://hsdes.intel.com/resource/14013160125","14013160125")</f>
        <v>14013160125</v>
      </c>
      <c r="B284" s="2" t="s">
        <v>619</v>
      </c>
      <c r="C284" s="2" t="s">
        <v>620</v>
      </c>
      <c r="D284" s="5" t="s">
        <v>526</v>
      </c>
      <c r="E284" s="2"/>
      <c r="F284" s="3" t="s">
        <v>10</v>
      </c>
      <c r="G284" s="2" t="s">
        <v>11</v>
      </c>
      <c r="H284" s="2" t="s">
        <v>49</v>
      </c>
      <c r="I284" s="2" t="s">
        <v>128</v>
      </c>
      <c r="J284" s="2" t="s">
        <v>14</v>
      </c>
    </row>
    <row r="285" spans="1:10" x14ac:dyDescent="0.3">
      <c r="A285" s="2" t="str">
        <f>HYPERLINK("https://hsdes.intel.com/resource/14013160127","14013160127")</f>
        <v>14013160127</v>
      </c>
      <c r="B285" s="2" t="s">
        <v>621</v>
      </c>
      <c r="C285" s="2" t="s">
        <v>622</v>
      </c>
      <c r="D285" s="5" t="s">
        <v>526</v>
      </c>
      <c r="E285" s="2"/>
      <c r="F285" s="3" t="s">
        <v>10</v>
      </c>
      <c r="G285" s="2" t="s">
        <v>11</v>
      </c>
      <c r="H285" s="2" t="s">
        <v>49</v>
      </c>
      <c r="I285" s="2" t="s">
        <v>128</v>
      </c>
      <c r="J285" s="2" t="s">
        <v>14</v>
      </c>
    </row>
    <row r="286" spans="1:10" x14ac:dyDescent="0.3">
      <c r="A286" s="2" t="str">
        <f>HYPERLINK("https://hsdes.intel.com/resource/14013160427","14013160427")</f>
        <v>14013160427</v>
      </c>
      <c r="B286" s="2" t="s">
        <v>623</v>
      </c>
      <c r="C286" s="2" t="s">
        <v>624</v>
      </c>
      <c r="D286" s="5" t="s">
        <v>526</v>
      </c>
      <c r="E286" s="2"/>
      <c r="F286" s="3" t="s">
        <v>10</v>
      </c>
      <c r="G286" s="2" t="s">
        <v>11</v>
      </c>
      <c r="H286" s="2" t="s">
        <v>109</v>
      </c>
      <c r="I286" s="2" t="s">
        <v>110</v>
      </c>
      <c r="J286" s="2" t="s">
        <v>14</v>
      </c>
    </row>
    <row r="287" spans="1:10" x14ac:dyDescent="0.3">
      <c r="A287" s="2" t="str">
        <f>HYPERLINK("https://hsdes.intel.com/resource/14013160435","14013160435")</f>
        <v>14013160435</v>
      </c>
      <c r="B287" s="2" t="s">
        <v>625</v>
      </c>
      <c r="C287" s="2" t="s">
        <v>626</v>
      </c>
      <c r="D287" s="5" t="s">
        <v>526</v>
      </c>
      <c r="E287" s="2"/>
      <c r="F287" s="3" t="s">
        <v>10</v>
      </c>
      <c r="G287" s="2" t="s">
        <v>11</v>
      </c>
      <c r="H287" s="2" t="s">
        <v>49</v>
      </c>
      <c r="I287" s="2" t="s">
        <v>128</v>
      </c>
      <c r="J287" s="2" t="s">
        <v>14</v>
      </c>
    </row>
    <row r="288" spans="1:10" x14ac:dyDescent="0.3">
      <c r="A288" s="2" t="str">
        <f>HYPERLINK("https://hsdes.intel.com/resource/14013160634","14013160634")</f>
        <v>14013160634</v>
      </c>
      <c r="B288" s="2" t="s">
        <v>627</v>
      </c>
      <c r="C288" s="2" t="s">
        <v>628</v>
      </c>
      <c r="D288" s="5" t="s">
        <v>526</v>
      </c>
      <c r="E288" s="2"/>
      <c r="F288" s="3" t="s">
        <v>10</v>
      </c>
      <c r="G288" s="2" t="s">
        <v>11</v>
      </c>
      <c r="H288" s="2" t="s">
        <v>282</v>
      </c>
      <c r="I288" s="2" t="s">
        <v>54</v>
      </c>
      <c r="J288" s="2" t="s">
        <v>32</v>
      </c>
    </row>
    <row r="289" spans="1:10" x14ac:dyDescent="0.3">
      <c r="A289" s="2" t="str">
        <f>HYPERLINK("https://hsdes.intel.com/resource/14013160687","14013160687")</f>
        <v>14013160687</v>
      </c>
      <c r="B289" s="2" t="s">
        <v>629</v>
      </c>
      <c r="C289" s="2" t="s">
        <v>630</v>
      </c>
      <c r="D289" s="5" t="s">
        <v>526</v>
      </c>
      <c r="E289" s="2"/>
      <c r="F289" s="3" t="s">
        <v>10</v>
      </c>
      <c r="G289" s="2" t="s">
        <v>11</v>
      </c>
      <c r="H289" s="2" t="s">
        <v>265</v>
      </c>
      <c r="I289" s="2" t="s">
        <v>266</v>
      </c>
      <c r="J289" s="2" t="s">
        <v>14</v>
      </c>
    </row>
    <row r="290" spans="1:10" x14ac:dyDescent="0.3">
      <c r="A290" s="2" t="str">
        <f>HYPERLINK("https://hsdes.intel.com/resource/14013160688","14013160688")</f>
        <v>14013160688</v>
      </c>
      <c r="B290" s="2" t="s">
        <v>631</v>
      </c>
      <c r="C290" s="2" t="s">
        <v>632</v>
      </c>
      <c r="D290" s="5" t="s">
        <v>526</v>
      </c>
      <c r="E290" s="2"/>
      <c r="F290" s="3" t="s">
        <v>10</v>
      </c>
      <c r="G290" s="2" t="s">
        <v>11</v>
      </c>
      <c r="H290" s="2" t="s">
        <v>265</v>
      </c>
      <c r="I290" s="2" t="s">
        <v>266</v>
      </c>
      <c r="J290" s="2" t="s">
        <v>14</v>
      </c>
    </row>
    <row r="291" spans="1:10" x14ac:dyDescent="0.3">
      <c r="A291" s="2" t="str">
        <f>HYPERLINK("https://hsdes.intel.com/resource/14013160691","14013160691")</f>
        <v>14013160691</v>
      </c>
      <c r="B291" s="2" t="s">
        <v>633</v>
      </c>
      <c r="C291" s="2" t="s">
        <v>634</v>
      </c>
      <c r="D291" s="5" t="s">
        <v>526</v>
      </c>
      <c r="E291" s="2"/>
      <c r="F291" s="3" t="s">
        <v>10</v>
      </c>
      <c r="G291" s="2" t="s">
        <v>11</v>
      </c>
      <c r="H291" s="2" t="s">
        <v>265</v>
      </c>
      <c r="I291" s="2" t="s">
        <v>266</v>
      </c>
      <c r="J291" s="2" t="s">
        <v>14</v>
      </c>
    </row>
    <row r="292" spans="1:10" x14ac:dyDescent="0.3">
      <c r="A292" s="2" t="str">
        <f>HYPERLINK("https://hsdes.intel.com/resource/14013160703","14013160703")</f>
        <v>14013160703</v>
      </c>
      <c r="B292" s="2" t="s">
        <v>635</v>
      </c>
      <c r="C292" s="2" t="s">
        <v>636</v>
      </c>
      <c r="D292" s="5" t="s">
        <v>526</v>
      </c>
      <c r="E292" s="2"/>
      <c r="F292" s="3" t="s">
        <v>10</v>
      </c>
      <c r="G292" s="2" t="s">
        <v>11</v>
      </c>
      <c r="H292" s="2" t="s">
        <v>53</v>
      </c>
      <c r="I292" s="2" t="s">
        <v>54</v>
      </c>
      <c r="J292" s="2" t="s">
        <v>32</v>
      </c>
    </row>
    <row r="293" spans="1:10" x14ac:dyDescent="0.3">
      <c r="A293" s="2" t="str">
        <f>HYPERLINK("https://hsdes.intel.com/resource/14013160708","14013160708")</f>
        <v>14013160708</v>
      </c>
      <c r="B293" s="2" t="s">
        <v>637</v>
      </c>
      <c r="C293" s="2" t="s">
        <v>638</v>
      </c>
      <c r="D293" s="5" t="s">
        <v>526</v>
      </c>
      <c r="E293" s="2"/>
      <c r="F293" s="3" t="s">
        <v>10</v>
      </c>
      <c r="G293" s="2" t="s">
        <v>11</v>
      </c>
      <c r="H293" s="2" t="s">
        <v>265</v>
      </c>
      <c r="I293" s="2" t="s">
        <v>266</v>
      </c>
      <c r="J293" s="2" t="s">
        <v>32</v>
      </c>
    </row>
    <row r="294" spans="1:10" x14ac:dyDescent="0.3">
      <c r="A294" s="2" t="str">
        <f>HYPERLINK("https://hsdes.intel.com/resource/14013160725","14013160725")</f>
        <v>14013160725</v>
      </c>
      <c r="B294" s="2" t="s">
        <v>639</v>
      </c>
      <c r="C294" s="2" t="s">
        <v>640</v>
      </c>
      <c r="D294" s="7" t="s">
        <v>369</v>
      </c>
      <c r="E294" s="2" t="s">
        <v>277</v>
      </c>
      <c r="F294" s="3" t="s">
        <v>10</v>
      </c>
      <c r="G294" s="2" t="s">
        <v>11</v>
      </c>
      <c r="H294" s="2" t="s">
        <v>30</v>
      </c>
      <c r="I294" s="2" t="s">
        <v>31</v>
      </c>
      <c r="J294" s="2" t="s">
        <v>32</v>
      </c>
    </row>
    <row r="295" spans="1:10" x14ac:dyDescent="0.3">
      <c r="A295" s="2" t="str">
        <f>HYPERLINK("https://hsdes.intel.com/resource/14013160728","14013160728")</f>
        <v>14013160728</v>
      </c>
      <c r="B295" s="2" t="s">
        <v>641</v>
      </c>
      <c r="C295" s="2" t="s">
        <v>642</v>
      </c>
      <c r="D295" s="5" t="s">
        <v>526</v>
      </c>
      <c r="E295" s="2"/>
      <c r="F295" s="3" t="s">
        <v>10</v>
      </c>
      <c r="G295" s="2" t="s">
        <v>11</v>
      </c>
      <c r="H295" s="2" t="s">
        <v>12</v>
      </c>
      <c r="I295" s="2" t="s">
        <v>13</v>
      </c>
      <c r="J295" s="2" t="s">
        <v>14</v>
      </c>
    </row>
    <row r="296" spans="1:10" x14ac:dyDescent="0.3">
      <c r="A296" s="2" t="str">
        <f>HYPERLINK("https://hsdes.intel.com/resource/14013160917","14013160917")</f>
        <v>14013160917</v>
      </c>
      <c r="B296" s="2" t="s">
        <v>643</v>
      </c>
      <c r="C296" s="2" t="s">
        <v>644</v>
      </c>
      <c r="D296" s="5" t="s">
        <v>526</v>
      </c>
      <c r="E296" s="2"/>
      <c r="F296" s="3" t="s">
        <v>10</v>
      </c>
      <c r="G296" s="2" t="s">
        <v>11</v>
      </c>
      <c r="H296" s="2" t="s">
        <v>71</v>
      </c>
      <c r="I296" s="2" t="s">
        <v>74</v>
      </c>
      <c r="J296" s="2" t="s">
        <v>14</v>
      </c>
    </row>
    <row r="297" spans="1:10" x14ac:dyDescent="0.3">
      <c r="A297" s="2" t="str">
        <f>HYPERLINK("https://hsdes.intel.com/resource/14013160956","14013160956")</f>
        <v>14013160956</v>
      </c>
      <c r="B297" s="2" t="s">
        <v>645</v>
      </c>
      <c r="C297" s="2" t="s">
        <v>646</v>
      </c>
      <c r="D297" s="5" t="s">
        <v>526</v>
      </c>
      <c r="E297" s="2"/>
      <c r="F297" s="3" t="s">
        <v>10</v>
      </c>
      <c r="G297" s="2" t="s">
        <v>11</v>
      </c>
      <c r="H297" s="2" t="s">
        <v>85</v>
      </c>
      <c r="I297" s="2" t="s">
        <v>86</v>
      </c>
      <c r="J297" s="2" t="s">
        <v>14</v>
      </c>
    </row>
    <row r="298" spans="1:10" x14ac:dyDescent="0.3">
      <c r="A298" s="2" t="str">
        <f>HYPERLINK("https://hsdes.intel.com/resource/14013161002","14013161002")</f>
        <v>14013161002</v>
      </c>
      <c r="B298" s="2" t="s">
        <v>647</v>
      </c>
      <c r="C298" s="2" t="s">
        <v>648</v>
      </c>
      <c r="D298" s="5" t="s">
        <v>526</v>
      </c>
      <c r="E298" s="2"/>
      <c r="F298" s="3" t="s">
        <v>10</v>
      </c>
      <c r="G298" s="2" t="s">
        <v>11</v>
      </c>
      <c r="H298" s="2" t="s">
        <v>85</v>
      </c>
      <c r="I298" s="2" t="s">
        <v>86</v>
      </c>
      <c r="J298" s="2" t="s">
        <v>14</v>
      </c>
    </row>
    <row r="299" spans="1:10" x14ac:dyDescent="0.3">
      <c r="A299" s="2" t="str">
        <f>HYPERLINK("https://hsdes.intel.com/resource/14013161009","14013161009")</f>
        <v>14013161009</v>
      </c>
      <c r="B299" s="2" t="s">
        <v>649</v>
      </c>
      <c r="C299" s="2" t="s">
        <v>650</v>
      </c>
      <c r="D299" s="5" t="s">
        <v>526</v>
      </c>
      <c r="E299" s="2"/>
      <c r="F299" s="3" t="s">
        <v>10</v>
      </c>
      <c r="G299" s="2" t="s">
        <v>11</v>
      </c>
      <c r="H299" s="2" t="s">
        <v>85</v>
      </c>
      <c r="I299" s="2" t="s">
        <v>86</v>
      </c>
      <c r="J299" s="2" t="s">
        <v>27</v>
      </c>
    </row>
    <row r="300" spans="1:10" x14ac:dyDescent="0.3">
      <c r="A300" s="2" t="str">
        <f>HYPERLINK("https://hsdes.intel.com/resource/14013161169","14013161169")</f>
        <v>14013161169</v>
      </c>
      <c r="B300" s="2" t="s">
        <v>651</v>
      </c>
      <c r="C300" s="2" t="s">
        <v>652</v>
      </c>
      <c r="D300" s="5" t="s">
        <v>526</v>
      </c>
      <c r="E300" s="2"/>
      <c r="F300" s="3" t="s">
        <v>10</v>
      </c>
      <c r="G300" s="2" t="s">
        <v>11</v>
      </c>
      <c r="H300" s="2" t="s">
        <v>265</v>
      </c>
      <c r="I300" s="2" t="s">
        <v>266</v>
      </c>
      <c r="J300" s="2" t="s">
        <v>14</v>
      </c>
    </row>
    <row r="301" spans="1:10" x14ac:dyDescent="0.3">
      <c r="A301" s="2" t="str">
        <f>HYPERLINK("https://hsdes.intel.com/resource/14013161173","14013161173")</f>
        <v>14013161173</v>
      </c>
      <c r="B301" s="2" t="s">
        <v>653</v>
      </c>
      <c r="C301" s="2" t="s">
        <v>654</v>
      </c>
      <c r="D301" s="5" t="s">
        <v>526</v>
      </c>
      <c r="E301" s="2"/>
      <c r="F301" s="3" t="s">
        <v>10</v>
      </c>
      <c r="G301" s="2" t="s">
        <v>11</v>
      </c>
      <c r="H301" s="2" t="s">
        <v>265</v>
      </c>
      <c r="I301" s="2" t="s">
        <v>266</v>
      </c>
      <c r="J301" s="2" t="s">
        <v>14</v>
      </c>
    </row>
    <row r="302" spans="1:10" x14ac:dyDescent="0.3">
      <c r="A302" s="2" t="str">
        <f>HYPERLINK("https://hsdes.intel.com/resource/14013161281","14013161281")</f>
        <v>14013161281</v>
      </c>
      <c r="B302" s="2" t="s">
        <v>655</v>
      </c>
      <c r="C302" s="2" t="s">
        <v>656</v>
      </c>
      <c r="D302" s="5" t="s">
        <v>526</v>
      </c>
      <c r="E302" s="2"/>
      <c r="F302" s="3" t="s">
        <v>10</v>
      </c>
      <c r="G302" s="2" t="s">
        <v>11</v>
      </c>
      <c r="H302" s="2" t="s">
        <v>49</v>
      </c>
      <c r="I302" s="2" t="s">
        <v>128</v>
      </c>
      <c r="J302" s="2" t="s">
        <v>14</v>
      </c>
    </row>
    <row r="303" spans="1:10" x14ac:dyDescent="0.3">
      <c r="A303" s="2" t="str">
        <f>HYPERLINK("https://hsdes.intel.com/resource/14013161363","14013161363")</f>
        <v>14013161363</v>
      </c>
      <c r="B303" s="2" t="s">
        <v>657</v>
      </c>
      <c r="C303" s="2" t="s">
        <v>658</v>
      </c>
      <c r="D303" s="5" t="s">
        <v>526</v>
      </c>
      <c r="E303" s="2"/>
      <c r="F303" s="3" t="s">
        <v>10</v>
      </c>
      <c r="G303" s="2" t="s">
        <v>11</v>
      </c>
      <c r="H303" s="2" t="s">
        <v>265</v>
      </c>
      <c r="I303" s="2" t="s">
        <v>266</v>
      </c>
      <c r="J303" s="2" t="s">
        <v>14</v>
      </c>
    </row>
    <row r="304" spans="1:10" x14ac:dyDescent="0.3">
      <c r="A304" s="2" t="str">
        <f>HYPERLINK("https://hsdes.intel.com/resource/14013161425","14013161425")</f>
        <v>14013161425</v>
      </c>
      <c r="B304" s="2" t="s">
        <v>659</v>
      </c>
      <c r="C304" s="2" t="s">
        <v>660</v>
      </c>
      <c r="D304" s="5" t="s">
        <v>526</v>
      </c>
      <c r="E304" s="2"/>
      <c r="F304" s="3" t="s">
        <v>10</v>
      </c>
      <c r="G304" s="2" t="s">
        <v>11</v>
      </c>
      <c r="H304" s="2" t="s">
        <v>282</v>
      </c>
      <c r="I304" s="2" t="s">
        <v>54</v>
      </c>
      <c r="J304" s="2" t="s">
        <v>14</v>
      </c>
    </row>
    <row r="305" spans="1:10" x14ac:dyDescent="0.3">
      <c r="A305" s="2" t="str">
        <f>HYPERLINK("https://hsdes.intel.com/resource/14013161426","14013161426")</f>
        <v>14013161426</v>
      </c>
      <c r="B305" s="2" t="s">
        <v>661</v>
      </c>
      <c r="C305" s="2" t="s">
        <v>662</v>
      </c>
      <c r="D305" s="5" t="s">
        <v>526</v>
      </c>
      <c r="E305" s="2"/>
      <c r="F305" s="3" t="s">
        <v>10</v>
      </c>
      <c r="G305" s="2" t="s">
        <v>39</v>
      </c>
      <c r="H305" s="2" t="s">
        <v>85</v>
      </c>
      <c r="I305" s="2" t="s">
        <v>86</v>
      </c>
      <c r="J305" s="2" t="s">
        <v>27</v>
      </c>
    </row>
    <row r="306" spans="1:10" x14ac:dyDescent="0.3">
      <c r="A306" s="2" t="str">
        <f>HYPERLINK("https://hsdes.intel.com/resource/14013161430","14013161430")</f>
        <v>14013161430</v>
      </c>
      <c r="B306" s="2" t="s">
        <v>663</v>
      </c>
      <c r="C306" s="2" t="s">
        <v>664</v>
      </c>
      <c r="D306" s="5" t="s">
        <v>526</v>
      </c>
      <c r="E306" s="2"/>
      <c r="F306" s="3" t="s">
        <v>10</v>
      </c>
      <c r="G306" s="2" t="s">
        <v>11</v>
      </c>
      <c r="H306" s="2" t="s">
        <v>12</v>
      </c>
      <c r="I306" s="2" t="s">
        <v>13</v>
      </c>
      <c r="J306" s="2" t="s">
        <v>14</v>
      </c>
    </row>
    <row r="307" spans="1:10" x14ac:dyDescent="0.3">
      <c r="A307" s="2" t="str">
        <f>HYPERLINK("https://hsdes.intel.com/resource/14013161435","14013161435")</f>
        <v>14013161435</v>
      </c>
      <c r="B307" s="2" t="s">
        <v>665</v>
      </c>
      <c r="C307" s="2" t="s">
        <v>666</v>
      </c>
      <c r="D307" s="5" t="s">
        <v>526</v>
      </c>
      <c r="E307" s="2"/>
      <c r="F307" s="3" t="s">
        <v>10</v>
      </c>
      <c r="G307" s="2" t="s">
        <v>11</v>
      </c>
      <c r="H307" s="2" t="s">
        <v>12</v>
      </c>
      <c r="I307" s="2" t="s">
        <v>13</v>
      </c>
      <c r="J307" s="2" t="s">
        <v>14</v>
      </c>
    </row>
    <row r="308" spans="1:10" x14ac:dyDescent="0.3">
      <c r="A308" s="2" t="str">
        <f>HYPERLINK("https://hsdes.intel.com/resource/14013161439","14013161439")</f>
        <v>14013161439</v>
      </c>
      <c r="B308" s="2" t="s">
        <v>667</v>
      </c>
      <c r="C308" s="2" t="s">
        <v>668</v>
      </c>
      <c r="D308" s="5" t="s">
        <v>526</v>
      </c>
      <c r="E308" s="2"/>
      <c r="F308" s="3" t="s">
        <v>10</v>
      </c>
      <c r="G308" s="2" t="s">
        <v>11</v>
      </c>
      <c r="H308" s="2" t="s">
        <v>12</v>
      </c>
      <c r="I308" s="2" t="s">
        <v>13</v>
      </c>
      <c r="J308" s="2" t="s">
        <v>14</v>
      </c>
    </row>
    <row r="309" spans="1:10" x14ac:dyDescent="0.3">
      <c r="A309" s="4" t="str">
        <f>HYPERLINK("https://hsdes.intel.com/resource/14013161443","14013161443")</f>
        <v>14013161443</v>
      </c>
      <c r="B309" s="2" t="s">
        <v>669</v>
      </c>
      <c r="C309" s="2" t="s">
        <v>670</v>
      </c>
      <c r="D309" s="5" t="s">
        <v>526</v>
      </c>
      <c r="E309" s="2"/>
      <c r="F309" s="3" t="s">
        <v>10</v>
      </c>
      <c r="G309" s="2" t="s">
        <v>11</v>
      </c>
      <c r="H309" s="2" t="s">
        <v>85</v>
      </c>
      <c r="I309" s="2" t="s">
        <v>86</v>
      </c>
      <c r="J309" s="2" t="s">
        <v>27</v>
      </c>
    </row>
    <row r="310" spans="1:10" x14ac:dyDescent="0.3">
      <c r="A310" s="2" t="str">
        <f>HYPERLINK("https://hsdes.intel.com/resource/14013161527","14013161527")</f>
        <v>14013161527</v>
      </c>
      <c r="B310" s="2" t="s">
        <v>671</v>
      </c>
      <c r="C310" s="2" t="s">
        <v>672</v>
      </c>
      <c r="D310" s="5" t="s">
        <v>526</v>
      </c>
      <c r="E310" s="2"/>
      <c r="F310" s="3" t="s">
        <v>10</v>
      </c>
      <c r="G310" s="2" t="s">
        <v>11</v>
      </c>
      <c r="H310" s="2" t="s">
        <v>673</v>
      </c>
      <c r="I310" s="2" t="s">
        <v>134</v>
      </c>
      <c r="J310" s="2" t="s">
        <v>27</v>
      </c>
    </row>
    <row r="311" spans="1:10" x14ac:dyDescent="0.3">
      <c r="A311" s="2" t="str">
        <f>HYPERLINK("https://hsdes.intel.com/resource/14013161588","14013161588")</f>
        <v>14013161588</v>
      </c>
      <c r="B311" s="2" t="s">
        <v>674</v>
      </c>
      <c r="C311" s="2" t="s">
        <v>675</v>
      </c>
      <c r="D311" s="5" t="s">
        <v>526</v>
      </c>
      <c r="E311" s="2"/>
      <c r="F311" s="3" t="s">
        <v>10</v>
      </c>
      <c r="G311" s="2" t="s">
        <v>39</v>
      </c>
      <c r="H311" s="2" t="s">
        <v>85</v>
      </c>
      <c r="I311" s="2" t="s">
        <v>86</v>
      </c>
      <c r="J311" s="2" t="s">
        <v>27</v>
      </c>
    </row>
    <row r="312" spans="1:10" x14ac:dyDescent="0.3">
      <c r="A312" s="2" t="str">
        <f>HYPERLINK("https://hsdes.intel.com/resource/14013161603","14013161603")</f>
        <v>14013161603</v>
      </c>
      <c r="B312" s="2" t="s">
        <v>676</v>
      </c>
      <c r="C312" s="2" t="s">
        <v>677</v>
      </c>
      <c r="D312" s="5" t="s">
        <v>526</v>
      </c>
      <c r="E312" s="2"/>
      <c r="F312" s="3" t="s">
        <v>10</v>
      </c>
      <c r="G312" s="2" t="s">
        <v>11</v>
      </c>
      <c r="H312" s="2" t="s">
        <v>30</v>
      </c>
      <c r="I312" s="2" t="s">
        <v>134</v>
      </c>
      <c r="J312" s="2" t="s">
        <v>14</v>
      </c>
    </row>
    <row r="313" spans="1:10" x14ac:dyDescent="0.3">
      <c r="A313" s="2" t="str">
        <f>HYPERLINK("https://hsdes.intel.com/resource/14013161605","14013161605")</f>
        <v>14013161605</v>
      </c>
      <c r="B313" s="2" t="s">
        <v>678</v>
      </c>
      <c r="C313" s="2" t="s">
        <v>679</v>
      </c>
      <c r="D313" s="5" t="s">
        <v>526</v>
      </c>
      <c r="E313" s="2"/>
      <c r="F313" s="3" t="s">
        <v>10</v>
      </c>
      <c r="G313" s="2" t="s">
        <v>11</v>
      </c>
      <c r="H313" s="2" t="s">
        <v>85</v>
      </c>
      <c r="I313" s="2" t="s">
        <v>86</v>
      </c>
      <c r="J313" s="2" t="s">
        <v>14</v>
      </c>
    </row>
    <row r="314" spans="1:10" x14ac:dyDescent="0.3">
      <c r="A314" s="2" t="str">
        <f>HYPERLINK("https://hsdes.intel.com/resource/14013161649","14013161649")</f>
        <v>14013161649</v>
      </c>
      <c r="B314" s="2" t="s">
        <v>680</v>
      </c>
      <c r="C314" s="2" t="s">
        <v>681</v>
      </c>
      <c r="D314" s="5" t="s">
        <v>526</v>
      </c>
      <c r="E314" s="2"/>
      <c r="F314" s="3" t="s">
        <v>10</v>
      </c>
      <c r="G314" s="2" t="s">
        <v>11</v>
      </c>
      <c r="H314" s="2" t="s">
        <v>265</v>
      </c>
      <c r="I314" s="2" t="s">
        <v>266</v>
      </c>
      <c r="J314" s="2" t="s">
        <v>27</v>
      </c>
    </row>
    <row r="315" spans="1:10" x14ac:dyDescent="0.3">
      <c r="A315" s="2" t="str">
        <f>HYPERLINK("https://hsdes.intel.com/resource/14013161663","14013161663")</f>
        <v>14013161663</v>
      </c>
      <c r="B315" s="2" t="s">
        <v>682</v>
      </c>
      <c r="C315" s="2" t="s">
        <v>683</v>
      </c>
      <c r="D315" s="5" t="s">
        <v>526</v>
      </c>
      <c r="E315" s="2"/>
      <c r="F315" s="3" t="s">
        <v>10</v>
      </c>
      <c r="G315" s="2" t="s">
        <v>11</v>
      </c>
      <c r="H315" s="2" t="s">
        <v>265</v>
      </c>
      <c r="I315" s="2" t="s">
        <v>266</v>
      </c>
      <c r="J315" s="2" t="s">
        <v>14</v>
      </c>
    </row>
    <row r="316" spans="1:10" x14ac:dyDescent="0.3">
      <c r="A316" s="2" t="str">
        <f>HYPERLINK("https://hsdes.intel.com/resource/14013161698","14013161698")</f>
        <v>14013161698</v>
      </c>
      <c r="B316" s="2" t="s">
        <v>684</v>
      </c>
      <c r="C316" s="2" t="s">
        <v>685</v>
      </c>
      <c r="D316" s="5" t="s">
        <v>526</v>
      </c>
      <c r="E316" s="2"/>
      <c r="F316" s="3" t="s">
        <v>10</v>
      </c>
      <c r="G316" s="2" t="s">
        <v>11</v>
      </c>
      <c r="H316" s="2" t="s">
        <v>85</v>
      </c>
      <c r="I316" s="2" t="s">
        <v>86</v>
      </c>
      <c r="J316" s="2" t="s">
        <v>27</v>
      </c>
    </row>
    <row r="317" spans="1:10" x14ac:dyDescent="0.3">
      <c r="A317" s="2" t="str">
        <f>HYPERLINK("https://hsdes.intel.com/resource/14013161700","14013161700")</f>
        <v>14013161700</v>
      </c>
      <c r="B317" s="2" t="s">
        <v>686</v>
      </c>
      <c r="C317" s="2" t="s">
        <v>687</v>
      </c>
      <c r="D317" s="5" t="s">
        <v>526</v>
      </c>
      <c r="E317" s="2"/>
      <c r="F317" s="3" t="s">
        <v>10</v>
      </c>
      <c r="G317" s="2" t="s">
        <v>11</v>
      </c>
      <c r="H317" s="2" t="s">
        <v>85</v>
      </c>
      <c r="I317" s="2" t="s">
        <v>86</v>
      </c>
      <c r="J317" s="2" t="s">
        <v>14</v>
      </c>
    </row>
    <row r="318" spans="1:10" x14ac:dyDescent="0.3">
      <c r="A318" s="4" t="str">
        <f>HYPERLINK("https://hsdes.intel.com/resource/14013161706","14013161706")</f>
        <v>14013161706</v>
      </c>
      <c r="B318" s="2" t="s">
        <v>688</v>
      </c>
      <c r="C318" s="2" t="s">
        <v>689</v>
      </c>
      <c r="D318" s="5" t="s">
        <v>526</v>
      </c>
      <c r="E318" s="2"/>
      <c r="F318" s="3" t="s">
        <v>10</v>
      </c>
      <c r="G318" s="2" t="s">
        <v>11</v>
      </c>
      <c r="H318" s="2" t="s">
        <v>85</v>
      </c>
      <c r="I318" s="2" t="s">
        <v>86</v>
      </c>
      <c r="J318" s="2" t="s">
        <v>14</v>
      </c>
    </row>
    <row r="319" spans="1:10" x14ac:dyDescent="0.3">
      <c r="A319" s="2" t="str">
        <f>HYPERLINK("https://hsdes.intel.com/resource/14013161805","14013161805")</f>
        <v>14013161805</v>
      </c>
      <c r="B319" s="2" t="s">
        <v>690</v>
      </c>
      <c r="C319" s="2" t="s">
        <v>691</v>
      </c>
      <c r="D319" s="5" t="s">
        <v>526</v>
      </c>
      <c r="E319" s="2"/>
      <c r="F319" s="3" t="s">
        <v>10</v>
      </c>
      <c r="G319" s="2" t="s">
        <v>11</v>
      </c>
      <c r="H319" s="2" t="s">
        <v>265</v>
      </c>
      <c r="I319" s="2" t="s">
        <v>266</v>
      </c>
      <c r="J319" s="2" t="s">
        <v>14</v>
      </c>
    </row>
    <row r="320" spans="1:10" x14ac:dyDescent="0.3">
      <c r="A320" s="2" t="str">
        <f>HYPERLINK("https://hsdes.intel.com/resource/14013161866","14013161866")</f>
        <v>14013161866</v>
      </c>
      <c r="B320" s="2" t="s">
        <v>692</v>
      </c>
      <c r="C320" s="2" t="s">
        <v>693</v>
      </c>
      <c r="D320" s="5" t="s">
        <v>526</v>
      </c>
      <c r="E320" s="2"/>
      <c r="F320" s="3" t="s">
        <v>10</v>
      </c>
      <c r="G320" s="2" t="s">
        <v>11</v>
      </c>
      <c r="H320" s="2" t="s">
        <v>265</v>
      </c>
      <c r="I320" s="2" t="s">
        <v>266</v>
      </c>
      <c r="J320" s="2" t="s">
        <v>14</v>
      </c>
    </row>
    <row r="321" spans="1:10" x14ac:dyDescent="0.3">
      <c r="A321" s="2" t="str">
        <f>HYPERLINK("https://hsdes.intel.com/resource/14013162374","14013162374")</f>
        <v>14013162374</v>
      </c>
      <c r="B321" s="2" t="s">
        <v>694</v>
      </c>
      <c r="C321" s="2" t="s">
        <v>695</v>
      </c>
      <c r="D321" s="7" t="s">
        <v>369</v>
      </c>
      <c r="E321" s="2" t="s">
        <v>277</v>
      </c>
      <c r="F321" s="3" t="s">
        <v>10</v>
      </c>
      <c r="G321" s="2" t="s">
        <v>11</v>
      </c>
      <c r="H321" s="2" t="s">
        <v>265</v>
      </c>
      <c r="I321" s="2" t="s">
        <v>266</v>
      </c>
      <c r="J321" s="2" t="s">
        <v>32</v>
      </c>
    </row>
    <row r="322" spans="1:10" x14ac:dyDescent="0.3">
      <c r="A322" s="2" t="str">
        <f>HYPERLINK("https://hsdes.intel.com/resource/14013162402","14013162402")</f>
        <v>14013162402</v>
      </c>
      <c r="B322" s="2" t="s">
        <v>696</v>
      </c>
      <c r="C322" s="2" t="s">
        <v>697</v>
      </c>
      <c r="D322" s="5" t="s">
        <v>526</v>
      </c>
      <c r="E322" s="2"/>
      <c r="F322" s="3" t="s">
        <v>10</v>
      </c>
      <c r="G322" s="2" t="s">
        <v>11</v>
      </c>
      <c r="H322" s="2" t="s">
        <v>265</v>
      </c>
      <c r="I322" s="2" t="s">
        <v>266</v>
      </c>
      <c r="J322" s="2" t="s">
        <v>32</v>
      </c>
    </row>
    <row r="323" spans="1:10" x14ac:dyDescent="0.3">
      <c r="A323" s="2" t="str">
        <f>HYPERLINK("https://hsdes.intel.com/resource/14013162425","14013162425")</f>
        <v>14013162425</v>
      </c>
      <c r="B323" s="2" t="s">
        <v>698</v>
      </c>
      <c r="C323" s="2" t="s">
        <v>699</v>
      </c>
      <c r="D323" s="5" t="s">
        <v>526</v>
      </c>
      <c r="E323" s="2"/>
      <c r="F323" s="3" t="s">
        <v>10</v>
      </c>
      <c r="G323" s="2" t="s">
        <v>11</v>
      </c>
      <c r="H323" s="2" t="s">
        <v>265</v>
      </c>
      <c r="I323" s="2" t="s">
        <v>266</v>
      </c>
      <c r="J323" s="2" t="s">
        <v>27</v>
      </c>
    </row>
    <row r="324" spans="1:10" x14ac:dyDescent="0.3">
      <c r="A324" s="2" t="str">
        <f>HYPERLINK("https://hsdes.intel.com/resource/14013162427","14013162427")</f>
        <v>14013162427</v>
      </c>
      <c r="B324" s="2" t="s">
        <v>700</v>
      </c>
      <c r="C324" s="2" t="s">
        <v>701</v>
      </c>
      <c r="D324" s="5" t="s">
        <v>526</v>
      </c>
      <c r="E324" s="2"/>
      <c r="F324" s="3" t="s">
        <v>10</v>
      </c>
      <c r="G324" s="2" t="s">
        <v>11</v>
      </c>
      <c r="H324" s="2" t="s">
        <v>265</v>
      </c>
      <c r="I324" s="2" t="s">
        <v>266</v>
      </c>
      <c r="J324" s="2" t="s">
        <v>14</v>
      </c>
    </row>
    <row r="325" spans="1:10" x14ac:dyDescent="0.3">
      <c r="A325" s="2" t="str">
        <f>HYPERLINK("https://hsdes.intel.com/resource/14013162436","14013162436")</f>
        <v>14013162436</v>
      </c>
      <c r="B325" s="2" t="s">
        <v>702</v>
      </c>
      <c r="C325" s="2" t="s">
        <v>703</v>
      </c>
      <c r="D325" s="5" t="s">
        <v>526</v>
      </c>
      <c r="E325" s="2"/>
      <c r="F325" s="3" t="s">
        <v>10</v>
      </c>
      <c r="G325" s="2" t="s">
        <v>11</v>
      </c>
      <c r="H325" s="2" t="s">
        <v>265</v>
      </c>
      <c r="I325" s="2" t="s">
        <v>266</v>
      </c>
      <c r="J325" s="2" t="s">
        <v>27</v>
      </c>
    </row>
    <row r="326" spans="1:10" x14ac:dyDescent="0.3">
      <c r="A326" s="2" t="str">
        <f>HYPERLINK("https://hsdes.intel.com/resource/14013162443","14013162443")</f>
        <v>14013162443</v>
      </c>
      <c r="B326" s="2" t="s">
        <v>704</v>
      </c>
      <c r="C326" s="2" t="s">
        <v>705</v>
      </c>
      <c r="D326" s="5" t="s">
        <v>526</v>
      </c>
      <c r="E326" s="2"/>
      <c r="F326" s="3" t="s">
        <v>10</v>
      </c>
      <c r="G326" s="2" t="s">
        <v>11</v>
      </c>
      <c r="H326" s="2" t="s">
        <v>265</v>
      </c>
      <c r="I326" s="2" t="s">
        <v>266</v>
      </c>
      <c r="J326" s="2" t="s">
        <v>14</v>
      </c>
    </row>
    <row r="327" spans="1:10" x14ac:dyDescent="0.3">
      <c r="A327" s="2" t="str">
        <f>HYPERLINK("https://hsdes.intel.com/resource/14013162522","14013162522")</f>
        <v>14013162522</v>
      </c>
      <c r="B327" s="2" t="s">
        <v>706</v>
      </c>
      <c r="C327" s="2" t="s">
        <v>707</v>
      </c>
      <c r="D327" s="5" t="s">
        <v>526</v>
      </c>
      <c r="E327" s="2"/>
      <c r="F327" s="3" t="s">
        <v>10</v>
      </c>
      <c r="G327" s="2" t="s">
        <v>11</v>
      </c>
      <c r="H327" s="2" t="s">
        <v>30</v>
      </c>
      <c r="I327" s="2" t="s">
        <v>31</v>
      </c>
      <c r="J327" s="2" t="s">
        <v>32</v>
      </c>
    </row>
    <row r="328" spans="1:10" x14ac:dyDescent="0.3">
      <c r="A328" s="2" t="str">
        <f>HYPERLINK("https://hsdes.intel.com/resource/14013162568","14013162568")</f>
        <v>14013162568</v>
      </c>
      <c r="B328" s="2" t="s">
        <v>708</v>
      </c>
      <c r="C328" s="2" t="s">
        <v>709</v>
      </c>
      <c r="D328" s="5" t="s">
        <v>526</v>
      </c>
      <c r="E328" s="2"/>
      <c r="F328" s="3" t="s">
        <v>10</v>
      </c>
      <c r="G328" s="2" t="s">
        <v>11</v>
      </c>
      <c r="H328" s="2" t="s">
        <v>133</v>
      </c>
      <c r="I328" s="2" t="s">
        <v>134</v>
      </c>
      <c r="J328" s="2" t="s">
        <v>32</v>
      </c>
    </row>
    <row r="329" spans="1:10" x14ac:dyDescent="0.3">
      <c r="A329" s="2" t="str">
        <f>HYPERLINK("https://hsdes.intel.com/resource/14013162583","14013162583")</f>
        <v>14013162583</v>
      </c>
      <c r="B329" s="2" t="s">
        <v>710</v>
      </c>
      <c r="C329" s="2" t="s">
        <v>711</v>
      </c>
      <c r="D329" s="5" t="s">
        <v>526</v>
      </c>
      <c r="E329" s="2"/>
      <c r="F329" s="3" t="s">
        <v>10</v>
      </c>
      <c r="G329" s="2" t="s">
        <v>11</v>
      </c>
      <c r="H329" s="2" t="s">
        <v>105</v>
      </c>
      <c r="I329" s="2" t="s">
        <v>210</v>
      </c>
      <c r="J329" s="2" t="s">
        <v>14</v>
      </c>
    </row>
    <row r="330" spans="1:10" x14ac:dyDescent="0.3">
      <c r="A330" s="2" t="str">
        <f>HYPERLINK("https://hsdes.intel.com/resource/14013162766","14013162766")</f>
        <v>14013162766</v>
      </c>
      <c r="B330" s="2" t="s">
        <v>712</v>
      </c>
      <c r="C330" s="2" t="s">
        <v>713</v>
      </c>
      <c r="D330" s="5" t="s">
        <v>526</v>
      </c>
      <c r="E330" s="2"/>
      <c r="F330" s="3" t="s">
        <v>10</v>
      </c>
      <c r="G330" s="2" t="s">
        <v>11</v>
      </c>
      <c r="H330" s="2" t="s">
        <v>30</v>
      </c>
      <c r="I330" s="2" t="s">
        <v>31</v>
      </c>
      <c r="J330" s="2" t="s">
        <v>32</v>
      </c>
    </row>
    <row r="331" spans="1:10" x14ac:dyDescent="0.3">
      <c r="A331" s="2" t="str">
        <f>HYPERLINK("https://hsdes.intel.com/resource/14013162768","14013162768")</f>
        <v>14013162768</v>
      </c>
      <c r="B331" s="2" t="s">
        <v>714</v>
      </c>
      <c r="C331" s="2" t="s">
        <v>715</v>
      </c>
      <c r="D331" s="5" t="s">
        <v>526</v>
      </c>
      <c r="E331" s="2"/>
      <c r="F331" s="3" t="s">
        <v>10</v>
      </c>
      <c r="G331" s="2" t="s">
        <v>11</v>
      </c>
      <c r="H331" s="2" t="s">
        <v>30</v>
      </c>
      <c r="I331" s="2" t="s">
        <v>31</v>
      </c>
      <c r="J331" s="2" t="s">
        <v>32</v>
      </c>
    </row>
    <row r="332" spans="1:10" x14ac:dyDescent="0.3">
      <c r="A332" s="2" t="str">
        <f>HYPERLINK("https://hsdes.intel.com/resource/14013162773","14013162773")</f>
        <v>14013162773</v>
      </c>
      <c r="B332" s="2" t="s">
        <v>716</v>
      </c>
      <c r="C332" s="2" t="s">
        <v>717</v>
      </c>
      <c r="D332" s="5" t="s">
        <v>526</v>
      </c>
      <c r="E332" s="2"/>
      <c r="F332" s="3" t="s">
        <v>10</v>
      </c>
      <c r="G332" s="2" t="s">
        <v>11</v>
      </c>
      <c r="H332" s="2" t="s">
        <v>30</v>
      </c>
      <c r="I332" s="2" t="s">
        <v>31</v>
      </c>
      <c r="J332" s="2" t="s">
        <v>32</v>
      </c>
    </row>
    <row r="333" spans="1:10" x14ac:dyDescent="0.3">
      <c r="A333" s="2" t="str">
        <f>HYPERLINK("https://hsdes.intel.com/resource/14013162780","14013162780")</f>
        <v>14013162780</v>
      </c>
      <c r="B333" s="2" t="s">
        <v>718</v>
      </c>
      <c r="C333" s="2" t="s">
        <v>719</v>
      </c>
      <c r="D333" s="5" t="s">
        <v>526</v>
      </c>
      <c r="E333" s="2"/>
      <c r="F333" s="3" t="s">
        <v>10</v>
      </c>
      <c r="G333" s="2" t="s">
        <v>11</v>
      </c>
      <c r="H333" s="2" t="s">
        <v>30</v>
      </c>
      <c r="I333" s="2" t="s">
        <v>31</v>
      </c>
      <c r="J333" s="2" t="s">
        <v>32</v>
      </c>
    </row>
    <row r="334" spans="1:10" x14ac:dyDescent="0.3">
      <c r="A334" s="2" t="str">
        <f>HYPERLINK("https://hsdes.intel.com/resource/14013162786","14013162786")</f>
        <v>14013162786</v>
      </c>
      <c r="B334" s="2" t="s">
        <v>720</v>
      </c>
      <c r="C334" s="2" t="s">
        <v>721</v>
      </c>
      <c r="D334" s="5" t="s">
        <v>526</v>
      </c>
      <c r="E334" s="2"/>
      <c r="F334" s="3" t="s">
        <v>10</v>
      </c>
      <c r="G334" s="2" t="s">
        <v>11</v>
      </c>
      <c r="H334" s="2" t="s">
        <v>30</v>
      </c>
      <c r="I334" s="2" t="s">
        <v>31</v>
      </c>
      <c r="J334" s="2" t="s">
        <v>32</v>
      </c>
    </row>
    <row r="335" spans="1:10" x14ac:dyDescent="0.3">
      <c r="A335" s="2" t="str">
        <f>HYPERLINK("https://hsdes.intel.com/resource/14013162791","14013162791")</f>
        <v>14013162791</v>
      </c>
      <c r="B335" s="2" t="s">
        <v>722</v>
      </c>
      <c r="C335" s="2" t="s">
        <v>723</v>
      </c>
      <c r="D335" s="5" t="s">
        <v>526</v>
      </c>
      <c r="E335" s="2"/>
      <c r="F335" s="3" t="s">
        <v>10</v>
      </c>
      <c r="G335" s="2" t="s">
        <v>11</v>
      </c>
      <c r="H335" s="2" t="s">
        <v>30</v>
      </c>
      <c r="I335" s="2" t="s">
        <v>31</v>
      </c>
      <c r="J335" s="2" t="s">
        <v>32</v>
      </c>
    </row>
    <row r="336" spans="1:10" x14ac:dyDescent="0.3">
      <c r="A336" s="2" t="str">
        <f>HYPERLINK("https://hsdes.intel.com/resource/14013162831","14013162831")</f>
        <v>14013162831</v>
      </c>
      <c r="B336" s="2" t="s">
        <v>724</v>
      </c>
      <c r="C336" s="2" t="s">
        <v>725</v>
      </c>
      <c r="D336" s="5" t="s">
        <v>526</v>
      </c>
      <c r="E336" s="2"/>
      <c r="F336" s="3" t="s">
        <v>10</v>
      </c>
      <c r="G336" s="2" t="s">
        <v>39</v>
      </c>
      <c r="H336" s="2" t="s">
        <v>12</v>
      </c>
      <c r="I336" s="2" t="s">
        <v>13</v>
      </c>
      <c r="J336" s="2" t="s">
        <v>27</v>
      </c>
    </row>
    <row r="337" spans="1:10" x14ac:dyDescent="0.3">
      <c r="A337" s="2" t="str">
        <f>HYPERLINK("https://hsdes.intel.com/resource/14013162835","14013162835")</f>
        <v>14013162835</v>
      </c>
      <c r="B337" s="2" t="s">
        <v>726</v>
      </c>
      <c r="C337" s="2" t="s">
        <v>727</v>
      </c>
      <c r="D337" s="5" t="s">
        <v>526</v>
      </c>
      <c r="E337" s="2"/>
      <c r="F337" s="3" t="s">
        <v>10</v>
      </c>
      <c r="G337" s="2" t="s">
        <v>39</v>
      </c>
      <c r="H337" s="2" t="s">
        <v>12</v>
      </c>
      <c r="I337" s="2" t="s">
        <v>13</v>
      </c>
      <c r="J337" s="2" t="s">
        <v>14</v>
      </c>
    </row>
    <row r="338" spans="1:10" x14ac:dyDescent="0.3">
      <c r="A338" s="2" t="str">
        <f>HYPERLINK("https://hsdes.intel.com/resource/14013162840","14013162840")</f>
        <v>14013162840</v>
      </c>
      <c r="B338" s="2" t="s">
        <v>728</v>
      </c>
      <c r="C338" s="2" t="s">
        <v>729</v>
      </c>
      <c r="D338" s="5" t="s">
        <v>526</v>
      </c>
      <c r="E338" s="2"/>
      <c r="F338" s="3" t="s">
        <v>10</v>
      </c>
      <c r="G338" s="2" t="s">
        <v>39</v>
      </c>
      <c r="H338" s="2" t="s">
        <v>12</v>
      </c>
      <c r="I338" s="2" t="s">
        <v>13</v>
      </c>
      <c r="J338" s="2" t="s">
        <v>14</v>
      </c>
    </row>
    <row r="339" spans="1:10" x14ac:dyDescent="0.3">
      <c r="A339" s="2" t="str">
        <f>HYPERLINK("https://hsdes.intel.com/resource/14013162849","14013162849")</f>
        <v>14013162849</v>
      </c>
      <c r="B339" s="2" t="s">
        <v>730</v>
      </c>
      <c r="C339" s="2" t="s">
        <v>731</v>
      </c>
      <c r="D339" s="5" t="s">
        <v>526</v>
      </c>
      <c r="E339" s="2"/>
      <c r="F339" s="3" t="s">
        <v>10</v>
      </c>
      <c r="G339" s="2" t="s">
        <v>39</v>
      </c>
      <c r="H339" s="2" t="s">
        <v>12</v>
      </c>
      <c r="I339" s="2" t="s">
        <v>13</v>
      </c>
      <c r="J339" s="2" t="s">
        <v>27</v>
      </c>
    </row>
    <row r="340" spans="1:10" x14ac:dyDescent="0.3">
      <c r="A340" s="2" t="str">
        <f>HYPERLINK("https://hsdes.intel.com/resource/14013162897","14013162897")</f>
        <v>14013162897</v>
      </c>
      <c r="B340" s="2" t="s">
        <v>732</v>
      </c>
      <c r="C340" s="2" t="s">
        <v>733</v>
      </c>
      <c r="D340" s="5" t="s">
        <v>526</v>
      </c>
      <c r="E340" s="2"/>
      <c r="F340" s="3" t="s">
        <v>10</v>
      </c>
      <c r="G340" s="2" t="s">
        <v>11</v>
      </c>
      <c r="H340" s="2" t="s">
        <v>265</v>
      </c>
      <c r="I340" s="2" t="s">
        <v>266</v>
      </c>
      <c r="J340" s="2" t="s">
        <v>14</v>
      </c>
    </row>
    <row r="341" spans="1:10" x14ac:dyDescent="0.3">
      <c r="A341" s="2" t="str">
        <f>HYPERLINK("https://hsdes.intel.com/resource/14013162900","14013162900")</f>
        <v>14013162900</v>
      </c>
      <c r="B341" s="2" t="s">
        <v>734</v>
      </c>
      <c r="C341" s="2" t="s">
        <v>735</v>
      </c>
      <c r="D341" s="5" t="s">
        <v>526</v>
      </c>
      <c r="E341" s="2"/>
      <c r="F341" s="3" t="s">
        <v>10</v>
      </c>
      <c r="G341" s="2" t="s">
        <v>11</v>
      </c>
      <c r="H341" s="2" t="s">
        <v>12</v>
      </c>
      <c r="I341" s="2" t="s">
        <v>13</v>
      </c>
      <c r="J341" s="2" t="s">
        <v>27</v>
      </c>
    </row>
    <row r="342" spans="1:10" x14ac:dyDescent="0.3">
      <c r="A342" s="2" t="str">
        <f>HYPERLINK("https://hsdes.intel.com/resource/14013162903","14013162903")</f>
        <v>14013162903</v>
      </c>
      <c r="B342" s="2" t="s">
        <v>736</v>
      </c>
      <c r="C342" s="2" t="s">
        <v>737</v>
      </c>
      <c r="D342" s="5" t="s">
        <v>526</v>
      </c>
      <c r="E342" s="2"/>
      <c r="F342" s="3" t="s">
        <v>10</v>
      </c>
      <c r="G342" s="2" t="s">
        <v>11</v>
      </c>
      <c r="H342" s="2" t="s">
        <v>12</v>
      </c>
      <c r="I342" s="2" t="s">
        <v>13</v>
      </c>
      <c r="J342" s="2" t="s">
        <v>27</v>
      </c>
    </row>
    <row r="343" spans="1:10" x14ac:dyDescent="0.3">
      <c r="A343" s="2" t="str">
        <f>HYPERLINK("https://hsdes.intel.com/resource/14013162907","14013162907")</f>
        <v>14013162907</v>
      </c>
      <c r="B343" s="2" t="s">
        <v>738</v>
      </c>
      <c r="C343" s="2" t="s">
        <v>739</v>
      </c>
      <c r="D343" s="5" t="s">
        <v>526</v>
      </c>
      <c r="E343" s="2"/>
      <c r="F343" s="3" t="s">
        <v>10</v>
      </c>
      <c r="G343" s="2" t="s">
        <v>11</v>
      </c>
      <c r="H343" s="2" t="s">
        <v>12</v>
      </c>
      <c r="I343" s="2" t="s">
        <v>13</v>
      </c>
      <c r="J343" s="2" t="s">
        <v>27</v>
      </c>
    </row>
    <row r="344" spans="1:10" x14ac:dyDescent="0.3">
      <c r="A344" s="2" t="str">
        <f>HYPERLINK("https://hsdes.intel.com/resource/14013162911","14013162911")</f>
        <v>14013162911</v>
      </c>
      <c r="B344" s="2" t="s">
        <v>740</v>
      </c>
      <c r="C344" s="2" t="s">
        <v>741</v>
      </c>
      <c r="D344" s="5" t="s">
        <v>526</v>
      </c>
      <c r="E344" s="2"/>
      <c r="F344" s="3" t="s">
        <v>10</v>
      </c>
      <c r="G344" s="2" t="s">
        <v>11</v>
      </c>
      <c r="H344" s="2" t="s">
        <v>12</v>
      </c>
      <c r="I344" s="2" t="s">
        <v>13</v>
      </c>
      <c r="J344" s="2" t="s">
        <v>27</v>
      </c>
    </row>
    <row r="345" spans="1:10" x14ac:dyDescent="0.3">
      <c r="A345" s="2" t="str">
        <f>HYPERLINK("https://hsdes.intel.com/resource/14013162916","14013162916")</f>
        <v>14013162916</v>
      </c>
      <c r="B345" s="2" t="s">
        <v>742</v>
      </c>
      <c r="C345" s="2" t="s">
        <v>743</v>
      </c>
      <c r="D345" s="5" t="s">
        <v>526</v>
      </c>
      <c r="E345" s="2"/>
      <c r="F345" s="3" t="s">
        <v>10</v>
      </c>
      <c r="G345" s="2" t="s">
        <v>11</v>
      </c>
      <c r="H345" s="2" t="s">
        <v>12</v>
      </c>
      <c r="I345" s="2" t="s">
        <v>13</v>
      </c>
      <c r="J345" s="2" t="s">
        <v>27</v>
      </c>
    </row>
    <row r="346" spans="1:10" x14ac:dyDescent="0.3">
      <c r="A346" s="2" t="str">
        <f>HYPERLINK("https://hsdes.intel.com/resource/14013162920","14013162920")</f>
        <v>14013162920</v>
      </c>
      <c r="B346" s="2" t="s">
        <v>744</v>
      </c>
      <c r="C346" s="2" t="s">
        <v>745</v>
      </c>
      <c r="D346" s="5" t="s">
        <v>526</v>
      </c>
      <c r="E346" s="2"/>
      <c r="F346" s="3" t="s">
        <v>10</v>
      </c>
      <c r="G346" s="2" t="s">
        <v>11</v>
      </c>
      <c r="H346" s="2" t="s">
        <v>12</v>
      </c>
      <c r="I346" s="2" t="s">
        <v>13</v>
      </c>
      <c r="J346" s="2" t="s">
        <v>27</v>
      </c>
    </row>
    <row r="347" spans="1:10" x14ac:dyDescent="0.3">
      <c r="A347" s="2" t="str">
        <f>HYPERLINK("https://hsdes.intel.com/resource/14013162925","14013162925")</f>
        <v>14013162925</v>
      </c>
      <c r="B347" s="2" t="s">
        <v>746</v>
      </c>
      <c r="C347" s="2" t="s">
        <v>747</v>
      </c>
      <c r="D347" s="5" t="s">
        <v>526</v>
      </c>
      <c r="E347" s="2"/>
      <c r="F347" s="3" t="s">
        <v>10</v>
      </c>
      <c r="G347" s="2" t="s">
        <v>11</v>
      </c>
      <c r="H347" s="2" t="s">
        <v>12</v>
      </c>
      <c r="I347" s="2" t="s">
        <v>13</v>
      </c>
      <c r="J347" s="2" t="s">
        <v>27</v>
      </c>
    </row>
    <row r="348" spans="1:10" x14ac:dyDescent="0.3">
      <c r="A348" s="2" t="str">
        <f>HYPERLINK("https://hsdes.intel.com/resource/14013162937","14013162937")</f>
        <v>14013162937</v>
      </c>
      <c r="B348" s="2" t="s">
        <v>748</v>
      </c>
      <c r="C348" s="2" t="s">
        <v>749</v>
      </c>
      <c r="D348" s="5" t="s">
        <v>526</v>
      </c>
      <c r="E348" s="2"/>
      <c r="F348" s="3" t="s">
        <v>10</v>
      </c>
      <c r="G348" s="2" t="s">
        <v>11</v>
      </c>
      <c r="H348" s="2" t="s">
        <v>12</v>
      </c>
      <c r="I348" s="2" t="s">
        <v>13</v>
      </c>
      <c r="J348" s="2" t="s">
        <v>27</v>
      </c>
    </row>
    <row r="349" spans="1:10" x14ac:dyDescent="0.3">
      <c r="A349" s="2" t="str">
        <f>HYPERLINK("https://hsdes.intel.com/resource/14013162948","14013162948")</f>
        <v>14013162948</v>
      </c>
      <c r="B349" s="2" t="s">
        <v>750</v>
      </c>
      <c r="C349" s="2" t="s">
        <v>751</v>
      </c>
      <c r="D349" s="5" t="s">
        <v>526</v>
      </c>
      <c r="E349" s="2"/>
      <c r="F349" s="3" t="s">
        <v>10</v>
      </c>
      <c r="G349" s="2" t="s">
        <v>11</v>
      </c>
      <c r="H349" s="2" t="s">
        <v>12</v>
      </c>
      <c r="I349" s="2" t="s">
        <v>13</v>
      </c>
      <c r="J349" s="2" t="s">
        <v>27</v>
      </c>
    </row>
    <row r="350" spans="1:10" x14ac:dyDescent="0.3">
      <c r="A350" s="2" t="str">
        <f>HYPERLINK("https://hsdes.intel.com/resource/14013162960","14013162960")</f>
        <v>14013162960</v>
      </c>
      <c r="B350" s="2" t="s">
        <v>752</v>
      </c>
      <c r="C350" s="2" t="s">
        <v>753</v>
      </c>
      <c r="D350" s="5" t="s">
        <v>526</v>
      </c>
      <c r="E350" s="2"/>
      <c r="F350" s="3" t="s">
        <v>10</v>
      </c>
      <c r="G350" s="2" t="s">
        <v>11</v>
      </c>
      <c r="H350" s="2" t="s">
        <v>12</v>
      </c>
      <c r="I350" s="2" t="s">
        <v>13</v>
      </c>
      <c r="J350" s="2" t="s">
        <v>27</v>
      </c>
    </row>
    <row r="351" spans="1:10" x14ac:dyDescent="0.3">
      <c r="A351" s="2" t="str">
        <f>HYPERLINK("https://hsdes.intel.com/resource/14013162967","14013162967")</f>
        <v>14013162967</v>
      </c>
      <c r="B351" s="2" t="s">
        <v>754</v>
      </c>
      <c r="C351" s="2" t="s">
        <v>755</v>
      </c>
      <c r="D351" s="5" t="s">
        <v>526</v>
      </c>
      <c r="E351" s="2"/>
      <c r="F351" s="3" t="s">
        <v>10</v>
      </c>
      <c r="G351" s="2" t="s">
        <v>11</v>
      </c>
      <c r="H351" s="2" t="s">
        <v>12</v>
      </c>
      <c r="I351" s="2" t="s">
        <v>13</v>
      </c>
      <c r="J351" s="2" t="s">
        <v>27</v>
      </c>
    </row>
    <row r="352" spans="1:10" x14ac:dyDescent="0.3">
      <c r="A352" s="2" t="str">
        <f>HYPERLINK("https://hsdes.intel.com/resource/14013162974","14013162974")</f>
        <v>14013162974</v>
      </c>
      <c r="B352" s="2" t="s">
        <v>756</v>
      </c>
      <c r="C352" s="2" t="s">
        <v>757</v>
      </c>
      <c r="D352" s="5" t="s">
        <v>526</v>
      </c>
      <c r="E352" s="2"/>
      <c r="F352" s="3" t="s">
        <v>10</v>
      </c>
      <c r="G352" s="2" t="s">
        <v>11</v>
      </c>
      <c r="H352" s="2" t="s">
        <v>12</v>
      </c>
      <c r="I352" s="2" t="s">
        <v>13</v>
      </c>
      <c r="J352" s="2" t="s">
        <v>27</v>
      </c>
    </row>
    <row r="353" spans="1:10" x14ac:dyDescent="0.3">
      <c r="A353" s="2" t="str">
        <f>HYPERLINK("https://hsdes.intel.com/resource/14013163003","14013163003")</f>
        <v>14013163003</v>
      </c>
      <c r="B353" s="2" t="s">
        <v>758</v>
      </c>
      <c r="C353" s="2" t="s">
        <v>759</v>
      </c>
      <c r="D353" s="5" t="s">
        <v>526</v>
      </c>
      <c r="E353" s="2"/>
      <c r="F353" s="3" t="s">
        <v>10</v>
      </c>
      <c r="G353" s="2" t="s">
        <v>11</v>
      </c>
      <c r="H353" s="2" t="s">
        <v>85</v>
      </c>
      <c r="I353" s="2" t="s">
        <v>86</v>
      </c>
      <c r="J353" s="2" t="s">
        <v>14</v>
      </c>
    </row>
    <row r="354" spans="1:10" x14ac:dyDescent="0.3">
      <c r="A354" s="2" t="str">
        <f>HYPERLINK("https://hsdes.intel.com/resource/14013163097","14013163097")</f>
        <v>14013163097</v>
      </c>
      <c r="B354" s="2" t="s">
        <v>760</v>
      </c>
      <c r="C354" s="2" t="s">
        <v>761</v>
      </c>
      <c r="D354" s="5" t="s">
        <v>526</v>
      </c>
      <c r="E354" s="2"/>
      <c r="F354" s="3" t="s">
        <v>10</v>
      </c>
      <c r="G354" s="2" t="s">
        <v>11</v>
      </c>
      <c r="H354" s="2" t="s">
        <v>109</v>
      </c>
      <c r="I354" s="2" t="s">
        <v>110</v>
      </c>
      <c r="J354" s="2" t="s">
        <v>27</v>
      </c>
    </row>
    <row r="355" spans="1:10" x14ac:dyDescent="0.3">
      <c r="A355" s="2" t="str">
        <f>HYPERLINK("https://hsdes.intel.com/resource/14013163114","14013163114")</f>
        <v>14013163114</v>
      </c>
      <c r="B355" s="2" t="s">
        <v>762</v>
      </c>
      <c r="C355" s="2" t="s">
        <v>763</v>
      </c>
      <c r="D355" s="5" t="s">
        <v>526</v>
      </c>
      <c r="E355" s="2"/>
      <c r="F355" s="3" t="s">
        <v>10</v>
      </c>
      <c r="G355" s="2" t="s">
        <v>11</v>
      </c>
      <c r="H355" s="2" t="s">
        <v>12</v>
      </c>
      <c r="I355" s="2" t="s">
        <v>13</v>
      </c>
      <c r="J355" s="2" t="s">
        <v>27</v>
      </c>
    </row>
    <row r="356" spans="1:10" x14ac:dyDescent="0.3">
      <c r="A356" s="2" t="str">
        <f>HYPERLINK("https://hsdes.intel.com/resource/14013163118","14013163118")</f>
        <v>14013163118</v>
      </c>
      <c r="B356" s="2" t="s">
        <v>764</v>
      </c>
      <c r="C356" s="2" t="s">
        <v>765</v>
      </c>
      <c r="D356" s="5" t="s">
        <v>526</v>
      </c>
      <c r="E356" s="2"/>
      <c r="F356" s="3" t="s">
        <v>10</v>
      </c>
      <c r="G356" s="2" t="s">
        <v>11</v>
      </c>
      <c r="H356" s="2" t="s">
        <v>12</v>
      </c>
      <c r="I356" s="2" t="s">
        <v>13</v>
      </c>
      <c r="J356" s="2" t="s">
        <v>14</v>
      </c>
    </row>
    <row r="357" spans="1:10" x14ac:dyDescent="0.3">
      <c r="A357" s="2" t="str">
        <f>HYPERLINK("https://hsdes.intel.com/resource/14013163171","14013163171")</f>
        <v>14013163171</v>
      </c>
      <c r="B357" s="2" t="s">
        <v>766</v>
      </c>
      <c r="C357" s="2" t="s">
        <v>767</v>
      </c>
      <c r="D357" s="5" t="s">
        <v>526</v>
      </c>
      <c r="E357" s="2"/>
      <c r="F357" s="3" t="s">
        <v>10</v>
      </c>
      <c r="G357" s="2" t="s">
        <v>11</v>
      </c>
      <c r="H357" s="2" t="s">
        <v>85</v>
      </c>
      <c r="I357" s="2" t="s">
        <v>86</v>
      </c>
      <c r="J357" s="2" t="s">
        <v>27</v>
      </c>
    </row>
    <row r="358" spans="1:10" x14ac:dyDescent="0.3">
      <c r="A358" s="2" t="str">
        <f>HYPERLINK("https://hsdes.intel.com/resource/14013163195","14013163195")</f>
        <v>14013163195</v>
      </c>
      <c r="B358" s="2" t="s">
        <v>768</v>
      </c>
      <c r="C358" s="2" t="s">
        <v>769</v>
      </c>
      <c r="D358" s="5" t="s">
        <v>526</v>
      </c>
      <c r="E358" s="2"/>
      <c r="F358" s="3" t="s">
        <v>10</v>
      </c>
      <c r="G358" s="2" t="s">
        <v>11</v>
      </c>
      <c r="H358" s="2" t="s">
        <v>12</v>
      </c>
      <c r="I358" s="2" t="s">
        <v>13</v>
      </c>
      <c r="J358" s="2" t="s">
        <v>27</v>
      </c>
    </row>
    <row r="359" spans="1:10" x14ac:dyDescent="0.3">
      <c r="A359" s="2" t="str">
        <f>HYPERLINK("https://hsdes.intel.com/resource/14013163205","14013163205")</f>
        <v>14013163205</v>
      </c>
      <c r="B359" s="2" t="s">
        <v>770</v>
      </c>
      <c r="C359" s="2" t="s">
        <v>771</v>
      </c>
      <c r="D359" s="5" t="s">
        <v>526</v>
      </c>
      <c r="E359" s="2"/>
      <c r="F359" s="3" t="s">
        <v>10</v>
      </c>
      <c r="G359" s="2" t="s">
        <v>11</v>
      </c>
      <c r="H359" s="2" t="s">
        <v>85</v>
      </c>
      <c r="I359" s="2" t="s">
        <v>86</v>
      </c>
      <c r="J359" s="2" t="s">
        <v>27</v>
      </c>
    </row>
    <row r="360" spans="1:10" x14ac:dyDescent="0.3">
      <c r="A360" s="2" t="str">
        <f>HYPERLINK("https://hsdes.intel.com/resource/14013163245","14013163245")</f>
        <v>14013163245</v>
      </c>
      <c r="B360" s="2" t="s">
        <v>772</v>
      </c>
      <c r="C360" s="2" t="s">
        <v>773</v>
      </c>
      <c r="D360" s="5" t="s">
        <v>526</v>
      </c>
      <c r="E360" s="2"/>
      <c r="F360" s="3" t="s">
        <v>10</v>
      </c>
      <c r="G360" s="2" t="s">
        <v>11</v>
      </c>
      <c r="H360" s="2" t="s">
        <v>12</v>
      </c>
      <c r="I360" s="2" t="s">
        <v>13</v>
      </c>
      <c r="J360" s="2" t="s">
        <v>27</v>
      </c>
    </row>
    <row r="361" spans="1:10" x14ac:dyDescent="0.3">
      <c r="A361" s="2" t="str">
        <f>HYPERLINK("https://hsdes.intel.com/resource/14013163258","14013163258")</f>
        <v>14013163258</v>
      </c>
      <c r="B361" s="2" t="s">
        <v>774</v>
      </c>
      <c r="C361" s="2" t="s">
        <v>775</v>
      </c>
      <c r="D361" s="5" t="s">
        <v>526</v>
      </c>
      <c r="E361" s="2"/>
      <c r="F361" s="3" t="s">
        <v>10</v>
      </c>
      <c r="G361" s="2" t="s">
        <v>11</v>
      </c>
      <c r="H361" s="2" t="s">
        <v>12</v>
      </c>
      <c r="I361" s="2" t="s">
        <v>13</v>
      </c>
      <c r="J361" s="2" t="s">
        <v>14</v>
      </c>
    </row>
    <row r="362" spans="1:10" x14ac:dyDescent="0.3">
      <c r="A362" s="2" t="str">
        <f>HYPERLINK("https://hsdes.intel.com/resource/14013163267","14013163267")</f>
        <v>14013163267</v>
      </c>
      <c r="B362" s="2" t="s">
        <v>776</v>
      </c>
      <c r="C362" s="2" t="s">
        <v>777</v>
      </c>
      <c r="D362" s="5" t="s">
        <v>526</v>
      </c>
      <c r="E362" s="2"/>
      <c r="F362" s="3" t="s">
        <v>10</v>
      </c>
      <c r="G362" s="2" t="s">
        <v>11</v>
      </c>
      <c r="H362" s="2" t="s">
        <v>12</v>
      </c>
      <c r="I362" s="2" t="s">
        <v>13</v>
      </c>
      <c r="J362" s="2" t="s">
        <v>27</v>
      </c>
    </row>
    <row r="363" spans="1:10" x14ac:dyDescent="0.3">
      <c r="A363" s="2" t="str">
        <f>HYPERLINK("https://hsdes.intel.com/resource/14013163296","14013163296")</f>
        <v>14013163296</v>
      </c>
      <c r="B363" s="2" t="s">
        <v>778</v>
      </c>
      <c r="C363" s="2" t="s">
        <v>779</v>
      </c>
      <c r="D363" s="5" t="s">
        <v>526</v>
      </c>
      <c r="E363" s="2"/>
      <c r="F363" s="3" t="s">
        <v>10</v>
      </c>
      <c r="G363" s="2" t="s">
        <v>11</v>
      </c>
      <c r="H363" s="2" t="s">
        <v>30</v>
      </c>
      <c r="I363" s="2" t="s">
        <v>13</v>
      </c>
      <c r="J363" s="2" t="s">
        <v>14</v>
      </c>
    </row>
    <row r="364" spans="1:10" x14ac:dyDescent="0.3">
      <c r="A364" s="2" t="str">
        <f>HYPERLINK("https://hsdes.intel.com/resource/14013163306","14013163306")</f>
        <v>14013163306</v>
      </c>
      <c r="B364" s="2" t="s">
        <v>780</v>
      </c>
      <c r="C364" s="2" t="s">
        <v>781</v>
      </c>
      <c r="D364" s="5" t="s">
        <v>526</v>
      </c>
      <c r="E364" s="2"/>
      <c r="F364" s="3" t="s">
        <v>10</v>
      </c>
      <c r="G364" s="2" t="s">
        <v>11</v>
      </c>
      <c r="H364" s="2" t="s">
        <v>12</v>
      </c>
      <c r="I364" s="2" t="s">
        <v>13</v>
      </c>
      <c r="J364" s="2" t="s">
        <v>27</v>
      </c>
    </row>
    <row r="365" spans="1:10" x14ac:dyDescent="0.3">
      <c r="A365" s="2" t="str">
        <f>HYPERLINK("https://hsdes.intel.com/resource/14013163319","14013163319")</f>
        <v>14013163319</v>
      </c>
      <c r="B365" s="2" t="s">
        <v>782</v>
      </c>
      <c r="C365" s="2" t="s">
        <v>783</v>
      </c>
      <c r="D365" s="5" t="s">
        <v>526</v>
      </c>
      <c r="E365" s="2"/>
      <c r="F365" s="3" t="s">
        <v>10</v>
      </c>
      <c r="G365" s="2" t="s">
        <v>11</v>
      </c>
      <c r="H365" s="2" t="s">
        <v>12</v>
      </c>
      <c r="I365" s="2" t="s">
        <v>13</v>
      </c>
      <c r="J365" s="2" t="s">
        <v>27</v>
      </c>
    </row>
    <row r="366" spans="1:10" x14ac:dyDescent="0.3">
      <c r="A366" s="2" t="str">
        <f>HYPERLINK("https://hsdes.intel.com/resource/14013163363","14013163363")</f>
        <v>14013163363</v>
      </c>
      <c r="B366" s="2" t="s">
        <v>784</v>
      </c>
      <c r="C366" s="2" t="s">
        <v>785</v>
      </c>
      <c r="D366" s="5" t="s">
        <v>526</v>
      </c>
      <c r="E366" s="2"/>
      <c r="F366" s="3" t="s">
        <v>10</v>
      </c>
      <c r="G366" s="2" t="s">
        <v>11</v>
      </c>
      <c r="H366" s="2" t="s">
        <v>12</v>
      </c>
      <c r="I366" s="2" t="s">
        <v>13</v>
      </c>
      <c r="J366" s="2" t="s">
        <v>27</v>
      </c>
    </row>
    <row r="367" spans="1:10" x14ac:dyDescent="0.3">
      <c r="A367" s="2" t="str">
        <f>HYPERLINK("https://hsdes.intel.com/resource/14013163375","14013163375")</f>
        <v>14013163375</v>
      </c>
      <c r="B367" s="2" t="s">
        <v>786</v>
      </c>
      <c r="C367" s="2" t="s">
        <v>787</v>
      </c>
      <c r="D367" s="5" t="s">
        <v>526</v>
      </c>
      <c r="E367" s="2"/>
      <c r="F367" s="3" t="s">
        <v>10</v>
      </c>
      <c r="G367" s="2" t="s">
        <v>11</v>
      </c>
      <c r="H367" s="2" t="s">
        <v>12</v>
      </c>
      <c r="I367" s="2" t="s">
        <v>13</v>
      </c>
      <c r="J367" s="2" t="s">
        <v>27</v>
      </c>
    </row>
    <row r="368" spans="1:10" x14ac:dyDescent="0.3">
      <c r="A368" s="2" t="str">
        <f>HYPERLINK("https://hsdes.intel.com/resource/14013163408","14013163408")</f>
        <v>14013163408</v>
      </c>
      <c r="B368" s="2" t="s">
        <v>788</v>
      </c>
      <c r="C368" s="2" t="s">
        <v>789</v>
      </c>
      <c r="D368" s="5" t="s">
        <v>526</v>
      </c>
      <c r="E368" s="2"/>
      <c r="F368" s="3" t="s">
        <v>10</v>
      </c>
      <c r="G368" s="2" t="s">
        <v>11</v>
      </c>
      <c r="H368" s="2" t="s">
        <v>12</v>
      </c>
      <c r="I368" s="2" t="s">
        <v>13</v>
      </c>
      <c r="J368" s="2" t="s">
        <v>27</v>
      </c>
    </row>
    <row r="369" spans="1:10" x14ac:dyDescent="0.3">
      <c r="A369" s="2" t="str">
        <f>HYPERLINK("https://hsdes.intel.com/resource/14013163421","14013163421")</f>
        <v>14013163421</v>
      </c>
      <c r="B369" s="2" t="s">
        <v>790</v>
      </c>
      <c r="C369" s="2" t="s">
        <v>791</v>
      </c>
      <c r="D369" s="5" t="s">
        <v>526</v>
      </c>
      <c r="E369" s="2"/>
      <c r="F369" s="3" t="s">
        <v>10</v>
      </c>
      <c r="G369" s="2" t="s">
        <v>11</v>
      </c>
      <c r="H369" s="2" t="s">
        <v>12</v>
      </c>
      <c r="I369" s="2" t="s">
        <v>13</v>
      </c>
      <c r="J369" s="2" t="s">
        <v>27</v>
      </c>
    </row>
    <row r="370" spans="1:10" x14ac:dyDescent="0.3">
      <c r="A370" s="2" t="str">
        <f>HYPERLINK("https://hsdes.intel.com/resource/14013163456","14013163456")</f>
        <v>14013163456</v>
      </c>
      <c r="B370" s="2" t="s">
        <v>792</v>
      </c>
      <c r="C370" s="2" t="s">
        <v>793</v>
      </c>
      <c r="D370" s="5" t="s">
        <v>526</v>
      </c>
      <c r="E370" s="2"/>
      <c r="F370" s="3" t="s">
        <v>10</v>
      </c>
      <c r="G370" s="2" t="s">
        <v>11</v>
      </c>
      <c r="H370" s="2" t="s">
        <v>12</v>
      </c>
      <c r="I370" s="2" t="s">
        <v>13</v>
      </c>
      <c r="J370" s="2" t="s">
        <v>14</v>
      </c>
    </row>
    <row r="371" spans="1:10" x14ac:dyDescent="0.3">
      <c r="A371" s="2" t="str">
        <f>HYPERLINK("https://hsdes.intel.com/resource/14013163459","14013163459")</f>
        <v>14013163459</v>
      </c>
      <c r="B371" s="2" t="s">
        <v>794</v>
      </c>
      <c r="C371" s="2" t="s">
        <v>795</v>
      </c>
      <c r="D371" s="5" t="s">
        <v>526</v>
      </c>
      <c r="E371" s="2"/>
      <c r="F371" s="3" t="s">
        <v>10</v>
      </c>
      <c r="G371" s="2" t="s">
        <v>11</v>
      </c>
      <c r="H371" s="2" t="s">
        <v>12</v>
      </c>
      <c r="I371" s="2" t="s">
        <v>13</v>
      </c>
      <c r="J371" s="2" t="s">
        <v>32</v>
      </c>
    </row>
    <row r="372" spans="1:10" x14ac:dyDescent="0.3">
      <c r="A372" s="2" t="str">
        <f>HYPERLINK("https://hsdes.intel.com/resource/14013163478","14013163478")</f>
        <v>14013163478</v>
      </c>
      <c r="B372" s="2" t="s">
        <v>796</v>
      </c>
      <c r="C372" s="2" t="s">
        <v>797</v>
      </c>
      <c r="D372" s="5" t="s">
        <v>526</v>
      </c>
      <c r="E372" s="2"/>
      <c r="F372" s="3" t="s">
        <v>10</v>
      </c>
      <c r="G372" s="2" t="s">
        <v>39</v>
      </c>
      <c r="H372" s="2" t="s">
        <v>85</v>
      </c>
      <c r="I372" s="2" t="s">
        <v>86</v>
      </c>
      <c r="J372" s="2" t="s">
        <v>27</v>
      </c>
    </row>
    <row r="373" spans="1:10" x14ac:dyDescent="0.3">
      <c r="A373" s="2" t="str">
        <f>HYPERLINK("https://hsdes.intel.com/resource/14013163540","14013163540")</f>
        <v>14013163540</v>
      </c>
      <c r="B373" s="2" t="s">
        <v>798</v>
      </c>
      <c r="C373" s="2" t="s">
        <v>799</v>
      </c>
      <c r="D373" s="5" t="s">
        <v>526</v>
      </c>
      <c r="E373" s="2"/>
      <c r="F373" s="3" t="s">
        <v>10</v>
      </c>
      <c r="G373" s="2" t="s">
        <v>11</v>
      </c>
      <c r="H373" s="2" t="s">
        <v>30</v>
      </c>
      <c r="I373" s="2" t="s">
        <v>31</v>
      </c>
      <c r="J373" s="2" t="s">
        <v>14</v>
      </c>
    </row>
    <row r="374" spans="1:10" x14ac:dyDescent="0.3">
      <c r="A374" s="2" t="str">
        <f>HYPERLINK("https://hsdes.intel.com/resource/14013163653","14013163653")</f>
        <v>14013163653</v>
      </c>
      <c r="B374" s="2" t="s">
        <v>800</v>
      </c>
      <c r="C374" s="2" t="s">
        <v>801</v>
      </c>
      <c r="D374" s="5" t="s">
        <v>526</v>
      </c>
      <c r="E374" s="2"/>
      <c r="F374" s="3" t="s">
        <v>10</v>
      </c>
      <c r="G374" s="2" t="s">
        <v>11</v>
      </c>
      <c r="H374" s="2" t="s">
        <v>12</v>
      </c>
      <c r="I374" s="2" t="s">
        <v>13</v>
      </c>
      <c r="J374" s="2" t="s">
        <v>14</v>
      </c>
    </row>
    <row r="375" spans="1:10" x14ac:dyDescent="0.3">
      <c r="A375" s="2" t="str">
        <f>HYPERLINK("https://hsdes.intel.com/resource/14013163665","14013163665")</f>
        <v>14013163665</v>
      </c>
      <c r="B375" s="2" t="s">
        <v>802</v>
      </c>
      <c r="C375" s="2" t="s">
        <v>803</v>
      </c>
      <c r="D375" s="5" t="s">
        <v>526</v>
      </c>
      <c r="E375" s="2"/>
      <c r="F375" s="3" t="s">
        <v>10</v>
      </c>
      <c r="G375" s="2" t="s">
        <v>11</v>
      </c>
      <c r="H375" s="2" t="s">
        <v>12</v>
      </c>
      <c r="I375" s="2" t="s">
        <v>13</v>
      </c>
      <c r="J375" s="2" t="s">
        <v>14</v>
      </c>
    </row>
    <row r="376" spans="1:10" x14ac:dyDescent="0.3">
      <c r="A376" s="2" t="str">
        <f>HYPERLINK("https://hsdes.intel.com/resource/14013163784","14013163784")</f>
        <v>14013163784</v>
      </c>
      <c r="B376" s="2" t="s">
        <v>804</v>
      </c>
      <c r="C376" s="2" t="s">
        <v>805</v>
      </c>
      <c r="D376" s="5" t="s">
        <v>526</v>
      </c>
      <c r="E376" s="2"/>
      <c r="F376" s="3" t="s">
        <v>10</v>
      </c>
      <c r="G376" s="2" t="s">
        <v>11</v>
      </c>
      <c r="H376" s="2" t="s">
        <v>30</v>
      </c>
      <c r="I376" s="2" t="s">
        <v>31</v>
      </c>
      <c r="J376" s="2" t="s">
        <v>14</v>
      </c>
    </row>
    <row r="377" spans="1:10" x14ac:dyDescent="0.3">
      <c r="A377" s="2" t="str">
        <f>HYPERLINK("https://hsdes.intel.com/resource/14013163914","14013163914")</f>
        <v>14013163914</v>
      </c>
      <c r="B377" s="2" t="s">
        <v>806</v>
      </c>
      <c r="C377" s="2" t="s">
        <v>807</v>
      </c>
      <c r="D377" s="5" t="s">
        <v>526</v>
      </c>
      <c r="E377" s="2"/>
      <c r="F377" s="3" t="s">
        <v>10</v>
      </c>
      <c r="G377" s="2" t="s">
        <v>11</v>
      </c>
      <c r="H377" s="2" t="s">
        <v>30</v>
      </c>
      <c r="I377" s="2" t="s">
        <v>54</v>
      </c>
      <c r="J377" s="2" t="s">
        <v>32</v>
      </c>
    </row>
    <row r="378" spans="1:10" x14ac:dyDescent="0.3">
      <c r="A378" s="2" t="str">
        <f>HYPERLINK("https://hsdes.intel.com/resource/14013163952","14013163952")</f>
        <v>14013163952</v>
      </c>
      <c r="B378" s="2" t="s">
        <v>808</v>
      </c>
      <c r="C378" s="2" t="s">
        <v>809</v>
      </c>
      <c r="D378" s="5" t="s">
        <v>526</v>
      </c>
      <c r="E378" s="2"/>
      <c r="F378" s="3" t="s">
        <v>10</v>
      </c>
      <c r="G378" s="2" t="s">
        <v>11</v>
      </c>
      <c r="H378" s="2" t="s">
        <v>53</v>
      </c>
      <c r="I378" s="2" t="s">
        <v>54</v>
      </c>
      <c r="J378" s="2" t="s">
        <v>32</v>
      </c>
    </row>
    <row r="379" spans="1:10" x14ac:dyDescent="0.3">
      <c r="A379" s="2" t="str">
        <f>HYPERLINK("https://hsdes.intel.com/resource/14013163959","14013163959")</f>
        <v>14013163959</v>
      </c>
      <c r="B379" s="2" t="s">
        <v>810</v>
      </c>
      <c r="C379" s="2" t="s">
        <v>811</v>
      </c>
      <c r="D379" s="5" t="s">
        <v>526</v>
      </c>
      <c r="E379" s="2"/>
      <c r="F379" s="3" t="s">
        <v>10</v>
      </c>
      <c r="G379" s="2" t="s">
        <v>11</v>
      </c>
      <c r="H379" s="2" t="s">
        <v>12</v>
      </c>
      <c r="I379" s="2" t="s">
        <v>13</v>
      </c>
      <c r="J379" s="2" t="s">
        <v>14</v>
      </c>
    </row>
    <row r="380" spans="1:10" x14ac:dyDescent="0.3">
      <c r="A380" s="2" t="str">
        <f>HYPERLINK("https://hsdes.intel.com/resource/14013163970","14013163970")</f>
        <v>14013163970</v>
      </c>
      <c r="B380" s="2" t="s">
        <v>812</v>
      </c>
      <c r="C380" s="2" t="s">
        <v>813</v>
      </c>
      <c r="D380" s="5" t="s">
        <v>526</v>
      </c>
      <c r="E380" s="2"/>
      <c r="F380" s="3" t="s">
        <v>10</v>
      </c>
      <c r="G380" s="2" t="s">
        <v>11</v>
      </c>
      <c r="H380" s="2" t="s">
        <v>159</v>
      </c>
      <c r="I380" s="2" t="s">
        <v>31</v>
      </c>
      <c r="J380" s="2" t="s">
        <v>14</v>
      </c>
    </row>
    <row r="381" spans="1:10" x14ac:dyDescent="0.3">
      <c r="A381" s="2" t="str">
        <f>HYPERLINK("https://hsdes.intel.com/resource/14013164099","14013164099")</f>
        <v>14013164099</v>
      </c>
      <c r="B381" s="2" t="s">
        <v>814</v>
      </c>
      <c r="C381" s="2" t="s">
        <v>815</v>
      </c>
      <c r="D381" s="5" t="s">
        <v>526</v>
      </c>
      <c r="E381" s="2"/>
      <c r="F381" s="3" t="s">
        <v>10</v>
      </c>
      <c r="G381" s="2" t="s">
        <v>816</v>
      </c>
      <c r="H381" s="2" t="s">
        <v>159</v>
      </c>
      <c r="I381" s="2" t="s">
        <v>210</v>
      </c>
      <c r="J381" s="2" t="s">
        <v>27</v>
      </c>
    </row>
    <row r="382" spans="1:10" x14ac:dyDescent="0.3">
      <c r="A382" s="2" t="str">
        <f>HYPERLINK("https://hsdes.intel.com/resource/14013164275","14013164275")</f>
        <v>14013164275</v>
      </c>
      <c r="B382" s="2" t="s">
        <v>817</v>
      </c>
      <c r="C382" s="2" t="s">
        <v>818</v>
      </c>
      <c r="D382" s="5" t="s">
        <v>526</v>
      </c>
      <c r="E382" s="2"/>
      <c r="F382" s="3" t="s">
        <v>10</v>
      </c>
      <c r="G382" s="2" t="s">
        <v>11</v>
      </c>
      <c r="H382" s="2" t="s">
        <v>265</v>
      </c>
      <c r="I382" s="2" t="s">
        <v>266</v>
      </c>
      <c r="J382" s="2" t="s">
        <v>32</v>
      </c>
    </row>
    <row r="383" spans="1:10" x14ac:dyDescent="0.3">
      <c r="A383" s="2" t="str">
        <f>HYPERLINK("https://hsdes.intel.com/resource/14013164376","14013164376")</f>
        <v>14013164376</v>
      </c>
      <c r="B383" s="2" t="s">
        <v>819</v>
      </c>
      <c r="C383" s="2" t="s">
        <v>820</v>
      </c>
      <c r="D383" s="5" t="s">
        <v>526</v>
      </c>
      <c r="E383" s="2"/>
      <c r="F383" s="3" t="s">
        <v>10</v>
      </c>
      <c r="G383" s="2" t="s">
        <v>11</v>
      </c>
      <c r="H383" s="2" t="s">
        <v>12</v>
      </c>
      <c r="I383" s="2" t="s">
        <v>13</v>
      </c>
      <c r="J383" s="2" t="s">
        <v>32</v>
      </c>
    </row>
    <row r="384" spans="1:10" x14ac:dyDescent="0.3">
      <c r="A384" s="2" t="str">
        <f>HYPERLINK("https://hsdes.intel.com/resource/14013164390","14013164390")</f>
        <v>14013164390</v>
      </c>
      <c r="B384" s="2" t="s">
        <v>821</v>
      </c>
      <c r="C384" s="2" t="s">
        <v>822</v>
      </c>
      <c r="D384" s="5" t="s">
        <v>526</v>
      </c>
      <c r="E384" s="2"/>
      <c r="F384" s="3" t="s">
        <v>10</v>
      </c>
      <c r="G384" s="2" t="s">
        <v>11</v>
      </c>
      <c r="H384" s="2" t="s">
        <v>265</v>
      </c>
      <c r="I384" s="2" t="s">
        <v>266</v>
      </c>
      <c r="J384" s="2" t="s">
        <v>14</v>
      </c>
    </row>
    <row r="385" spans="1:10" x14ac:dyDescent="0.3">
      <c r="A385" s="2" t="str">
        <f>HYPERLINK("https://hsdes.intel.com/resource/14013164455","14013164455")</f>
        <v>14013164455</v>
      </c>
      <c r="B385" s="2" t="s">
        <v>823</v>
      </c>
      <c r="C385" s="2" t="s">
        <v>824</v>
      </c>
      <c r="D385" s="5" t="s">
        <v>526</v>
      </c>
      <c r="E385" s="2"/>
      <c r="F385" s="3" t="s">
        <v>10</v>
      </c>
      <c r="G385" s="2" t="s">
        <v>11</v>
      </c>
      <c r="H385" s="2" t="s">
        <v>109</v>
      </c>
      <c r="I385" s="2" t="s">
        <v>110</v>
      </c>
      <c r="J385" s="2" t="s">
        <v>14</v>
      </c>
    </row>
    <row r="386" spans="1:10" x14ac:dyDescent="0.3">
      <c r="A386" s="2" t="str">
        <f>HYPERLINK("https://hsdes.intel.com/resource/14013164644","14013164644")</f>
        <v>14013164644</v>
      </c>
      <c r="B386" s="2" t="s">
        <v>825</v>
      </c>
      <c r="C386" s="2" t="s">
        <v>826</v>
      </c>
      <c r="D386" s="5" t="s">
        <v>526</v>
      </c>
      <c r="E386" s="2"/>
      <c r="F386" s="3" t="s">
        <v>10</v>
      </c>
      <c r="G386" s="2" t="s">
        <v>11</v>
      </c>
      <c r="H386" s="2" t="s">
        <v>109</v>
      </c>
      <c r="I386" s="2" t="s">
        <v>110</v>
      </c>
      <c r="J386" s="2" t="s">
        <v>14</v>
      </c>
    </row>
    <row r="387" spans="1:10" x14ac:dyDescent="0.3">
      <c r="A387" s="2" t="str">
        <f>HYPERLINK("https://hsdes.intel.com/resource/14013164649","14013164649")</f>
        <v>14013164649</v>
      </c>
      <c r="B387" s="2" t="s">
        <v>827</v>
      </c>
      <c r="C387" s="2" t="s">
        <v>828</v>
      </c>
      <c r="D387" s="5" t="s">
        <v>526</v>
      </c>
      <c r="E387" s="2"/>
      <c r="F387" s="3" t="s">
        <v>10</v>
      </c>
      <c r="G387" s="2" t="s">
        <v>11</v>
      </c>
      <c r="H387" s="2" t="s">
        <v>109</v>
      </c>
      <c r="I387" s="2" t="s">
        <v>110</v>
      </c>
      <c r="J387" s="2" t="s">
        <v>14</v>
      </c>
    </row>
    <row r="388" spans="1:10" x14ac:dyDescent="0.3">
      <c r="A388" s="2" t="str">
        <f>HYPERLINK("https://hsdes.intel.com/resource/14013164656","14013164656")</f>
        <v>14013164656</v>
      </c>
      <c r="B388" s="2" t="s">
        <v>829</v>
      </c>
      <c r="C388" s="2" t="s">
        <v>830</v>
      </c>
      <c r="D388" s="5" t="s">
        <v>526</v>
      </c>
      <c r="E388" s="2"/>
      <c r="F388" s="3" t="s">
        <v>10</v>
      </c>
      <c r="G388" s="2" t="s">
        <v>11</v>
      </c>
      <c r="H388" s="2" t="s">
        <v>109</v>
      </c>
      <c r="I388" s="2" t="s">
        <v>110</v>
      </c>
      <c r="J388" s="2" t="s">
        <v>14</v>
      </c>
    </row>
    <row r="389" spans="1:10" x14ac:dyDescent="0.3">
      <c r="A389" s="2" t="str">
        <f>HYPERLINK("https://hsdes.intel.com/resource/14013164661","14013164661")</f>
        <v>14013164661</v>
      </c>
      <c r="B389" s="2" t="s">
        <v>831</v>
      </c>
      <c r="C389" s="2" t="s">
        <v>832</v>
      </c>
      <c r="D389" s="5" t="s">
        <v>526</v>
      </c>
      <c r="E389" s="2"/>
      <c r="F389" s="3" t="s">
        <v>10</v>
      </c>
      <c r="G389" s="2" t="s">
        <v>11</v>
      </c>
      <c r="H389" s="2" t="s">
        <v>109</v>
      </c>
      <c r="I389" s="2" t="s">
        <v>110</v>
      </c>
      <c r="J389" s="2" t="s">
        <v>14</v>
      </c>
    </row>
    <row r="390" spans="1:10" x14ac:dyDescent="0.3">
      <c r="A390" s="2" t="str">
        <f>HYPERLINK("https://hsdes.intel.com/resource/14013164668","14013164668")</f>
        <v>14013164668</v>
      </c>
      <c r="B390" s="2" t="s">
        <v>833</v>
      </c>
      <c r="C390" s="2" t="s">
        <v>834</v>
      </c>
      <c r="D390" s="5" t="s">
        <v>526</v>
      </c>
      <c r="E390" s="2"/>
      <c r="F390" s="3" t="s">
        <v>10</v>
      </c>
      <c r="G390" s="2" t="s">
        <v>11</v>
      </c>
      <c r="H390" s="2" t="s">
        <v>109</v>
      </c>
      <c r="I390" s="2" t="s">
        <v>110</v>
      </c>
      <c r="J390" s="2" t="s">
        <v>14</v>
      </c>
    </row>
    <row r="391" spans="1:10" x14ac:dyDescent="0.3">
      <c r="A391" s="2" t="str">
        <f>HYPERLINK("https://hsdes.intel.com/resource/14013164670","14013164670")</f>
        <v>14013164670</v>
      </c>
      <c r="B391" s="2" t="s">
        <v>835</v>
      </c>
      <c r="C391" s="2" t="s">
        <v>836</v>
      </c>
      <c r="D391" s="5" t="s">
        <v>526</v>
      </c>
      <c r="E391" s="2"/>
      <c r="F391" s="3" t="s">
        <v>10</v>
      </c>
      <c r="G391" s="2" t="s">
        <v>11</v>
      </c>
      <c r="H391" s="2" t="s">
        <v>109</v>
      </c>
      <c r="I391" s="2" t="s">
        <v>110</v>
      </c>
      <c r="J391" s="2" t="s">
        <v>14</v>
      </c>
    </row>
    <row r="392" spans="1:10" x14ac:dyDescent="0.3">
      <c r="A392" s="2" t="str">
        <f>HYPERLINK("https://hsdes.intel.com/resource/14013164680","14013164680")</f>
        <v>14013164680</v>
      </c>
      <c r="B392" s="2" t="s">
        <v>837</v>
      </c>
      <c r="C392" s="2" t="s">
        <v>838</v>
      </c>
      <c r="D392" s="5" t="s">
        <v>526</v>
      </c>
      <c r="E392" s="2"/>
      <c r="F392" s="3" t="s">
        <v>10</v>
      </c>
      <c r="G392" s="2" t="s">
        <v>11</v>
      </c>
      <c r="H392" s="2" t="s">
        <v>109</v>
      </c>
      <c r="I392" s="2" t="s">
        <v>110</v>
      </c>
      <c r="J392" s="2" t="s">
        <v>27</v>
      </c>
    </row>
    <row r="393" spans="1:10" x14ac:dyDescent="0.3">
      <c r="A393" s="2" t="str">
        <f>HYPERLINK("https://hsdes.intel.com/resource/14013164684","14013164684")</f>
        <v>14013164684</v>
      </c>
      <c r="B393" s="2" t="s">
        <v>839</v>
      </c>
      <c r="C393" s="2" t="s">
        <v>840</v>
      </c>
      <c r="D393" s="5" t="s">
        <v>526</v>
      </c>
      <c r="E393" s="2"/>
      <c r="F393" s="3" t="s">
        <v>10</v>
      </c>
      <c r="G393" s="2" t="s">
        <v>11</v>
      </c>
      <c r="H393" s="2" t="s">
        <v>109</v>
      </c>
      <c r="I393" s="2" t="s">
        <v>110</v>
      </c>
      <c r="J393" s="2" t="s">
        <v>14</v>
      </c>
    </row>
    <row r="394" spans="1:10" x14ac:dyDescent="0.3">
      <c r="A394" s="2" t="str">
        <f>HYPERLINK("https://hsdes.intel.com/resource/14013164690","14013164690")</f>
        <v>14013164690</v>
      </c>
      <c r="B394" s="2" t="s">
        <v>841</v>
      </c>
      <c r="C394" s="2" t="s">
        <v>842</v>
      </c>
      <c r="D394" s="5" t="s">
        <v>526</v>
      </c>
      <c r="E394" s="2"/>
      <c r="F394" s="3" t="s">
        <v>10</v>
      </c>
      <c r="G394" s="2" t="s">
        <v>11</v>
      </c>
      <c r="H394" s="2" t="s">
        <v>109</v>
      </c>
      <c r="I394" s="2" t="s">
        <v>110</v>
      </c>
      <c r="J394" s="2" t="s">
        <v>14</v>
      </c>
    </row>
    <row r="395" spans="1:10" x14ac:dyDescent="0.3">
      <c r="A395" s="2" t="str">
        <f>HYPERLINK("https://hsdes.intel.com/resource/14013164757","14013164757")</f>
        <v>14013164757</v>
      </c>
      <c r="B395" s="2" t="s">
        <v>843</v>
      </c>
      <c r="C395" s="2" t="s">
        <v>844</v>
      </c>
      <c r="D395" s="5" t="s">
        <v>526</v>
      </c>
      <c r="E395" s="2"/>
      <c r="F395" s="3" t="s">
        <v>10</v>
      </c>
      <c r="G395" s="2" t="s">
        <v>11</v>
      </c>
      <c r="H395" s="2" t="s">
        <v>265</v>
      </c>
      <c r="I395" s="2" t="s">
        <v>266</v>
      </c>
      <c r="J395" s="2" t="s">
        <v>32</v>
      </c>
    </row>
    <row r="396" spans="1:10" x14ac:dyDescent="0.3">
      <c r="A396" s="2" t="str">
        <f>HYPERLINK("https://hsdes.intel.com/resource/14013165152","14013165152")</f>
        <v>14013165152</v>
      </c>
      <c r="B396" s="2" t="s">
        <v>845</v>
      </c>
      <c r="C396" s="2" t="s">
        <v>846</v>
      </c>
      <c r="D396" s="5" t="s">
        <v>526</v>
      </c>
      <c r="E396" s="2"/>
      <c r="F396" s="3" t="s">
        <v>10</v>
      </c>
      <c r="G396" s="2" t="s">
        <v>11</v>
      </c>
      <c r="H396" s="2" t="s">
        <v>12</v>
      </c>
      <c r="I396" s="2" t="s">
        <v>13</v>
      </c>
      <c r="J396" s="2" t="s">
        <v>27</v>
      </c>
    </row>
    <row r="397" spans="1:10" x14ac:dyDescent="0.3">
      <c r="A397" s="2" t="str">
        <f>HYPERLINK("https://hsdes.intel.com/resource/14013165178","14013165178")</f>
        <v>14013165178</v>
      </c>
      <c r="B397" s="2" t="s">
        <v>847</v>
      </c>
      <c r="C397" s="2" t="s">
        <v>848</v>
      </c>
      <c r="D397" s="5" t="s">
        <v>526</v>
      </c>
      <c r="E397" s="2"/>
      <c r="F397" s="3" t="s">
        <v>10</v>
      </c>
      <c r="G397" s="2" t="s">
        <v>11</v>
      </c>
      <c r="H397" s="2" t="s">
        <v>12</v>
      </c>
      <c r="I397" s="2" t="s">
        <v>13</v>
      </c>
      <c r="J397" s="2" t="s">
        <v>27</v>
      </c>
    </row>
    <row r="398" spans="1:10" x14ac:dyDescent="0.3">
      <c r="A398" s="2" t="str">
        <f>HYPERLINK("https://hsdes.intel.com/resource/14013165184","14013165184")</f>
        <v>14013165184</v>
      </c>
      <c r="B398" s="2" t="s">
        <v>849</v>
      </c>
      <c r="C398" s="2" t="s">
        <v>850</v>
      </c>
      <c r="D398" s="5" t="s">
        <v>526</v>
      </c>
      <c r="E398" s="2"/>
      <c r="F398" s="3" t="s">
        <v>10</v>
      </c>
      <c r="G398" s="2" t="s">
        <v>39</v>
      </c>
      <c r="H398" s="2" t="s">
        <v>12</v>
      </c>
      <c r="I398" s="2" t="s">
        <v>13</v>
      </c>
      <c r="J398" s="2" t="s">
        <v>27</v>
      </c>
    </row>
    <row r="399" spans="1:10" x14ac:dyDescent="0.3">
      <c r="A399" s="2" t="str">
        <f>HYPERLINK("https://hsdes.intel.com/resource/14013165215","14013165215")</f>
        <v>14013165215</v>
      </c>
      <c r="B399" s="2" t="s">
        <v>851</v>
      </c>
      <c r="C399" s="2" t="s">
        <v>852</v>
      </c>
      <c r="D399" s="5" t="s">
        <v>526</v>
      </c>
      <c r="E399" s="2"/>
      <c r="F399" s="3" t="s">
        <v>10</v>
      </c>
      <c r="G399" s="2" t="s">
        <v>11</v>
      </c>
      <c r="H399" s="2" t="s">
        <v>12</v>
      </c>
      <c r="I399" s="2" t="s">
        <v>13</v>
      </c>
      <c r="J399" s="2" t="s">
        <v>27</v>
      </c>
    </row>
    <row r="400" spans="1:10" x14ac:dyDescent="0.3">
      <c r="A400" s="2" t="str">
        <f>HYPERLINK("https://hsdes.intel.com/resource/14013165220","14013165220")</f>
        <v>14013165220</v>
      </c>
      <c r="B400" s="2" t="s">
        <v>853</v>
      </c>
      <c r="C400" s="2" t="s">
        <v>854</v>
      </c>
      <c r="D400" s="5" t="s">
        <v>526</v>
      </c>
      <c r="E400" s="2"/>
      <c r="F400" s="3" t="s">
        <v>10</v>
      </c>
      <c r="G400" s="2" t="s">
        <v>39</v>
      </c>
      <c r="H400" s="2" t="s">
        <v>12</v>
      </c>
      <c r="I400" s="2" t="s">
        <v>13</v>
      </c>
      <c r="J400" s="2" t="s">
        <v>27</v>
      </c>
    </row>
    <row r="401" spans="1:10" x14ac:dyDescent="0.3">
      <c r="A401" s="2" t="str">
        <f>HYPERLINK("https://hsdes.intel.com/resource/14013165230","14013165230")</f>
        <v>14013165230</v>
      </c>
      <c r="B401" s="2" t="s">
        <v>855</v>
      </c>
      <c r="C401" s="2" t="s">
        <v>856</v>
      </c>
      <c r="D401" s="5" t="s">
        <v>526</v>
      </c>
      <c r="E401" s="2"/>
      <c r="F401" s="3" t="s">
        <v>10</v>
      </c>
      <c r="G401" s="2" t="s">
        <v>11</v>
      </c>
      <c r="H401" s="2" t="s">
        <v>12</v>
      </c>
      <c r="I401" s="2" t="s">
        <v>13</v>
      </c>
      <c r="J401" s="2" t="s">
        <v>27</v>
      </c>
    </row>
    <row r="402" spans="1:10" x14ac:dyDescent="0.3">
      <c r="A402" s="2" t="str">
        <f>HYPERLINK("https://hsdes.intel.com/resource/14013165239","14013165239")</f>
        <v>14013165239</v>
      </c>
      <c r="B402" s="2" t="s">
        <v>857</v>
      </c>
      <c r="C402" s="2" t="s">
        <v>858</v>
      </c>
      <c r="D402" s="5" t="s">
        <v>526</v>
      </c>
      <c r="E402" s="2"/>
      <c r="F402" s="3" t="s">
        <v>10</v>
      </c>
      <c r="G402" s="2" t="s">
        <v>39</v>
      </c>
      <c r="H402" s="2" t="s">
        <v>12</v>
      </c>
      <c r="I402" s="2" t="s">
        <v>13</v>
      </c>
      <c r="J402" s="2" t="s">
        <v>27</v>
      </c>
    </row>
    <row r="403" spans="1:10" x14ac:dyDescent="0.3">
      <c r="A403" s="2" t="str">
        <f>HYPERLINK("https://hsdes.intel.com/resource/14013165248","14013165248")</f>
        <v>14013165248</v>
      </c>
      <c r="B403" s="2" t="s">
        <v>859</v>
      </c>
      <c r="C403" s="2" t="s">
        <v>860</v>
      </c>
      <c r="D403" s="5" t="s">
        <v>526</v>
      </c>
      <c r="E403" s="2"/>
      <c r="F403" s="3" t="s">
        <v>10</v>
      </c>
      <c r="G403" s="2" t="s">
        <v>11</v>
      </c>
      <c r="H403" s="2" t="s">
        <v>12</v>
      </c>
      <c r="I403" s="2" t="s">
        <v>13</v>
      </c>
      <c r="J403" s="2" t="s">
        <v>27</v>
      </c>
    </row>
    <row r="404" spans="1:10" x14ac:dyDescent="0.3">
      <c r="A404" s="2" t="str">
        <f>HYPERLINK("https://hsdes.intel.com/resource/14013165251","14013165251")</f>
        <v>14013165251</v>
      </c>
      <c r="B404" s="2" t="s">
        <v>861</v>
      </c>
      <c r="C404" s="2" t="s">
        <v>862</v>
      </c>
      <c r="D404" s="5" t="s">
        <v>526</v>
      </c>
      <c r="E404" s="2"/>
      <c r="F404" s="3" t="s">
        <v>10</v>
      </c>
      <c r="G404" s="2" t="s">
        <v>39</v>
      </c>
      <c r="H404" s="2" t="s">
        <v>12</v>
      </c>
      <c r="I404" s="2" t="s">
        <v>13</v>
      </c>
      <c r="J404" s="2" t="s">
        <v>27</v>
      </c>
    </row>
    <row r="405" spans="1:10" x14ac:dyDescent="0.3">
      <c r="A405" s="2" t="str">
        <f>HYPERLINK("https://hsdes.intel.com/resource/14013165266","14013165266")</f>
        <v>14013165266</v>
      </c>
      <c r="B405" s="2" t="s">
        <v>863</v>
      </c>
      <c r="C405" s="2" t="s">
        <v>864</v>
      </c>
      <c r="D405" s="5" t="s">
        <v>526</v>
      </c>
      <c r="E405" s="2"/>
      <c r="F405" s="3" t="s">
        <v>10</v>
      </c>
      <c r="G405" s="2" t="s">
        <v>11</v>
      </c>
      <c r="H405" s="2" t="s">
        <v>12</v>
      </c>
      <c r="I405" s="2" t="s">
        <v>13</v>
      </c>
      <c r="J405" s="2" t="s">
        <v>27</v>
      </c>
    </row>
    <row r="406" spans="1:10" x14ac:dyDescent="0.3">
      <c r="A406" s="2" t="str">
        <f>HYPERLINK("https://hsdes.intel.com/resource/14013165268","14013165268")</f>
        <v>14013165268</v>
      </c>
      <c r="B406" s="2" t="s">
        <v>865</v>
      </c>
      <c r="C406" s="2" t="s">
        <v>866</v>
      </c>
      <c r="D406" s="5" t="s">
        <v>526</v>
      </c>
      <c r="E406" s="2"/>
      <c r="F406" s="3" t="s">
        <v>10</v>
      </c>
      <c r="G406" s="2" t="s">
        <v>39</v>
      </c>
      <c r="H406" s="2" t="s">
        <v>12</v>
      </c>
      <c r="I406" s="2" t="s">
        <v>13</v>
      </c>
      <c r="J406" s="2" t="s">
        <v>27</v>
      </c>
    </row>
    <row r="407" spans="1:10" x14ac:dyDescent="0.3">
      <c r="A407" s="2" t="str">
        <f>HYPERLINK("https://hsdes.intel.com/resource/14013165277","14013165277")</f>
        <v>14013165277</v>
      </c>
      <c r="B407" s="2" t="s">
        <v>867</v>
      </c>
      <c r="C407" s="2" t="s">
        <v>868</v>
      </c>
      <c r="D407" s="5" t="s">
        <v>526</v>
      </c>
      <c r="E407" s="2"/>
      <c r="F407" s="3" t="s">
        <v>10</v>
      </c>
      <c r="G407" s="2" t="s">
        <v>11</v>
      </c>
      <c r="H407" s="2" t="s">
        <v>12</v>
      </c>
      <c r="I407" s="2" t="s">
        <v>13</v>
      </c>
      <c r="J407" s="2" t="s">
        <v>27</v>
      </c>
    </row>
    <row r="408" spans="1:10" x14ac:dyDescent="0.3">
      <c r="A408" s="2" t="str">
        <f>HYPERLINK("https://hsdes.intel.com/resource/14013165279","14013165279")</f>
        <v>14013165279</v>
      </c>
      <c r="B408" s="2" t="s">
        <v>869</v>
      </c>
      <c r="C408" s="2" t="s">
        <v>870</v>
      </c>
      <c r="D408" s="5" t="s">
        <v>526</v>
      </c>
      <c r="E408" s="2"/>
      <c r="F408" s="3" t="s">
        <v>10</v>
      </c>
      <c r="G408" s="2" t="s">
        <v>39</v>
      </c>
      <c r="H408" s="2" t="s">
        <v>12</v>
      </c>
      <c r="I408" s="2" t="s">
        <v>13</v>
      </c>
      <c r="J408" s="2" t="s">
        <v>27</v>
      </c>
    </row>
    <row r="409" spans="1:10" x14ac:dyDescent="0.3">
      <c r="A409" s="2" t="str">
        <f>HYPERLINK("https://hsdes.intel.com/resource/14013165283","14013165283")</f>
        <v>14013165283</v>
      </c>
      <c r="B409" s="2" t="s">
        <v>871</v>
      </c>
      <c r="C409" s="2" t="s">
        <v>872</v>
      </c>
      <c r="D409" s="5" t="s">
        <v>526</v>
      </c>
      <c r="E409" s="2"/>
      <c r="F409" s="3" t="s">
        <v>10</v>
      </c>
      <c r="G409" s="2" t="s">
        <v>11</v>
      </c>
      <c r="H409" s="2" t="s">
        <v>12</v>
      </c>
      <c r="I409" s="2" t="s">
        <v>13</v>
      </c>
      <c r="J409" s="2" t="s">
        <v>27</v>
      </c>
    </row>
    <row r="410" spans="1:10" x14ac:dyDescent="0.3">
      <c r="A410" s="2" t="str">
        <f>HYPERLINK("https://hsdes.intel.com/resource/14013165285","14013165285")</f>
        <v>14013165285</v>
      </c>
      <c r="B410" s="2" t="s">
        <v>873</v>
      </c>
      <c r="C410" s="2" t="s">
        <v>874</v>
      </c>
      <c r="D410" s="5" t="s">
        <v>526</v>
      </c>
      <c r="E410" s="2"/>
      <c r="F410" s="3" t="s">
        <v>10</v>
      </c>
      <c r="G410" s="2" t="s">
        <v>39</v>
      </c>
      <c r="H410" s="2" t="s">
        <v>12</v>
      </c>
      <c r="I410" s="2" t="s">
        <v>13</v>
      </c>
      <c r="J410" s="2" t="s">
        <v>27</v>
      </c>
    </row>
    <row r="411" spans="1:10" x14ac:dyDescent="0.3">
      <c r="A411" s="2" t="str">
        <f>HYPERLINK("https://hsdes.intel.com/resource/14013165349","14013165349")</f>
        <v>14013165349</v>
      </c>
      <c r="B411" s="2" t="s">
        <v>875</v>
      </c>
      <c r="C411" s="2" t="s">
        <v>876</v>
      </c>
      <c r="D411" s="7" t="s">
        <v>369</v>
      </c>
      <c r="E411" s="2" t="s">
        <v>877</v>
      </c>
      <c r="F411" s="3" t="s">
        <v>10</v>
      </c>
      <c r="G411" s="2" t="s">
        <v>39</v>
      </c>
      <c r="H411" s="2" t="s">
        <v>12</v>
      </c>
      <c r="I411" s="2" t="s">
        <v>13</v>
      </c>
      <c r="J411" s="2" t="s">
        <v>14</v>
      </c>
    </row>
    <row r="412" spans="1:10" x14ac:dyDescent="0.3">
      <c r="A412" s="2" t="str">
        <f>HYPERLINK("https://hsdes.intel.com/resource/14013165361","14013165361")</f>
        <v>14013165361</v>
      </c>
      <c r="B412" s="2" t="s">
        <v>878</v>
      </c>
      <c r="C412" s="2" t="s">
        <v>879</v>
      </c>
      <c r="D412" s="7" t="s">
        <v>369</v>
      </c>
      <c r="E412" s="2" t="s">
        <v>877</v>
      </c>
      <c r="F412" s="3" t="s">
        <v>10</v>
      </c>
      <c r="G412" s="2" t="s">
        <v>39</v>
      </c>
      <c r="H412" s="2" t="s">
        <v>12</v>
      </c>
      <c r="I412" s="2" t="s">
        <v>13</v>
      </c>
      <c r="J412" s="2" t="s">
        <v>14</v>
      </c>
    </row>
    <row r="413" spans="1:10" x14ac:dyDescent="0.3">
      <c r="A413" s="2" t="str">
        <f>HYPERLINK("https://hsdes.intel.com/resource/14013165372","14013165372")</f>
        <v>14013165372</v>
      </c>
      <c r="B413" s="2" t="s">
        <v>880</v>
      </c>
      <c r="C413" s="2" t="s">
        <v>881</v>
      </c>
      <c r="D413" s="7" t="s">
        <v>369</v>
      </c>
      <c r="E413" s="2" t="s">
        <v>877</v>
      </c>
      <c r="F413" s="3" t="s">
        <v>10</v>
      </c>
      <c r="G413" s="2" t="s">
        <v>39</v>
      </c>
      <c r="H413" s="2" t="s">
        <v>12</v>
      </c>
      <c r="I413" s="2" t="s">
        <v>13</v>
      </c>
      <c r="J413" s="2" t="s">
        <v>14</v>
      </c>
    </row>
    <row r="414" spans="1:10" x14ac:dyDescent="0.3">
      <c r="A414" s="2" t="str">
        <f>HYPERLINK("https://hsdes.intel.com/resource/14013165375","14013165375")</f>
        <v>14013165375</v>
      </c>
      <c r="B414" s="2" t="s">
        <v>882</v>
      </c>
      <c r="C414" s="2" t="s">
        <v>883</v>
      </c>
      <c r="D414" s="7" t="s">
        <v>369</v>
      </c>
      <c r="E414" s="2" t="s">
        <v>877</v>
      </c>
      <c r="F414" s="3" t="s">
        <v>10</v>
      </c>
      <c r="G414" s="2" t="s">
        <v>39</v>
      </c>
      <c r="H414" s="2" t="s">
        <v>12</v>
      </c>
      <c r="I414" s="2" t="s">
        <v>13</v>
      </c>
      <c r="J414" s="2" t="s">
        <v>14</v>
      </c>
    </row>
    <row r="415" spans="1:10" x14ac:dyDescent="0.3">
      <c r="A415" s="2" t="str">
        <f>HYPERLINK("https://hsdes.intel.com/resource/14013165383","14013165383")</f>
        <v>14013165383</v>
      </c>
      <c r="B415" s="2" t="s">
        <v>884</v>
      </c>
      <c r="C415" s="2" t="s">
        <v>885</v>
      </c>
      <c r="D415" s="5" t="s">
        <v>526</v>
      </c>
      <c r="E415" s="2"/>
      <c r="F415" s="3" t="s">
        <v>10</v>
      </c>
      <c r="G415" s="2" t="s">
        <v>11</v>
      </c>
      <c r="H415" s="2" t="s">
        <v>12</v>
      </c>
      <c r="I415" s="2" t="s">
        <v>13</v>
      </c>
      <c r="J415" s="2" t="s">
        <v>14</v>
      </c>
    </row>
    <row r="416" spans="1:10" x14ac:dyDescent="0.3">
      <c r="A416" s="2">
        <v>14013165391</v>
      </c>
      <c r="B416" s="2" t="s">
        <v>886</v>
      </c>
      <c r="C416" s="2" t="s">
        <v>887</v>
      </c>
      <c r="D416" s="5" t="s">
        <v>526</v>
      </c>
      <c r="E416" s="2"/>
      <c r="F416" s="3" t="s">
        <v>10</v>
      </c>
      <c r="G416" s="2" t="s">
        <v>11</v>
      </c>
      <c r="H416" s="2" t="s">
        <v>12</v>
      </c>
      <c r="I416" s="2" t="s">
        <v>13</v>
      </c>
      <c r="J416" s="2" t="s">
        <v>14</v>
      </c>
    </row>
    <row r="417" spans="1:10" x14ac:dyDescent="0.3">
      <c r="A417" s="2" t="str">
        <f>HYPERLINK("https://hsdes.intel.com/resource/14013165397","14013165397")</f>
        <v>14013165397</v>
      </c>
      <c r="B417" s="2" t="s">
        <v>888</v>
      </c>
      <c r="C417" s="2" t="s">
        <v>889</v>
      </c>
      <c r="D417" s="5" t="s">
        <v>526</v>
      </c>
      <c r="E417" s="2"/>
      <c r="F417" s="3" t="s">
        <v>10</v>
      </c>
      <c r="G417" s="2" t="s">
        <v>11</v>
      </c>
      <c r="H417" s="2" t="s">
        <v>12</v>
      </c>
      <c r="I417" s="2" t="s">
        <v>13</v>
      </c>
      <c r="J417" s="2" t="s">
        <v>14</v>
      </c>
    </row>
    <row r="418" spans="1:10" x14ac:dyDescent="0.3">
      <c r="A418" s="2" t="str">
        <f>HYPERLINK("https://hsdes.intel.com/resource/14013165401","14013165401")</f>
        <v>14013165401</v>
      </c>
      <c r="B418" s="2" t="s">
        <v>890</v>
      </c>
      <c r="C418" s="2" t="s">
        <v>891</v>
      </c>
      <c r="D418" s="5" t="s">
        <v>526</v>
      </c>
      <c r="E418" s="2"/>
      <c r="F418" s="3" t="s">
        <v>10</v>
      </c>
      <c r="G418" s="2" t="s">
        <v>11</v>
      </c>
      <c r="H418" s="2" t="s">
        <v>12</v>
      </c>
      <c r="I418" s="2" t="s">
        <v>13</v>
      </c>
      <c r="J418" s="2" t="s">
        <v>14</v>
      </c>
    </row>
    <row r="419" spans="1:10" x14ac:dyDescent="0.3">
      <c r="A419" s="2" t="str">
        <f>HYPERLINK("https://hsdes.intel.com/resource/14013165406","14013165406")</f>
        <v>14013165406</v>
      </c>
      <c r="B419" s="2" t="s">
        <v>892</v>
      </c>
      <c r="C419" s="2" t="s">
        <v>893</v>
      </c>
      <c r="D419" s="5" t="s">
        <v>526</v>
      </c>
      <c r="E419" s="2"/>
      <c r="F419" s="3" t="s">
        <v>10</v>
      </c>
      <c r="G419" s="2" t="s">
        <v>11</v>
      </c>
      <c r="H419" s="2" t="s">
        <v>12</v>
      </c>
      <c r="I419" s="2" t="s">
        <v>13</v>
      </c>
      <c r="J419" s="2" t="s">
        <v>14</v>
      </c>
    </row>
    <row r="420" spans="1:10" x14ac:dyDescent="0.3">
      <c r="A420" s="2" t="str">
        <f>HYPERLINK("https://hsdes.intel.com/resource/14013165413","14013165413")</f>
        <v>14013165413</v>
      </c>
      <c r="B420" s="2" t="s">
        <v>894</v>
      </c>
      <c r="C420" s="2" t="s">
        <v>895</v>
      </c>
      <c r="D420" s="5" t="s">
        <v>526</v>
      </c>
      <c r="E420" s="2"/>
      <c r="F420" s="3" t="s">
        <v>10</v>
      </c>
      <c r="G420" s="2" t="s">
        <v>11</v>
      </c>
      <c r="H420" s="2" t="s">
        <v>12</v>
      </c>
      <c r="I420" s="2" t="s">
        <v>13</v>
      </c>
      <c r="J420" s="2" t="s">
        <v>14</v>
      </c>
    </row>
    <row r="421" spans="1:10" x14ac:dyDescent="0.3">
      <c r="A421" s="2" t="str">
        <f>HYPERLINK("https://hsdes.intel.com/resource/14013165418","14013165418")</f>
        <v>14013165418</v>
      </c>
      <c r="B421" s="2" t="s">
        <v>896</v>
      </c>
      <c r="C421" s="2" t="s">
        <v>897</v>
      </c>
      <c r="D421" s="5" t="s">
        <v>526</v>
      </c>
      <c r="E421" s="2"/>
      <c r="F421" s="3" t="s">
        <v>10</v>
      </c>
      <c r="G421" s="2" t="s">
        <v>11</v>
      </c>
      <c r="H421" s="2" t="s">
        <v>12</v>
      </c>
      <c r="I421" s="2" t="s">
        <v>13</v>
      </c>
      <c r="J421" s="2" t="s">
        <v>14</v>
      </c>
    </row>
    <row r="422" spans="1:10" x14ac:dyDescent="0.3">
      <c r="A422" s="2" t="str">
        <f>HYPERLINK("https://hsdes.intel.com/resource/14013165427","14013165427")</f>
        <v>14013165427</v>
      </c>
      <c r="B422" s="2" t="s">
        <v>898</v>
      </c>
      <c r="C422" s="2" t="s">
        <v>899</v>
      </c>
      <c r="D422" s="5" t="s">
        <v>526</v>
      </c>
      <c r="E422" s="2"/>
      <c r="F422" s="3" t="s">
        <v>10</v>
      </c>
      <c r="G422" s="2" t="s">
        <v>11</v>
      </c>
      <c r="H422" s="2" t="s">
        <v>12</v>
      </c>
      <c r="I422" s="2" t="s">
        <v>13</v>
      </c>
      <c r="J422" s="2" t="s">
        <v>14</v>
      </c>
    </row>
    <row r="423" spans="1:10" x14ac:dyDescent="0.3">
      <c r="A423" s="2" t="str">
        <f>HYPERLINK("https://hsdes.intel.com/resource/14013165430","14013165430")</f>
        <v>14013165430</v>
      </c>
      <c r="B423" s="2" t="s">
        <v>900</v>
      </c>
      <c r="C423" s="2" t="s">
        <v>901</v>
      </c>
      <c r="D423" s="5" t="s">
        <v>526</v>
      </c>
      <c r="E423" s="2"/>
      <c r="F423" s="3" t="s">
        <v>10</v>
      </c>
      <c r="G423" s="2" t="s">
        <v>11</v>
      </c>
      <c r="H423" s="2" t="s">
        <v>12</v>
      </c>
      <c r="I423" s="2" t="s">
        <v>13</v>
      </c>
      <c r="J423" s="2" t="s">
        <v>14</v>
      </c>
    </row>
    <row r="424" spans="1:10" x14ac:dyDescent="0.3">
      <c r="A424" s="2" t="str">
        <f>HYPERLINK("https://hsdes.intel.com/resource/14013165431","14013165431")</f>
        <v>14013165431</v>
      </c>
      <c r="B424" s="2" t="s">
        <v>902</v>
      </c>
      <c r="C424" s="2" t="s">
        <v>903</v>
      </c>
      <c r="D424" s="5" t="s">
        <v>526</v>
      </c>
      <c r="E424" s="2"/>
      <c r="F424" s="3" t="s">
        <v>10</v>
      </c>
      <c r="G424" s="2" t="s">
        <v>11</v>
      </c>
      <c r="H424" s="2" t="s">
        <v>12</v>
      </c>
      <c r="I424" s="2" t="s">
        <v>13</v>
      </c>
      <c r="J424" s="2" t="s">
        <v>14</v>
      </c>
    </row>
    <row r="425" spans="1:10" x14ac:dyDescent="0.3">
      <c r="A425" s="2" t="str">
        <f>HYPERLINK("https://hsdes.intel.com/resource/14013165436","14013165436")</f>
        <v>14013165436</v>
      </c>
      <c r="B425" s="2" t="s">
        <v>904</v>
      </c>
      <c r="C425" s="2" t="s">
        <v>905</v>
      </c>
      <c r="D425" s="5" t="s">
        <v>526</v>
      </c>
      <c r="E425" s="2"/>
      <c r="F425" s="3" t="s">
        <v>10</v>
      </c>
      <c r="G425" s="2" t="s">
        <v>11</v>
      </c>
      <c r="H425" s="2" t="s">
        <v>12</v>
      </c>
      <c r="I425" s="2" t="s">
        <v>13</v>
      </c>
      <c r="J425" s="2" t="s">
        <v>14</v>
      </c>
    </row>
    <row r="426" spans="1:10" x14ac:dyDescent="0.3">
      <c r="A426" s="2" t="str">
        <f>HYPERLINK("https://hsdes.intel.com/resource/14013165438","14013165438")</f>
        <v>14013165438</v>
      </c>
      <c r="B426" s="2" t="s">
        <v>906</v>
      </c>
      <c r="C426" s="2" t="s">
        <v>907</v>
      </c>
      <c r="D426" s="5" t="s">
        <v>526</v>
      </c>
      <c r="E426" s="2"/>
      <c r="F426" s="3" t="s">
        <v>10</v>
      </c>
      <c r="G426" s="2" t="s">
        <v>11</v>
      </c>
      <c r="H426" s="2" t="s">
        <v>12</v>
      </c>
      <c r="I426" s="2" t="s">
        <v>13</v>
      </c>
      <c r="J426" s="2" t="s">
        <v>14</v>
      </c>
    </row>
    <row r="427" spans="1:10" x14ac:dyDescent="0.3">
      <c r="A427" s="2" t="str">
        <f>HYPERLINK("https://hsdes.intel.com/resource/14013165440","14013165440")</f>
        <v>14013165440</v>
      </c>
      <c r="B427" s="2" t="s">
        <v>908</v>
      </c>
      <c r="C427" s="2" t="s">
        <v>909</v>
      </c>
      <c r="D427" s="5" t="s">
        <v>526</v>
      </c>
      <c r="E427" s="2"/>
      <c r="F427" s="3" t="s">
        <v>10</v>
      </c>
      <c r="G427" s="2" t="s">
        <v>11</v>
      </c>
      <c r="H427" s="2" t="s">
        <v>12</v>
      </c>
      <c r="I427" s="2" t="s">
        <v>13</v>
      </c>
      <c r="J427" s="2" t="s">
        <v>14</v>
      </c>
    </row>
    <row r="428" spans="1:10" x14ac:dyDescent="0.3">
      <c r="A428" s="2" t="str">
        <f>HYPERLINK("https://hsdes.intel.com/resource/14013165443","14013165443")</f>
        <v>14013165443</v>
      </c>
      <c r="B428" s="2" t="s">
        <v>910</v>
      </c>
      <c r="C428" s="2" t="s">
        <v>911</v>
      </c>
      <c r="D428" s="5" t="s">
        <v>526</v>
      </c>
      <c r="E428" s="2"/>
      <c r="F428" s="3" t="s">
        <v>10</v>
      </c>
      <c r="G428" s="2" t="s">
        <v>11</v>
      </c>
      <c r="H428" s="2" t="s">
        <v>12</v>
      </c>
      <c r="I428" s="2" t="s">
        <v>13</v>
      </c>
      <c r="J428" s="2" t="s">
        <v>14</v>
      </c>
    </row>
    <row r="429" spans="1:10" x14ac:dyDescent="0.3">
      <c r="A429" s="2" t="str">
        <f>HYPERLINK("https://hsdes.intel.com/resource/14013165445","14013165445")</f>
        <v>14013165445</v>
      </c>
      <c r="B429" s="2" t="s">
        <v>912</v>
      </c>
      <c r="C429" s="2" t="s">
        <v>913</v>
      </c>
      <c r="D429" s="5" t="s">
        <v>526</v>
      </c>
      <c r="E429" s="2"/>
      <c r="F429" s="3" t="s">
        <v>10</v>
      </c>
      <c r="G429" s="2" t="s">
        <v>11</v>
      </c>
      <c r="H429" s="2" t="s">
        <v>12</v>
      </c>
      <c r="I429" s="2" t="s">
        <v>13</v>
      </c>
      <c r="J429" s="2" t="s">
        <v>14</v>
      </c>
    </row>
    <row r="430" spans="1:10" x14ac:dyDescent="0.3">
      <c r="A430" s="2" t="str">
        <f>HYPERLINK("https://hsdes.intel.com/resource/14013165449","14013165449")</f>
        <v>14013165449</v>
      </c>
      <c r="B430" s="2" t="s">
        <v>914</v>
      </c>
      <c r="C430" s="2" t="s">
        <v>915</v>
      </c>
      <c r="D430" s="5" t="s">
        <v>526</v>
      </c>
      <c r="E430" s="2"/>
      <c r="F430" s="3" t="s">
        <v>10</v>
      </c>
      <c r="G430" s="2" t="s">
        <v>11</v>
      </c>
      <c r="H430" s="2" t="s">
        <v>12</v>
      </c>
      <c r="I430" s="2" t="s">
        <v>13</v>
      </c>
      <c r="J430" s="2" t="s">
        <v>14</v>
      </c>
    </row>
    <row r="431" spans="1:10" x14ac:dyDescent="0.3">
      <c r="A431" s="2" t="str">
        <f>HYPERLINK("https://hsdes.intel.com/resource/14013165473","14013165473")</f>
        <v>14013165473</v>
      </c>
      <c r="B431" s="2" t="s">
        <v>916</v>
      </c>
      <c r="C431" s="2" t="s">
        <v>917</v>
      </c>
      <c r="D431" s="5" t="s">
        <v>526</v>
      </c>
      <c r="E431" s="2"/>
      <c r="F431" s="3" t="s">
        <v>10</v>
      </c>
      <c r="G431" s="2" t="s">
        <v>11</v>
      </c>
      <c r="H431" s="2" t="s">
        <v>12</v>
      </c>
      <c r="I431" s="2" t="s">
        <v>13</v>
      </c>
      <c r="J431" s="2" t="s">
        <v>27</v>
      </c>
    </row>
    <row r="432" spans="1:10" x14ac:dyDescent="0.3">
      <c r="A432" s="2" t="str">
        <f>HYPERLINK("https://hsdes.intel.com/resource/14013165480","14013165480")</f>
        <v>14013165480</v>
      </c>
      <c r="B432" s="2" t="s">
        <v>918</v>
      </c>
      <c r="C432" s="2" t="s">
        <v>919</v>
      </c>
      <c r="D432" s="5" t="s">
        <v>526</v>
      </c>
      <c r="E432" s="2"/>
      <c r="F432" s="3" t="s">
        <v>10</v>
      </c>
      <c r="G432" s="2" t="s">
        <v>11</v>
      </c>
      <c r="H432" s="2" t="s">
        <v>12</v>
      </c>
      <c r="I432" s="2" t="s">
        <v>13</v>
      </c>
      <c r="J432" s="2" t="s">
        <v>27</v>
      </c>
    </row>
    <row r="433" spans="1:10" x14ac:dyDescent="0.3">
      <c r="A433" s="2" t="str">
        <f>HYPERLINK("https://hsdes.intel.com/resource/14013165539","14013165539")</f>
        <v>14013165539</v>
      </c>
      <c r="B433" s="2" t="s">
        <v>920</v>
      </c>
      <c r="C433" s="2" t="s">
        <v>921</v>
      </c>
      <c r="D433" s="5" t="s">
        <v>526</v>
      </c>
      <c r="E433" s="2"/>
      <c r="F433" s="3" t="s">
        <v>10</v>
      </c>
      <c r="G433" s="2" t="s">
        <v>11</v>
      </c>
      <c r="H433" s="2" t="s">
        <v>282</v>
      </c>
      <c r="I433" s="2" t="s">
        <v>54</v>
      </c>
      <c r="J433" s="2" t="s">
        <v>32</v>
      </c>
    </row>
    <row r="434" spans="1:10" x14ac:dyDescent="0.3">
      <c r="A434" s="4" t="str">
        <f>HYPERLINK("https://hsdes.intel.com/resource/14013165605","14013165605")</f>
        <v>14013165605</v>
      </c>
      <c r="B434" s="2" t="s">
        <v>922</v>
      </c>
      <c r="C434" s="2" t="s">
        <v>923</v>
      </c>
      <c r="D434" s="5" t="s">
        <v>526</v>
      </c>
      <c r="E434" s="2"/>
      <c r="F434" s="3" t="s">
        <v>10</v>
      </c>
      <c r="G434" s="2" t="s">
        <v>11</v>
      </c>
      <c r="H434" s="2" t="s">
        <v>109</v>
      </c>
      <c r="I434" s="2" t="s">
        <v>110</v>
      </c>
      <c r="J434" s="2" t="s">
        <v>27</v>
      </c>
    </row>
    <row r="435" spans="1:10" x14ac:dyDescent="0.3">
      <c r="A435" s="2" t="str">
        <f>HYPERLINK("https://hsdes.intel.com/resource/14013165719","14013165719")</f>
        <v>14013165719</v>
      </c>
      <c r="B435" s="2" t="s">
        <v>924</v>
      </c>
      <c r="C435" s="2" t="s">
        <v>925</v>
      </c>
      <c r="D435" s="5" t="s">
        <v>526</v>
      </c>
      <c r="E435" s="2"/>
      <c r="F435" s="3" t="s">
        <v>10</v>
      </c>
      <c r="G435" s="2" t="s">
        <v>11</v>
      </c>
      <c r="H435" s="2" t="s">
        <v>109</v>
      </c>
      <c r="I435" s="2" t="s">
        <v>110</v>
      </c>
      <c r="J435" s="2" t="s">
        <v>14</v>
      </c>
    </row>
    <row r="436" spans="1:10" x14ac:dyDescent="0.3">
      <c r="A436" s="2" t="str">
        <f>HYPERLINK("https://hsdes.intel.com/resource/14013165731","14013165731")</f>
        <v>14013165731</v>
      </c>
      <c r="B436" s="2" t="s">
        <v>926</v>
      </c>
      <c r="C436" s="2" t="s">
        <v>927</v>
      </c>
      <c r="D436" s="5" t="s">
        <v>526</v>
      </c>
      <c r="E436" s="2"/>
      <c r="F436" s="3" t="s">
        <v>10</v>
      </c>
      <c r="G436" s="2" t="s">
        <v>11</v>
      </c>
      <c r="H436" s="2" t="s">
        <v>109</v>
      </c>
      <c r="I436" s="2" t="s">
        <v>110</v>
      </c>
      <c r="J436" s="2" t="s">
        <v>14</v>
      </c>
    </row>
    <row r="437" spans="1:10" x14ac:dyDescent="0.3">
      <c r="A437" s="2" t="str">
        <f>HYPERLINK("https://hsdes.intel.com/resource/14013165744","14013165744")</f>
        <v>14013165744</v>
      </c>
      <c r="B437" s="2" t="s">
        <v>928</v>
      </c>
      <c r="C437" s="2" t="s">
        <v>929</v>
      </c>
      <c r="D437" s="5" t="s">
        <v>526</v>
      </c>
      <c r="E437" s="2"/>
      <c r="F437" s="3" t="s">
        <v>10</v>
      </c>
      <c r="G437" s="2" t="s">
        <v>11</v>
      </c>
      <c r="H437" s="2" t="s">
        <v>109</v>
      </c>
      <c r="I437" s="2" t="s">
        <v>110</v>
      </c>
      <c r="J437" s="2" t="s">
        <v>14</v>
      </c>
    </row>
    <row r="438" spans="1:10" x14ac:dyDescent="0.3">
      <c r="A438" s="2" t="str">
        <f>HYPERLINK("https://hsdes.intel.com/resource/14013165750","14013165750")</f>
        <v>14013165750</v>
      </c>
      <c r="B438" s="2" t="s">
        <v>930</v>
      </c>
      <c r="C438" s="2" t="s">
        <v>931</v>
      </c>
      <c r="D438" s="5" t="s">
        <v>526</v>
      </c>
      <c r="E438" s="2"/>
      <c r="F438" s="3" t="s">
        <v>10</v>
      </c>
      <c r="G438" s="2" t="s">
        <v>11</v>
      </c>
      <c r="H438" s="2" t="s">
        <v>109</v>
      </c>
      <c r="I438" s="2" t="s">
        <v>110</v>
      </c>
      <c r="J438" s="2" t="s">
        <v>14</v>
      </c>
    </row>
    <row r="439" spans="1:10" x14ac:dyDescent="0.3">
      <c r="A439" s="2" t="str">
        <f>HYPERLINK("https://hsdes.intel.com/resource/14013165754","14013165754")</f>
        <v>14013165754</v>
      </c>
      <c r="B439" s="2" t="s">
        <v>932</v>
      </c>
      <c r="C439" s="2" t="s">
        <v>933</v>
      </c>
      <c r="D439" s="5" t="s">
        <v>526</v>
      </c>
      <c r="E439" s="2"/>
      <c r="F439" s="3" t="s">
        <v>10</v>
      </c>
      <c r="G439" s="2" t="s">
        <v>11</v>
      </c>
      <c r="H439" s="2" t="s">
        <v>109</v>
      </c>
      <c r="I439" s="2" t="s">
        <v>110</v>
      </c>
      <c r="J439" s="2" t="s">
        <v>14</v>
      </c>
    </row>
    <row r="440" spans="1:10" x14ac:dyDescent="0.3">
      <c r="A440" s="2" t="str">
        <f>HYPERLINK("https://hsdes.intel.com/resource/14013165756","14013165756")</f>
        <v>14013165756</v>
      </c>
      <c r="B440" s="2" t="s">
        <v>934</v>
      </c>
      <c r="C440" s="2" t="s">
        <v>935</v>
      </c>
      <c r="D440" s="5" t="s">
        <v>526</v>
      </c>
      <c r="E440" s="2"/>
      <c r="F440" s="3" t="s">
        <v>10</v>
      </c>
      <c r="G440" s="2" t="s">
        <v>11</v>
      </c>
      <c r="H440" s="2" t="s">
        <v>109</v>
      </c>
      <c r="I440" s="2" t="s">
        <v>110</v>
      </c>
      <c r="J440" s="2" t="s">
        <v>14</v>
      </c>
    </row>
    <row r="441" spans="1:10" x14ac:dyDescent="0.3">
      <c r="A441" s="2" t="str">
        <f>HYPERLINK("https://hsdes.intel.com/resource/14013165758","14013165758")</f>
        <v>14013165758</v>
      </c>
      <c r="B441" s="2" t="s">
        <v>936</v>
      </c>
      <c r="C441" s="2" t="s">
        <v>937</v>
      </c>
      <c r="D441" s="5" t="s">
        <v>526</v>
      </c>
      <c r="E441" s="2"/>
      <c r="F441" s="3" t="s">
        <v>10</v>
      </c>
      <c r="G441" s="2" t="s">
        <v>11</v>
      </c>
      <c r="H441" s="2" t="s">
        <v>109</v>
      </c>
      <c r="I441" s="2" t="s">
        <v>110</v>
      </c>
      <c r="J441" s="2" t="s">
        <v>27</v>
      </c>
    </row>
    <row r="442" spans="1:10" x14ac:dyDescent="0.3">
      <c r="A442" s="2" t="str">
        <f>HYPERLINK("https://hsdes.intel.com/resource/14013165760","14013165760")</f>
        <v>14013165760</v>
      </c>
      <c r="B442" s="2" t="s">
        <v>938</v>
      </c>
      <c r="C442" s="2" t="s">
        <v>939</v>
      </c>
      <c r="D442" s="5" t="s">
        <v>526</v>
      </c>
      <c r="E442" s="2"/>
      <c r="F442" s="3" t="s">
        <v>10</v>
      </c>
      <c r="G442" s="2" t="s">
        <v>11</v>
      </c>
      <c r="H442" s="2" t="s">
        <v>109</v>
      </c>
      <c r="I442" s="2" t="s">
        <v>110</v>
      </c>
      <c r="J442" s="2" t="s">
        <v>14</v>
      </c>
    </row>
    <row r="443" spans="1:10" x14ac:dyDescent="0.3">
      <c r="A443" s="2" t="str">
        <f>HYPERLINK("https://hsdes.intel.com/resource/14013165764","14013165764")</f>
        <v>14013165764</v>
      </c>
      <c r="B443" s="2" t="s">
        <v>940</v>
      </c>
      <c r="C443" s="2" t="s">
        <v>941</v>
      </c>
      <c r="D443" s="5" t="s">
        <v>526</v>
      </c>
      <c r="E443" s="2"/>
      <c r="F443" s="3" t="s">
        <v>10</v>
      </c>
      <c r="G443" s="2" t="s">
        <v>11</v>
      </c>
      <c r="H443" s="2" t="s">
        <v>109</v>
      </c>
      <c r="I443" s="2" t="s">
        <v>110</v>
      </c>
      <c r="J443" s="2" t="s">
        <v>14</v>
      </c>
    </row>
    <row r="444" spans="1:10" x14ac:dyDescent="0.3">
      <c r="A444" s="2" t="str">
        <f>HYPERLINK("https://hsdes.intel.com/resource/14013165921","14013165921")</f>
        <v>14013165921</v>
      </c>
      <c r="B444" s="2" t="s">
        <v>922</v>
      </c>
      <c r="C444" s="2" t="s">
        <v>942</v>
      </c>
      <c r="D444" s="5" t="s">
        <v>526</v>
      </c>
      <c r="E444" s="2"/>
      <c r="F444" s="3" t="s">
        <v>10</v>
      </c>
      <c r="G444" s="2" t="s">
        <v>11</v>
      </c>
      <c r="H444" s="2" t="s">
        <v>109</v>
      </c>
      <c r="I444" s="2" t="s">
        <v>110</v>
      </c>
      <c r="J444" s="2" t="s">
        <v>27</v>
      </c>
    </row>
    <row r="445" spans="1:10" x14ac:dyDescent="0.3">
      <c r="A445" s="2" t="str">
        <f>HYPERLINK("https://hsdes.intel.com/resource/14013165927","14013165927")</f>
        <v>14013165927</v>
      </c>
      <c r="B445" s="2" t="s">
        <v>943</v>
      </c>
      <c r="C445" s="2" t="s">
        <v>944</v>
      </c>
      <c r="D445" s="5" t="s">
        <v>526</v>
      </c>
      <c r="E445" s="2"/>
      <c r="F445" s="3" t="s">
        <v>10</v>
      </c>
      <c r="G445" s="2" t="s">
        <v>11</v>
      </c>
      <c r="H445" s="2" t="s">
        <v>265</v>
      </c>
      <c r="I445" s="2" t="s">
        <v>266</v>
      </c>
      <c r="J445" s="2" t="s">
        <v>32</v>
      </c>
    </row>
    <row r="446" spans="1:10" x14ac:dyDescent="0.3">
      <c r="A446" s="2" t="str">
        <f>HYPERLINK("https://hsdes.intel.com/resource/14013166261","14013166261")</f>
        <v>14013166261</v>
      </c>
      <c r="B446" s="2" t="s">
        <v>945</v>
      </c>
      <c r="C446" s="2" t="s">
        <v>946</v>
      </c>
      <c r="D446" s="5" t="s">
        <v>526</v>
      </c>
      <c r="E446" s="2"/>
      <c r="F446" s="3" t="s">
        <v>10</v>
      </c>
      <c r="G446" s="2" t="s">
        <v>11</v>
      </c>
      <c r="H446" s="2" t="s">
        <v>947</v>
      </c>
      <c r="I446" s="2" t="s">
        <v>50</v>
      </c>
      <c r="J446" s="2" t="s">
        <v>14</v>
      </c>
    </row>
    <row r="447" spans="1:10" x14ac:dyDescent="0.3">
      <c r="A447" s="2" t="str">
        <f>HYPERLINK("https://hsdes.intel.com/resource/14013166925","14013166925")</f>
        <v>14013166925</v>
      </c>
      <c r="B447" s="2" t="s">
        <v>948</v>
      </c>
      <c r="C447" s="2" t="s">
        <v>949</v>
      </c>
      <c r="D447" s="5" t="s">
        <v>526</v>
      </c>
      <c r="E447" s="2"/>
      <c r="F447" s="3" t="s">
        <v>10</v>
      </c>
      <c r="G447" s="2" t="s">
        <v>11</v>
      </c>
      <c r="H447" s="2" t="s">
        <v>17</v>
      </c>
      <c r="I447" s="2" t="s">
        <v>18</v>
      </c>
      <c r="J447" s="2" t="s">
        <v>14</v>
      </c>
    </row>
    <row r="448" spans="1:10" x14ac:dyDescent="0.3">
      <c r="A448" s="2" t="str">
        <f>HYPERLINK("https://hsdes.intel.com/resource/14013166943","14013166943")</f>
        <v>14013166943</v>
      </c>
      <c r="B448" s="2" t="s">
        <v>950</v>
      </c>
      <c r="C448" s="2" t="s">
        <v>951</v>
      </c>
      <c r="D448" s="5" t="s">
        <v>526</v>
      </c>
      <c r="E448" s="2"/>
      <c r="F448" s="3" t="s">
        <v>10</v>
      </c>
      <c r="G448" s="2" t="s">
        <v>11</v>
      </c>
      <c r="H448" s="2" t="s">
        <v>17</v>
      </c>
      <c r="I448" s="2" t="s">
        <v>18</v>
      </c>
      <c r="J448" s="2" t="s">
        <v>32</v>
      </c>
    </row>
    <row r="449" spans="1:10" x14ac:dyDescent="0.3">
      <c r="A449" s="2" t="str">
        <f>HYPERLINK("https://hsdes.intel.com/resource/14013166957","14013166957")</f>
        <v>14013166957</v>
      </c>
      <c r="B449" s="2" t="s">
        <v>952</v>
      </c>
      <c r="C449" s="2" t="s">
        <v>953</v>
      </c>
      <c r="D449" s="5" t="s">
        <v>526</v>
      </c>
      <c r="E449" s="2"/>
      <c r="F449" s="3" t="s">
        <v>10</v>
      </c>
      <c r="G449" s="2" t="s">
        <v>11</v>
      </c>
      <c r="H449" s="2" t="s">
        <v>17</v>
      </c>
      <c r="I449" s="2" t="s">
        <v>18</v>
      </c>
      <c r="J449" s="2" t="s">
        <v>14</v>
      </c>
    </row>
    <row r="450" spans="1:10" x14ac:dyDescent="0.3">
      <c r="A450" s="2" t="str">
        <f>HYPERLINK("https://hsdes.intel.com/resource/14013167005","14013167005")</f>
        <v>14013167005</v>
      </c>
      <c r="B450" s="2" t="s">
        <v>954</v>
      </c>
      <c r="C450" s="2" t="s">
        <v>955</v>
      </c>
      <c r="D450" s="5" t="s">
        <v>526</v>
      </c>
      <c r="E450" s="2"/>
      <c r="F450" s="3" t="s">
        <v>10</v>
      </c>
      <c r="G450" s="2" t="s">
        <v>11</v>
      </c>
      <c r="H450" s="2" t="s">
        <v>17</v>
      </c>
      <c r="I450" s="2" t="s">
        <v>18</v>
      </c>
      <c r="J450" s="2" t="s">
        <v>32</v>
      </c>
    </row>
    <row r="451" spans="1:10" x14ac:dyDescent="0.3">
      <c r="A451" s="2" t="str">
        <f>HYPERLINK("https://hsdes.intel.com/resource/14013167054","14013167054")</f>
        <v>14013167054</v>
      </c>
      <c r="B451" s="2" t="s">
        <v>956</v>
      </c>
      <c r="C451" s="2" t="s">
        <v>957</v>
      </c>
      <c r="D451" s="5" t="s">
        <v>526</v>
      </c>
      <c r="E451" s="2"/>
      <c r="F451" s="3" t="s">
        <v>10</v>
      </c>
      <c r="G451" s="2" t="s">
        <v>11</v>
      </c>
      <c r="H451" s="2" t="s">
        <v>17</v>
      </c>
      <c r="I451" s="2" t="s">
        <v>18</v>
      </c>
      <c r="J451" s="2" t="s">
        <v>14</v>
      </c>
    </row>
    <row r="452" spans="1:10" x14ac:dyDescent="0.3">
      <c r="A452" s="2" t="str">
        <f>HYPERLINK("https://hsdes.intel.com/resource/14013167084","14013167084")</f>
        <v>14013167084</v>
      </c>
      <c r="B452" s="2" t="s">
        <v>958</v>
      </c>
      <c r="C452" s="2" t="s">
        <v>959</v>
      </c>
      <c r="D452" s="5" t="s">
        <v>526</v>
      </c>
      <c r="E452" s="2"/>
      <c r="F452" s="3" t="s">
        <v>10</v>
      </c>
      <c r="G452" s="2" t="s">
        <v>960</v>
      </c>
      <c r="H452" s="2" t="s">
        <v>17</v>
      </c>
      <c r="I452" s="2" t="s">
        <v>18</v>
      </c>
      <c r="J452" s="2" t="s">
        <v>14</v>
      </c>
    </row>
    <row r="453" spans="1:10" x14ac:dyDescent="0.3">
      <c r="A453" s="2" t="str">
        <f>HYPERLINK("https://hsdes.intel.com/resource/14013167263","14013167263")</f>
        <v>14013167263</v>
      </c>
      <c r="B453" s="2" t="s">
        <v>961</v>
      </c>
      <c r="C453" s="2" t="s">
        <v>962</v>
      </c>
      <c r="D453" s="5" t="s">
        <v>526</v>
      </c>
      <c r="E453" s="2"/>
      <c r="F453" s="3" t="s">
        <v>10</v>
      </c>
      <c r="G453" s="2" t="s">
        <v>11</v>
      </c>
      <c r="H453" s="2" t="s">
        <v>17</v>
      </c>
      <c r="I453" s="2" t="s">
        <v>18</v>
      </c>
      <c r="J453" s="2" t="s">
        <v>27</v>
      </c>
    </row>
    <row r="454" spans="1:10" x14ac:dyDescent="0.3">
      <c r="A454" s="2" t="str">
        <f>HYPERLINK("https://hsdes.intel.com/resource/14013167283","14013167283")</f>
        <v>14013167283</v>
      </c>
      <c r="B454" s="2" t="s">
        <v>963</v>
      </c>
      <c r="C454" s="2" t="s">
        <v>964</v>
      </c>
      <c r="D454" s="5" t="s">
        <v>526</v>
      </c>
      <c r="E454" s="2"/>
      <c r="F454" s="3" t="s">
        <v>10</v>
      </c>
      <c r="G454" s="2" t="s">
        <v>11</v>
      </c>
      <c r="H454" s="2" t="s">
        <v>17</v>
      </c>
      <c r="I454" s="2" t="s">
        <v>18</v>
      </c>
      <c r="J454" s="2" t="s">
        <v>27</v>
      </c>
    </row>
    <row r="455" spans="1:10" x14ac:dyDescent="0.3">
      <c r="A455" s="2" t="str">
        <f>HYPERLINK("https://hsdes.intel.com/resource/14013167326","14013167326")</f>
        <v>14013167326</v>
      </c>
      <c r="B455" s="2" t="s">
        <v>965</v>
      </c>
      <c r="C455" s="2" t="s">
        <v>966</v>
      </c>
      <c r="D455" s="5" t="s">
        <v>526</v>
      </c>
      <c r="E455" s="2"/>
      <c r="F455" s="3" t="s">
        <v>10</v>
      </c>
      <c r="G455" s="2" t="s">
        <v>11</v>
      </c>
      <c r="H455" s="2" t="s">
        <v>17</v>
      </c>
      <c r="I455" s="2" t="s">
        <v>18</v>
      </c>
      <c r="J455" s="2" t="s">
        <v>27</v>
      </c>
    </row>
    <row r="456" spans="1:10" x14ac:dyDescent="0.3">
      <c r="A456" s="2" t="str">
        <f>HYPERLINK("https://hsdes.intel.com/resource/14013167336","14013167336")</f>
        <v>14013167336</v>
      </c>
      <c r="B456" s="2" t="s">
        <v>967</v>
      </c>
      <c r="C456" s="2" t="s">
        <v>968</v>
      </c>
      <c r="D456" s="5" t="s">
        <v>526</v>
      </c>
      <c r="E456" s="2"/>
      <c r="F456" s="3" t="s">
        <v>10</v>
      </c>
      <c r="G456" s="2" t="s">
        <v>11</v>
      </c>
      <c r="H456" s="2" t="s">
        <v>17</v>
      </c>
      <c r="I456" s="2" t="s">
        <v>18</v>
      </c>
      <c r="J456" s="2" t="s">
        <v>27</v>
      </c>
    </row>
    <row r="457" spans="1:10" x14ac:dyDescent="0.3">
      <c r="A457" s="2" t="str">
        <f>HYPERLINK("https://hsdes.intel.com/resource/14013167355","14013167355")</f>
        <v>14013167355</v>
      </c>
      <c r="B457" s="2" t="s">
        <v>969</v>
      </c>
      <c r="C457" s="2" t="s">
        <v>970</v>
      </c>
      <c r="D457" s="5" t="s">
        <v>526</v>
      </c>
      <c r="E457" s="2"/>
      <c r="F457" s="3" t="s">
        <v>10</v>
      </c>
      <c r="G457" s="2" t="s">
        <v>11</v>
      </c>
      <c r="H457" s="2" t="s">
        <v>17</v>
      </c>
      <c r="I457" s="2" t="s">
        <v>18</v>
      </c>
      <c r="J457" s="2" t="s">
        <v>27</v>
      </c>
    </row>
    <row r="458" spans="1:10" x14ac:dyDescent="0.3">
      <c r="A458" s="2" t="str">
        <f>HYPERLINK("https://hsdes.intel.com/resource/14013167380","14013167380")</f>
        <v>14013167380</v>
      </c>
      <c r="B458" s="2" t="s">
        <v>971</v>
      </c>
      <c r="C458" s="2" t="s">
        <v>972</v>
      </c>
      <c r="D458" s="5" t="s">
        <v>526</v>
      </c>
      <c r="E458" s="2"/>
      <c r="F458" s="3" t="s">
        <v>10</v>
      </c>
      <c r="G458" s="2" t="s">
        <v>11</v>
      </c>
      <c r="H458" s="2" t="s">
        <v>17</v>
      </c>
      <c r="I458" s="2" t="s">
        <v>18</v>
      </c>
      <c r="J458" s="2" t="s">
        <v>27</v>
      </c>
    </row>
    <row r="459" spans="1:10" x14ac:dyDescent="0.3">
      <c r="A459" s="4" t="str">
        <f>HYPERLINK("https://hsdes.intel.com/resource/14013167401","14013167401")</f>
        <v>14013167401</v>
      </c>
      <c r="B459" s="2" t="s">
        <v>973</v>
      </c>
      <c r="C459" s="2" t="s">
        <v>974</v>
      </c>
      <c r="D459" s="5" t="s">
        <v>526</v>
      </c>
      <c r="E459" s="2"/>
      <c r="F459" s="3" t="s">
        <v>10</v>
      </c>
      <c r="G459" s="2" t="s">
        <v>11</v>
      </c>
      <c r="H459" s="2" t="s">
        <v>17</v>
      </c>
      <c r="I459" s="2" t="s">
        <v>18</v>
      </c>
      <c r="J459" s="2" t="s">
        <v>14</v>
      </c>
    </row>
    <row r="460" spans="1:10" x14ac:dyDescent="0.3">
      <c r="A460" s="2" t="str">
        <f>HYPERLINK("https://hsdes.intel.com/resource/14013167451","14013167451")</f>
        <v>14013167451</v>
      </c>
      <c r="B460" s="2" t="s">
        <v>975</v>
      </c>
      <c r="C460" s="2" t="s">
        <v>976</v>
      </c>
      <c r="D460" s="5" t="s">
        <v>526</v>
      </c>
      <c r="E460" s="2"/>
      <c r="F460" s="3" t="s">
        <v>10</v>
      </c>
      <c r="G460" s="2" t="s">
        <v>11</v>
      </c>
      <c r="H460" s="2" t="s">
        <v>17</v>
      </c>
      <c r="I460" s="2" t="s">
        <v>18</v>
      </c>
      <c r="J460" s="2" t="s">
        <v>27</v>
      </c>
    </row>
    <row r="461" spans="1:10" x14ac:dyDescent="0.3">
      <c r="A461" s="2" t="str">
        <f>HYPERLINK("https://hsdes.intel.com/resource/14013167486","14013167486")</f>
        <v>14013167486</v>
      </c>
      <c r="B461" s="2" t="s">
        <v>977</v>
      </c>
      <c r="C461" s="2" t="s">
        <v>978</v>
      </c>
      <c r="D461" s="5" t="s">
        <v>526</v>
      </c>
      <c r="E461" s="2"/>
      <c r="F461" s="3" t="s">
        <v>10</v>
      </c>
      <c r="G461" s="2" t="s">
        <v>11</v>
      </c>
      <c r="H461" s="2" t="s">
        <v>17</v>
      </c>
      <c r="I461" s="2" t="s">
        <v>18</v>
      </c>
      <c r="J461" s="2" t="s">
        <v>14</v>
      </c>
    </row>
    <row r="462" spans="1:10" x14ac:dyDescent="0.3">
      <c r="A462" s="2" t="str">
        <f>HYPERLINK("https://hsdes.intel.com/resource/14013167520","14013167520")</f>
        <v>14013167520</v>
      </c>
      <c r="B462" s="2" t="s">
        <v>979</v>
      </c>
      <c r="C462" s="2" t="s">
        <v>980</v>
      </c>
      <c r="D462" s="5" t="s">
        <v>526</v>
      </c>
      <c r="E462" s="2"/>
      <c r="F462" s="3" t="s">
        <v>10</v>
      </c>
      <c r="G462" s="2" t="s">
        <v>11</v>
      </c>
      <c r="H462" s="2" t="s">
        <v>17</v>
      </c>
      <c r="I462" s="2" t="s">
        <v>18</v>
      </c>
      <c r="J462" s="2" t="s">
        <v>14</v>
      </c>
    </row>
    <row r="463" spans="1:10" x14ac:dyDescent="0.3">
      <c r="A463" s="2" t="str">
        <f>HYPERLINK("https://hsdes.intel.com/resource/14013167540","14013167540")</f>
        <v>14013167540</v>
      </c>
      <c r="B463" s="2" t="s">
        <v>981</v>
      </c>
      <c r="C463" s="2" t="s">
        <v>982</v>
      </c>
      <c r="D463" s="5" t="s">
        <v>526</v>
      </c>
      <c r="E463" s="2"/>
      <c r="F463" s="3" t="s">
        <v>10</v>
      </c>
      <c r="G463" s="2" t="s">
        <v>11</v>
      </c>
      <c r="H463" s="2" t="s">
        <v>17</v>
      </c>
      <c r="I463" s="2" t="s">
        <v>18</v>
      </c>
      <c r="J463" s="2" t="s">
        <v>27</v>
      </c>
    </row>
    <row r="464" spans="1:10" x14ac:dyDescent="0.3">
      <c r="A464" s="2" t="str">
        <f>HYPERLINK("https://hsdes.intel.com/resource/14013167560","14013167560")</f>
        <v>14013167560</v>
      </c>
      <c r="B464" s="2" t="s">
        <v>983</v>
      </c>
      <c r="C464" s="2" t="s">
        <v>984</v>
      </c>
      <c r="D464" s="5" t="s">
        <v>526</v>
      </c>
      <c r="E464" s="2"/>
      <c r="F464" s="3" t="s">
        <v>10</v>
      </c>
      <c r="G464" s="2" t="s">
        <v>11</v>
      </c>
      <c r="H464" s="2" t="s">
        <v>17</v>
      </c>
      <c r="I464" s="2" t="s">
        <v>18</v>
      </c>
      <c r="J464" s="2" t="s">
        <v>27</v>
      </c>
    </row>
    <row r="465" spans="1:10" x14ac:dyDescent="0.3">
      <c r="A465" s="2" t="str">
        <f>HYPERLINK("https://hsdes.intel.com/resource/14013167579","14013167579")</f>
        <v>14013167579</v>
      </c>
      <c r="B465" s="2" t="s">
        <v>985</v>
      </c>
      <c r="C465" s="2" t="s">
        <v>986</v>
      </c>
      <c r="D465" s="5" t="s">
        <v>526</v>
      </c>
      <c r="E465" s="2"/>
      <c r="F465" s="3" t="s">
        <v>10</v>
      </c>
      <c r="G465" s="2" t="s">
        <v>11</v>
      </c>
      <c r="H465" s="2" t="s">
        <v>17</v>
      </c>
      <c r="I465" s="2" t="s">
        <v>18</v>
      </c>
      <c r="J465" s="2" t="s">
        <v>27</v>
      </c>
    </row>
    <row r="466" spans="1:10" x14ac:dyDescent="0.3">
      <c r="A466" s="4" t="str">
        <f>HYPERLINK("https://hsdes.intel.com/resource/14013167606","14013167606")</f>
        <v>14013167606</v>
      </c>
      <c r="B466" s="2" t="s">
        <v>987</v>
      </c>
      <c r="C466" s="2" t="s">
        <v>988</v>
      </c>
      <c r="D466" s="5" t="s">
        <v>526</v>
      </c>
      <c r="E466" s="2"/>
      <c r="F466" s="3" t="s">
        <v>10</v>
      </c>
      <c r="G466" s="2" t="s">
        <v>960</v>
      </c>
      <c r="H466" s="2" t="s">
        <v>17</v>
      </c>
      <c r="I466" s="2" t="s">
        <v>18</v>
      </c>
      <c r="J466" s="2" t="s">
        <v>14</v>
      </c>
    </row>
    <row r="467" spans="1:10" x14ac:dyDescent="0.3">
      <c r="A467" s="2" t="str">
        <f>HYPERLINK("https://hsdes.intel.com/resource/14013168420","14013168420")</f>
        <v>14013168420</v>
      </c>
      <c r="B467" s="2" t="s">
        <v>989</v>
      </c>
      <c r="C467" s="2" t="s">
        <v>990</v>
      </c>
      <c r="D467" s="5" t="s">
        <v>526</v>
      </c>
      <c r="E467" s="2"/>
      <c r="F467" s="3" t="s">
        <v>10</v>
      </c>
      <c r="G467" s="2" t="s">
        <v>11</v>
      </c>
      <c r="H467" s="2" t="s">
        <v>71</v>
      </c>
      <c r="I467" s="2" t="s">
        <v>74</v>
      </c>
      <c r="J467" s="2" t="s">
        <v>27</v>
      </c>
    </row>
    <row r="468" spans="1:10" x14ac:dyDescent="0.3">
      <c r="A468" s="2" t="str">
        <f>HYPERLINK("https://hsdes.intel.com/resource/14013168467","14013168467")</f>
        <v>14013168467</v>
      </c>
      <c r="B468" s="2" t="s">
        <v>991</v>
      </c>
      <c r="C468" s="2" t="s">
        <v>992</v>
      </c>
      <c r="D468" s="5" t="s">
        <v>526</v>
      </c>
      <c r="E468" s="2"/>
      <c r="F468" s="3" t="s">
        <v>10</v>
      </c>
      <c r="G468" s="2" t="s">
        <v>11</v>
      </c>
      <c r="H468" s="2" t="s">
        <v>71</v>
      </c>
      <c r="I468" s="2" t="s">
        <v>210</v>
      </c>
      <c r="J468" s="2" t="s">
        <v>32</v>
      </c>
    </row>
    <row r="469" spans="1:10" x14ac:dyDescent="0.3">
      <c r="A469" s="2" t="str">
        <f>HYPERLINK("https://hsdes.intel.com/resource/14013168646","14013168646")</f>
        <v>14013168646</v>
      </c>
      <c r="B469" s="2" t="s">
        <v>993</v>
      </c>
      <c r="C469" s="2" t="s">
        <v>994</v>
      </c>
      <c r="D469" s="5" t="s">
        <v>526</v>
      </c>
      <c r="E469" s="2"/>
      <c r="F469" s="3" t="s">
        <v>10</v>
      </c>
      <c r="G469" s="2" t="s">
        <v>11</v>
      </c>
      <c r="H469" s="2" t="s">
        <v>71</v>
      </c>
      <c r="I469" s="2" t="s">
        <v>74</v>
      </c>
      <c r="J469" s="2" t="s">
        <v>14</v>
      </c>
    </row>
    <row r="470" spans="1:10" x14ac:dyDescent="0.3">
      <c r="A470" s="2" t="str">
        <f>HYPERLINK("https://hsdes.intel.com/resource/14013168677","14013168677")</f>
        <v>14013168677</v>
      </c>
      <c r="B470" s="2" t="s">
        <v>995</v>
      </c>
      <c r="C470" s="2" t="s">
        <v>996</v>
      </c>
      <c r="D470" s="5" t="s">
        <v>526</v>
      </c>
      <c r="E470" s="2"/>
      <c r="F470" s="3" t="s">
        <v>10</v>
      </c>
      <c r="G470" s="2" t="s">
        <v>11</v>
      </c>
      <c r="H470" s="2" t="s">
        <v>71</v>
      </c>
      <c r="I470" s="2" t="s">
        <v>74</v>
      </c>
      <c r="J470" s="2" t="s">
        <v>14</v>
      </c>
    </row>
    <row r="471" spans="1:10" x14ac:dyDescent="0.3">
      <c r="A471" s="2" t="str">
        <f>HYPERLINK("https://hsdes.intel.com/resource/14013168703","14013168703")</f>
        <v>14013168703</v>
      </c>
      <c r="B471" s="2" t="s">
        <v>997</v>
      </c>
      <c r="C471" s="2" t="s">
        <v>998</v>
      </c>
      <c r="D471" s="5" t="s">
        <v>526</v>
      </c>
      <c r="E471" s="2"/>
      <c r="F471" s="3" t="s">
        <v>10</v>
      </c>
      <c r="G471" s="2" t="s">
        <v>11</v>
      </c>
      <c r="H471" s="2" t="s">
        <v>71</v>
      </c>
      <c r="I471" s="2" t="s">
        <v>74</v>
      </c>
      <c r="J471" s="2" t="s">
        <v>14</v>
      </c>
    </row>
    <row r="472" spans="1:10" x14ac:dyDescent="0.3">
      <c r="A472" s="2" t="str">
        <f>HYPERLINK("https://hsdes.intel.com/resource/14013169014","14013169014")</f>
        <v>14013169014</v>
      </c>
      <c r="B472" s="2" t="s">
        <v>999</v>
      </c>
      <c r="C472" s="2" t="s">
        <v>1000</v>
      </c>
      <c r="D472" s="5" t="s">
        <v>526</v>
      </c>
      <c r="E472" s="2"/>
      <c r="F472" s="3" t="s">
        <v>10</v>
      </c>
      <c r="G472" s="2" t="s">
        <v>11</v>
      </c>
      <c r="H472" s="2" t="s">
        <v>71</v>
      </c>
      <c r="I472" s="2" t="s">
        <v>74</v>
      </c>
      <c r="J472" s="2" t="s">
        <v>32</v>
      </c>
    </row>
    <row r="473" spans="1:10" x14ac:dyDescent="0.3">
      <c r="A473" s="2" t="str">
        <f>HYPERLINK("https://hsdes.intel.com/resource/14013169069","14013169069")</f>
        <v>14013169069</v>
      </c>
      <c r="B473" s="2" t="s">
        <v>1001</v>
      </c>
      <c r="C473" s="2" t="s">
        <v>1002</v>
      </c>
      <c r="D473" s="5" t="s">
        <v>526</v>
      </c>
      <c r="E473" s="2"/>
      <c r="F473" s="3" t="s">
        <v>10</v>
      </c>
      <c r="G473" s="2" t="s">
        <v>11</v>
      </c>
      <c r="H473" s="2" t="s">
        <v>71</v>
      </c>
      <c r="I473" s="2" t="s">
        <v>74</v>
      </c>
      <c r="J473" s="2" t="s">
        <v>27</v>
      </c>
    </row>
    <row r="474" spans="1:10" x14ac:dyDescent="0.3">
      <c r="A474" s="2" t="str">
        <f>HYPERLINK("https://hsdes.intel.com/resource/14013169083","14013169083")</f>
        <v>14013169083</v>
      </c>
      <c r="B474" s="2" t="s">
        <v>1003</v>
      </c>
      <c r="C474" s="2" t="s">
        <v>1004</v>
      </c>
      <c r="D474" s="5" t="s">
        <v>526</v>
      </c>
      <c r="E474" s="2"/>
      <c r="F474" s="3" t="s">
        <v>10</v>
      </c>
      <c r="G474" s="2" t="s">
        <v>11</v>
      </c>
      <c r="H474" s="2" t="s">
        <v>71</v>
      </c>
      <c r="I474" s="2" t="s">
        <v>74</v>
      </c>
      <c r="J474" s="2" t="s">
        <v>14</v>
      </c>
    </row>
    <row r="475" spans="1:10" x14ac:dyDescent="0.3">
      <c r="A475" s="2" t="str">
        <f>HYPERLINK("https://hsdes.intel.com/resource/14013169091","14013169091")</f>
        <v>14013169091</v>
      </c>
      <c r="B475" s="2" t="s">
        <v>1005</v>
      </c>
      <c r="C475" s="2" t="s">
        <v>1006</v>
      </c>
      <c r="D475" s="5" t="s">
        <v>526</v>
      </c>
      <c r="E475" s="2"/>
      <c r="F475" s="3" t="s">
        <v>10</v>
      </c>
      <c r="G475" s="2" t="s">
        <v>11</v>
      </c>
      <c r="H475" s="2" t="s">
        <v>71</v>
      </c>
      <c r="I475" s="2" t="s">
        <v>74</v>
      </c>
      <c r="J475" s="2" t="s">
        <v>14</v>
      </c>
    </row>
    <row r="476" spans="1:10" x14ac:dyDescent="0.3">
      <c r="A476" s="2" t="str">
        <f>HYPERLINK("https://hsdes.intel.com/resource/14013169094","14013169094")</f>
        <v>14013169094</v>
      </c>
      <c r="B476" s="2" t="s">
        <v>1007</v>
      </c>
      <c r="C476" s="2" t="s">
        <v>1008</v>
      </c>
      <c r="D476" s="5" t="s">
        <v>526</v>
      </c>
      <c r="E476" s="2"/>
      <c r="F476" s="3" t="s">
        <v>10</v>
      </c>
      <c r="G476" s="2" t="s">
        <v>11</v>
      </c>
      <c r="H476" s="2" t="s">
        <v>71</v>
      </c>
      <c r="I476" s="2" t="s">
        <v>74</v>
      </c>
      <c r="J476" s="2" t="s">
        <v>14</v>
      </c>
    </row>
    <row r="477" spans="1:10" x14ac:dyDescent="0.3">
      <c r="A477" s="2" t="str">
        <f>HYPERLINK("https://hsdes.intel.com/resource/14013169103","14013169103")</f>
        <v>14013169103</v>
      </c>
      <c r="B477" s="2" t="s">
        <v>1009</v>
      </c>
      <c r="C477" s="2" t="s">
        <v>1010</v>
      </c>
      <c r="D477" s="5" t="s">
        <v>526</v>
      </c>
      <c r="E477" s="2"/>
      <c r="F477" s="3" t="s">
        <v>10</v>
      </c>
      <c r="G477" s="2" t="s">
        <v>11</v>
      </c>
      <c r="H477" s="2" t="s">
        <v>71</v>
      </c>
      <c r="I477" s="2" t="s">
        <v>74</v>
      </c>
      <c r="J477" s="2" t="s">
        <v>14</v>
      </c>
    </row>
    <row r="478" spans="1:10" x14ac:dyDescent="0.3">
      <c r="A478" s="2" t="str">
        <f>HYPERLINK("https://hsdes.intel.com/resource/14013172891","14013172891")</f>
        <v>14013172891</v>
      </c>
      <c r="B478" s="2" t="s">
        <v>1011</v>
      </c>
      <c r="C478" s="2" t="s">
        <v>1012</v>
      </c>
      <c r="D478" s="5" t="s">
        <v>526</v>
      </c>
      <c r="E478" s="2"/>
      <c r="F478" s="3" t="s">
        <v>10</v>
      </c>
      <c r="G478" s="2" t="s">
        <v>11</v>
      </c>
      <c r="H478" s="2" t="s">
        <v>105</v>
      </c>
      <c r="I478" s="2" t="s">
        <v>106</v>
      </c>
      <c r="J478" s="2" t="s">
        <v>32</v>
      </c>
    </row>
    <row r="479" spans="1:10" x14ac:dyDescent="0.3">
      <c r="A479" s="2" t="str">
        <f>HYPERLINK("https://hsdes.intel.com/resource/14013172897","14013172897")</f>
        <v>14013172897</v>
      </c>
      <c r="B479" s="2" t="s">
        <v>1013</v>
      </c>
      <c r="C479" s="2" t="s">
        <v>1014</v>
      </c>
      <c r="D479" s="5" t="s">
        <v>526</v>
      </c>
      <c r="E479" s="2"/>
      <c r="F479" s="3" t="s">
        <v>10</v>
      </c>
      <c r="G479" s="2" t="s">
        <v>11</v>
      </c>
      <c r="H479" s="2" t="s">
        <v>105</v>
      </c>
      <c r="I479" s="2" t="s">
        <v>106</v>
      </c>
      <c r="J479" s="2" t="s">
        <v>32</v>
      </c>
    </row>
    <row r="480" spans="1:10" x14ac:dyDescent="0.3">
      <c r="A480" s="2" t="str">
        <f>HYPERLINK("https://hsdes.intel.com/resource/14013172936","14013172936")</f>
        <v>14013172936</v>
      </c>
      <c r="B480" s="2" t="s">
        <v>1015</v>
      </c>
      <c r="C480" s="2" t="s">
        <v>1016</v>
      </c>
      <c r="D480" s="5" t="s">
        <v>526</v>
      </c>
      <c r="E480" s="2"/>
      <c r="F480" s="3" t="s">
        <v>10</v>
      </c>
      <c r="G480" s="2" t="s">
        <v>11</v>
      </c>
      <c r="H480" s="2" t="s">
        <v>12</v>
      </c>
      <c r="I480" s="2" t="s">
        <v>13</v>
      </c>
      <c r="J480" s="2" t="s">
        <v>14</v>
      </c>
    </row>
    <row r="481" spans="1:10" x14ac:dyDescent="0.3">
      <c r="A481" s="2" t="str">
        <f>HYPERLINK("https://hsdes.intel.com/resource/14013173003","14013173003")</f>
        <v>14013173003</v>
      </c>
      <c r="B481" s="2" t="s">
        <v>1017</v>
      </c>
      <c r="C481" s="2" t="s">
        <v>1018</v>
      </c>
      <c r="D481" s="5" t="s">
        <v>526</v>
      </c>
      <c r="E481" s="2"/>
      <c r="F481" s="3" t="s">
        <v>10</v>
      </c>
      <c r="G481" s="2" t="s">
        <v>11</v>
      </c>
      <c r="H481" s="2" t="s">
        <v>12</v>
      </c>
      <c r="I481" s="2" t="s">
        <v>13</v>
      </c>
      <c r="J481" s="2" t="s">
        <v>14</v>
      </c>
    </row>
    <row r="482" spans="1:10" x14ac:dyDescent="0.3">
      <c r="A482" s="2" t="str">
        <f>HYPERLINK("https://hsdes.intel.com/resource/14013173005","14013173005")</f>
        <v>14013173005</v>
      </c>
      <c r="B482" s="2" t="s">
        <v>1019</v>
      </c>
      <c r="C482" s="2" t="s">
        <v>1020</v>
      </c>
      <c r="D482" s="5" t="s">
        <v>526</v>
      </c>
      <c r="E482" s="2"/>
      <c r="F482" s="3" t="s">
        <v>10</v>
      </c>
      <c r="G482" s="2" t="s">
        <v>11</v>
      </c>
      <c r="H482" s="2" t="s">
        <v>12</v>
      </c>
      <c r="I482" s="2" t="s">
        <v>13</v>
      </c>
      <c r="J482" s="2" t="s">
        <v>14</v>
      </c>
    </row>
    <row r="483" spans="1:10" x14ac:dyDescent="0.3">
      <c r="A483" s="2" t="str">
        <f>HYPERLINK("https://hsdes.intel.com/resource/14013173086","14013173086")</f>
        <v>14013173086</v>
      </c>
      <c r="B483" s="2" t="s">
        <v>1021</v>
      </c>
      <c r="C483" s="2" t="s">
        <v>1022</v>
      </c>
      <c r="D483" s="5" t="s">
        <v>526</v>
      </c>
      <c r="E483" s="2"/>
      <c r="F483" s="3" t="s">
        <v>10</v>
      </c>
      <c r="G483" s="2" t="s">
        <v>11</v>
      </c>
      <c r="H483" s="2" t="s">
        <v>194</v>
      </c>
      <c r="I483" s="2" t="s">
        <v>106</v>
      </c>
      <c r="J483" s="2" t="s">
        <v>14</v>
      </c>
    </row>
    <row r="484" spans="1:10" x14ac:dyDescent="0.3">
      <c r="A484" s="2" t="str">
        <f>HYPERLINK("https://hsdes.intel.com/resource/14013173102","14013173102")</f>
        <v>14013173102</v>
      </c>
      <c r="B484" s="2" t="s">
        <v>1023</v>
      </c>
      <c r="C484" s="2" t="s">
        <v>1024</v>
      </c>
      <c r="D484" s="5" t="s">
        <v>526</v>
      </c>
      <c r="E484" s="2"/>
      <c r="F484" s="3" t="s">
        <v>10</v>
      </c>
      <c r="G484" s="2" t="s">
        <v>11</v>
      </c>
      <c r="H484" s="2" t="s">
        <v>30</v>
      </c>
      <c r="I484" s="2" t="s">
        <v>31</v>
      </c>
      <c r="J484" s="2" t="s">
        <v>32</v>
      </c>
    </row>
    <row r="485" spans="1:10" x14ac:dyDescent="0.3">
      <c r="A485" s="2" t="str">
        <f>HYPERLINK("https://hsdes.intel.com/resource/14013173157","14013173157")</f>
        <v>14013173157</v>
      </c>
      <c r="B485" s="2" t="s">
        <v>1025</v>
      </c>
      <c r="C485" s="2" t="s">
        <v>1026</v>
      </c>
      <c r="D485" s="5" t="s">
        <v>526</v>
      </c>
      <c r="E485" s="2"/>
      <c r="F485" s="3" t="s">
        <v>10</v>
      </c>
      <c r="G485" s="2" t="s">
        <v>11</v>
      </c>
      <c r="H485" s="2" t="s">
        <v>30</v>
      </c>
      <c r="I485" s="2" t="s">
        <v>31</v>
      </c>
      <c r="J485" s="2" t="s">
        <v>14</v>
      </c>
    </row>
    <row r="486" spans="1:10" x14ac:dyDescent="0.3">
      <c r="A486" s="2" t="str">
        <f>HYPERLINK("https://hsdes.intel.com/resource/14013173337","14013173337")</f>
        <v>14013173337</v>
      </c>
      <c r="B486" s="2" t="s">
        <v>1027</v>
      </c>
      <c r="C486" s="2" t="s">
        <v>1028</v>
      </c>
      <c r="D486" s="5" t="s">
        <v>526</v>
      </c>
      <c r="E486" s="2"/>
      <c r="F486" s="3" t="s">
        <v>10</v>
      </c>
      <c r="G486" s="2" t="s">
        <v>11</v>
      </c>
      <c r="H486" s="2" t="s">
        <v>109</v>
      </c>
      <c r="I486" s="2" t="s">
        <v>110</v>
      </c>
      <c r="J486" s="2" t="s">
        <v>32</v>
      </c>
    </row>
    <row r="487" spans="1:10" x14ac:dyDescent="0.3">
      <c r="A487" s="2" t="str">
        <f>HYPERLINK("https://hsdes.intel.com/resource/14013173956","14013173956")</f>
        <v>14013173956</v>
      </c>
      <c r="B487" s="2" t="s">
        <v>1029</v>
      </c>
      <c r="C487" s="2" t="s">
        <v>1030</v>
      </c>
      <c r="D487" s="5" t="s">
        <v>526</v>
      </c>
      <c r="E487" s="2"/>
      <c r="F487" s="3" t="s">
        <v>10</v>
      </c>
      <c r="G487" s="2" t="s">
        <v>11</v>
      </c>
      <c r="H487" s="2" t="s">
        <v>947</v>
      </c>
      <c r="I487" s="2" t="s">
        <v>50</v>
      </c>
      <c r="J487" s="2" t="s">
        <v>27</v>
      </c>
    </row>
    <row r="488" spans="1:10" x14ac:dyDescent="0.3">
      <c r="A488" s="2" t="str">
        <f>HYPERLINK("https://hsdes.intel.com/resource/14013173981","14013173981")</f>
        <v>14013173981</v>
      </c>
      <c r="B488" s="2" t="s">
        <v>1031</v>
      </c>
      <c r="C488" s="2" t="s">
        <v>1032</v>
      </c>
      <c r="D488" s="5" t="s">
        <v>526</v>
      </c>
      <c r="E488" s="2"/>
      <c r="F488" s="3" t="s">
        <v>10</v>
      </c>
      <c r="G488" s="2" t="s">
        <v>11</v>
      </c>
      <c r="H488" s="2" t="s">
        <v>947</v>
      </c>
      <c r="I488" s="2" t="s">
        <v>50</v>
      </c>
      <c r="J488" s="2" t="s">
        <v>14</v>
      </c>
    </row>
    <row r="489" spans="1:10" x14ac:dyDescent="0.3">
      <c r="A489" s="2" t="str">
        <f>HYPERLINK("https://hsdes.intel.com/resource/14013173986","14013173986")</f>
        <v>14013173986</v>
      </c>
      <c r="B489" s="2" t="s">
        <v>1033</v>
      </c>
      <c r="C489" s="2" t="s">
        <v>1034</v>
      </c>
      <c r="D489" s="7" t="s">
        <v>369</v>
      </c>
      <c r="E489" s="2" t="s">
        <v>48</v>
      </c>
      <c r="F489" s="3" t="s">
        <v>10</v>
      </c>
      <c r="G489" s="2" t="s">
        <v>11</v>
      </c>
      <c r="H489" s="2" t="s">
        <v>49</v>
      </c>
      <c r="I489" s="2" t="s">
        <v>50</v>
      </c>
      <c r="J489" s="2" t="s">
        <v>32</v>
      </c>
    </row>
    <row r="490" spans="1:10" x14ac:dyDescent="0.3">
      <c r="A490" s="2" t="str">
        <f>HYPERLINK("https://hsdes.intel.com/resource/14013174002","14013174002")</f>
        <v>14013174002</v>
      </c>
      <c r="B490" s="2" t="s">
        <v>1035</v>
      </c>
      <c r="C490" s="2" t="s">
        <v>1036</v>
      </c>
      <c r="D490" s="5" t="s">
        <v>526</v>
      </c>
      <c r="E490" s="2"/>
      <c r="F490" s="3" t="s">
        <v>10</v>
      </c>
      <c r="G490" s="2" t="s">
        <v>11</v>
      </c>
      <c r="H490" s="2" t="s">
        <v>53</v>
      </c>
      <c r="I490" s="2" t="s">
        <v>50</v>
      </c>
      <c r="J490" s="2" t="s">
        <v>14</v>
      </c>
    </row>
    <row r="491" spans="1:10" x14ac:dyDescent="0.3">
      <c r="A491" s="2" t="str">
        <f>HYPERLINK("https://hsdes.intel.com/resource/14013174007","14013174007")</f>
        <v>14013174007</v>
      </c>
      <c r="B491" s="2" t="s">
        <v>1037</v>
      </c>
      <c r="C491" s="2" t="s">
        <v>1038</v>
      </c>
      <c r="D491" s="5" t="s">
        <v>526</v>
      </c>
      <c r="E491" s="2"/>
      <c r="F491" s="3" t="s">
        <v>10</v>
      </c>
      <c r="G491" s="2" t="s">
        <v>11</v>
      </c>
      <c r="H491" s="2" t="s">
        <v>53</v>
      </c>
      <c r="I491" s="2" t="s">
        <v>50</v>
      </c>
      <c r="J491" s="2" t="s">
        <v>14</v>
      </c>
    </row>
    <row r="492" spans="1:10" x14ac:dyDescent="0.3">
      <c r="A492" s="2" t="str">
        <f>HYPERLINK("https://hsdes.intel.com/resource/14013174046","14013174046")</f>
        <v>14013174046</v>
      </c>
      <c r="B492" s="2" t="s">
        <v>1039</v>
      </c>
      <c r="C492" s="2" t="s">
        <v>1040</v>
      </c>
      <c r="D492" s="5" t="s">
        <v>526</v>
      </c>
      <c r="E492" s="2"/>
      <c r="F492" s="3" t="s">
        <v>10</v>
      </c>
      <c r="G492" s="2" t="s">
        <v>11</v>
      </c>
      <c r="H492" s="2" t="s">
        <v>53</v>
      </c>
      <c r="I492" s="2" t="s">
        <v>50</v>
      </c>
      <c r="J492" s="2" t="s">
        <v>32</v>
      </c>
    </row>
    <row r="493" spans="1:10" x14ac:dyDescent="0.3">
      <c r="A493" s="2" t="str">
        <f>HYPERLINK("https://hsdes.intel.com/resource/14013174262","14013174262")</f>
        <v>14013174262</v>
      </c>
      <c r="B493" s="2" t="s">
        <v>1041</v>
      </c>
      <c r="C493" s="2" t="s">
        <v>1042</v>
      </c>
      <c r="D493" s="5" t="s">
        <v>526</v>
      </c>
      <c r="E493" s="2"/>
      <c r="F493" s="3" t="s">
        <v>10</v>
      </c>
      <c r="G493" s="2" t="s">
        <v>11</v>
      </c>
      <c r="H493" s="2" t="s">
        <v>947</v>
      </c>
      <c r="I493" s="2" t="s">
        <v>50</v>
      </c>
      <c r="J493" s="2" t="s">
        <v>27</v>
      </c>
    </row>
    <row r="494" spans="1:10" x14ac:dyDescent="0.3">
      <c r="A494" s="2" t="str">
        <f>HYPERLINK("https://hsdes.intel.com/resource/14013174424","14013174424")</f>
        <v>14013174424</v>
      </c>
      <c r="B494" s="2" t="s">
        <v>1043</v>
      </c>
      <c r="C494" s="2" t="s">
        <v>1044</v>
      </c>
      <c r="D494" s="5" t="s">
        <v>526</v>
      </c>
      <c r="E494" s="2"/>
      <c r="F494" s="3" t="s">
        <v>10</v>
      </c>
      <c r="G494" s="2" t="s">
        <v>11</v>
      </c>
      <c r="H494" s="2" t="s">
        <v>1045</v>
      </c>
      <c r="I494" s="2" t="s">
        <v>50</v>
      </c>
      <c r="J494" s="2" t="s">
        <v>14</v>
      </c>
    </row>
    <row r="495" spans="1:10" x14ac:dyDescent="0.3">
      <c r="A495" s="2" t="str">
        <f>HYPERLINK("https://hsdes.intel.com/resource/14013174432","14013174432")</f>
        <v>14013174432</v>
      </c>
      <c r="B495" s="2" t="s">
        <v>1046</v>
      </c>
      <c r="C495" s="2" t="s">
        <v>1047</v>
      </c>
      <c r="D495" s="5" t="s">
        <v>526</v>
      </c>
      <c r="E495" s="2"/>
      <c r="F495" s="3" t="s">
        <v>10</v>
      </c>
      <c r="G495" s="2" t="s">
        <v>11</v>
      </c>
      <c r="H495" s="2" t="s">
        <v>1045</v>
      </c>
      <c r="I495" s="2" t="s">
        <v>50</v>
      </c>
      <c r="J495" s="2" t="s">
        <v>14</v>
      </c>
    </row>
    <row r="496" spans="1:10" x14ac:dyDescent="0.3">
      <c r="A496" s="2" t="str">
        <f>HYPERLINK("https://hsdes.intel.com/resource/14013174439","14013174439")</f>
        <v>14013174439</v>
      </c>
      <c r="B496" s="2" t="s">
        <v>1048</v>
      </c>
      <c r="C496" s="2" t="s">
        <v>1049</v>
      </c>
      <c r="D496" s="5" t="s">
        <v>526</v>
      </c>
      <c r="E496" s="2"/>
      <c r="F496" s="3" t="s">
        <v>10</v>
      </c>
      <c r="G496" s="2" t="s">
        <v>11</v>
      </c>
      <c r="H496" s="2" t="s">
        <v>1045</v>
      </c>
      <c r="I496" s="2" t="s">
        <v>50</v>
      </c>
      <c r="J496" s="2" t="s">
        <v>14</v>
      </c>
    </row>
    <row r="497" spans="1:10" x14ac:dyDescent="0.3">
      <c r="A497" s="2" t="str">
        <f>HYPERLINK("https://hsdes.intel.com/resource/14013174444","14013174444")</f>
        <v>14013174444</v>
      </c>
      <c r="B497" s="2" t="s">
        <v>1050</v>
      </c>
      <c r="C497" s="2" t="s">
        <v>1051</v>
      </c>
      <c r="D497" s="5" t="s">
        <v>526</v>
      </c>
      <c r="E497" s="2"/>
      <c r="F497" s="3" t="s">
        <v>10</v>
      </c>
      <c r="G497" s="2" t="s">
        <v>11</v>
      </c>
      <c r="H497" s="2" t="s">
        <v>1052</v>
      </c>
      <c r="I497" s="2" t="s">
        <v>50</v>
      </c>
      <c r="J497" s="2" t="s">
        <v>27</v>
      </c>
    </row>
    <row r="498" spans="1:10" x14ac:dyDescent="0.3">
      <c r="A498" s="2" t="str">
        <f>HYPERLINK("https://hsdes.intel.com/resource/14013174639","14013174639")</f>
        <v>14013174639</v>
      </c>
      <c r="B498" s="2" t="s">
        <v>1053</v>
      </c>
      <c r="C498" s="2" t="s">
        <v>1054</v>
      </c>
      <c r="D498" s="5" t="s">
        <v>526</v>
      </c>
      <c r="E498" s="2"/>
      <c r="F498" s="3" t="s">
        <v>10</v>
      </c>
      <c r="G498" s="2" t="s">
        <v>11</v>
      </c>
      <c r="H498" s="2" t="s">
        <v>53</v>
      </c>
      <c r="I498" s="2" t="s">
        <v>50</v>
      </c>
      <c r="J498" s="2" t="s">
        <v>14</v>
      </c>
    </row>
    <row r="499" spans="1:10" x14ac:dyDescent="0.3">
      <c r="A499" s="2" t="str">
        <f>HYPERLINK("https://hsdes.intel.com/resource/14013174645","14013174645")</f>
        <v>14013174645</v>
      </c>
      <c r="B499" s="2" t="s">
        <v>1055</v>
      </c>
      <c r="C499" s="2" t="s">
        <v>1056</v>
      </c>
      <c r="D499" s="5" t="s">
        <v>526</v>
      </c>
      <c r="E499" s="2"/>
      <c r="F499" s="3" t="s">
        <v>10</v>
      </c>
      <c r="G499" s="2" t="s">
        <v>11</v>
      </c>
      <c r="H499" s="2" t="s">
        <v>53</v>
      </c>
      <c r="I499" s="2" t="s">
        <v>50</v>
      </c>
      <c r="J499" s="2" t="s">
        <v>14</v>
      </c>
    </row>
    <row r="500" spans="1:10" x14ac:dyDescent="0.3">
      <c r="A500" s="2" t="str">
        <f>HYPERLINK("https://hsdes.intel.com/resource/14013174739","14013174739")</f>
        <v>14013174739</v>
      </c>
      <c r="B500" s="2" t="s">
        <v>1057</v>
      </c>
      <c r="C500" s="2" t="s">
        <v>1058</v>
      </c>
      <c r="D500" s="5" t="s">
        <v>526</v>
      </c>
      <c r="E500" s="2"/>
      <c r="F500" s="3" t="s">
        <v>10</v>
      </c>
      <c r="G500" s="2" t="s">
        <v>11</v>
      </c>
      <c r="H500" s="2" t="s">
        <v>53</v>
      </c>
      <c r="I500" s="2" t="s">
        <v>50</v>
      </c>
      <c r="J500" s="2" t="s">
        <v>14</v>
      </c>
    </row>
    <row r="501" spans="1:10" x14ac:dyDescent="0.3">
      <c r="A501" s="2" t="str">
        <f>HYPERLINK("https://hsdes.intel.com/resource/14013174791","14013174791")</f>
        <v>14013174791</v>
      </c>
      <c r="B501" s="2" t="s">
        <v>1059</v>
      </c>
      <c r="C501" s="2" t="s">
        <v>1060</v>
      </c>
      <c r="D501" s="5" t="s">
        <v>526</v>
      </c>
      <c r="E501" s="2"/>
      <c r="F501" s="3" t="s">
        <v>10</v>
      </c>
      <c r="G501" s="2" t="s">
        <v>11</v>
      </c>
      <c r="H501" s="2" t="s">
        <v>1045</v>
      </c>
      <c r="I501" s="2" t="s">
        <v>50</v>
      </c>
      <c r="J501" s="2" t="s">
        <v>14</v>
      </c>
    </row>
    <row r="502" spans="1:10" x14ac:dyDescent="0.3">
      <c r="A502" s="2" t="str">
        <f>HYPERLINK("https://hsdes.intel.com/resource/14013175160","14013175160")</f>
        <v>14013175160</v>
      </c>
      <c r="B502" s="2" t="s">
        <v>1061</v>
      </c>
      <c r="C502" s="2" t="s">
        <v>1062</v>
      </c>
      <c r="D502" s="5" t="s">
        <v>526</v>
      </c>
      <c r="E502" s="2"/>
      <c r="F502" s="3" t="s">
        <v>10</v>
      </c>
      <c r="G502" s="2" t="s">
        <v>11</v>
      </c>
      <c r="H502" s="2" t="s">
        <v>947</v>
      </c>
      <c r="I502" s="2" t="s">
        <v>50</v>
      </c>
      <c r="J502" s="2" t="s">
        <v>14</v>
      </c>
    </row>
    <row r="503" spans="1:10" x14ac:dyDescent="0.3">
      <c r="A503" s="2" t="str">
        <f>HYPERLINK("https://hsdes.intel.com/resource/14013175166","14013175166")</f>
        <v>14013175166</v>
      </c>
      <c r="B503" s="2" t="s">
        <v>1063</v>
      </c>
      <c r="C503" s="2" t="s">
        <v>1064</v>
      </c>
      <c r="D503" s="5" t="s">
        <v>526</v>
      </c>
      <c r="E503" s="2"/>
      <c r="F503" s="3" t="s">
        <v>10</v>
      </c>
      <c r="G503" s="2" t="s">
        <v>11</v>
      </c>
      <c r="H503" s="2" t="s">
        <v>947</v>
      </c>
      <c r="I503" s="2" t="s">
        <v>50</v>
      </c>
      <c r="J503" s="2" t="s">
        <v>14</v>
      </c>
    </row>
    <row r="504" spans="1:10" x14ac:dyDescent="0.3">
      <c r="A504" s="2" t="str">
        <f>HYPERLINK("https://hsdes.intel.com/resource/14013175171","14013175171")</f>
        <v>14013175171</v>
      </c>
      <c r="B504" s="2" t="s">
        <v>1065</v>
      </c>
      <c r="C504" s="2" t="s">
        <v>1066</v>
      </c>
      <c r="D504" s="5" t="s">
        <v>526</v>
      </c>
      <c r="E504" s="2"/>
      <c r="F504" s="3" t="s">
        <v>10</v>
      </c>
      <c r="G504" s="2" t="s">
        <v>11</v>
      </c>
      <c r="H504" s="2" t="s">
        <v>947</v>
      </c>
      <c r="I504" s="2" t="s">
        <v>50</v>
      </c>
      <c r="J504" s="2" t="s">
        <v>14</v>
      </c>
    </row>
    <row r="505" spans="1:10" x14ac:dyDescent="0.3">
      <c r="A505" s="2" t="str">
        <f>HYPERLINK("https://hsdes.intel.com/resource/14013175174","14013175174")</f>
        <v>14013175174</v>
      </c>
      <c r="B505" s="2" t="s">
        <v>1067</v>
      </c>
      <c r="C505" s="2" t="s">
        <v>1068</v>
      </c>
      <c r="D505" s="5" t="s">
        <v>526</v>
      </c>
      <c r="E505" s="2"/>
      <c r="F505" s="3" t="s">
        <v>10</v>
      </c>
      <c r="G505" s="2" t="s">
        <v>11</v>
      </c>
      <c r="H505" s="2" t="s">
        <v>947</v>
      </c>
      <c r="I505" s="2" t="s">
        <v>50</v>
      </c>
      <c r="J505" s="2" t="s">
        <v>14</v>
      </c>
    </row>
    <row r="506" spans="1:10" x14ac:dyDescent="0.3">
      <c r="A506" s="2" t="str">
        <f>HYPERLINK("https://hsdes.intel.com/resource/14013175199","14013175199")</f>
        <v>14013175199</v>
      </c>
      <c r="B506" s="2" t="s">
        <v>1069</v>
      </c>
      <c r="C506" s="2" t="s">
        <v>1070</v>
      </c>
      <c r="D506" s="5" t="s">
        <v>526</v>
      </c>
      <c r="E506" s="2"/>
      <c r="F506" s="3" t="s">
        <v>10</v>
      </c>
      <c r="G506" s="2" t="s">
        <v>11</v>
      </c>
      <c r="H506" s="2" t="s">
        <v>947</v>
      </c>
      <c r="I506" s="2" t="s">
        <v>50</v>
      </c>
      <c r="J506" s="2" t="s">
        <v>32</v>
      </c>
    </row>
    <row r="507" spans="1:10" x14ac:dyDescent="0.3">
      <c r="A507" s="2" t="str">
        <f>HYPERLINK("https://hsdes.intel.com/resource/14013175425","14013175425")</f>
        <v>14013175425</v>
      </c>
      <c r="B507" s="2" t="s">
        <v>1071</v>
      </c>
      <c r="C507" s="2" t="s">
        <v>1072</v>
      </c>
      <c r="D507" s="5" t="s">
        <v>526</v>
      </c>
      <c r="E507" s="2"/>
      <c r="F507" s="3" t="s">
        <v>10</v>
      </c>
      <c r="G507" s="2" t="s">
        <v>11</v>
      </c>
      <c r="H507" s="2" t="s">
        <v>1045</v>
      </c>
      <c r="I507" s="2" t="s">
        <v>50</v>
      </c>
      <c r="J507" s="2" t="s">
        <v>14</v>
      </c>
    </row>
    <row r="508" spans="1:10" x14ac:dyDescent="0.3">
      <c r="A508" s="2" t="str">
        <f>HYPERLINK("https://hsdes.intel.com/resource/14013175491","14013175491")</f>
        <v>14013175491</v>
      </c>
      <c r="B508" s="2" t="s">
        <v>1073</v>
      </c>
      <c r="C508" s="2" t="s">
        <v>1074</v>
      </c>
      <c r="D508" s="5" t="s">
        <v>526</v>
      </c>
      <c r="E508" s="2"/>
      <c r="F508" s="3" t="s">
        <v>10</v>
      </c>
      <c r="G508" s="2" t="s">
        <v>11</v>
      </c>
      <c r="H508" s="2" t="s">
        <v>947</v>
      </c>
      <c r="I508" s="2" t="s">
        <v>50</v>
      </c>
      <c r="J508" s="2" t="s">
        <v>14</v>
      </c>
    </row>
    <row r="509" spans="1:10" x14ac:dyDescent="0.3">
      <c r="A509" s="2" t="str">
        <f>HYPERLINK("https://hsdes.intel.com/resource/14013175635","14013175635")</f>
        <v>14013175635</v>
      </c>
      <c r="B509" s="2" t="s">
        <v>1075</v>
      </c>
      <c r="C509" s="2" t="s">
        <v>1076</v>
      </c>
      <c r="D509" s="5" t="s">
        <v>526</v>
      </c>
      <c r="E509" s="2"/>
      <c r="F509" s="3" t="s">
        <v>10</v>
      </c>
      <c r="G509" s="2" t="s">
        <v>11</v>
      </c>
      <c r="H509" s="2" t="s">
        <v>85</v>
      </c>
      <c r="I509" s="2" t="s">
        <v>86</v>
      </c>
      <c r="J509" s="2" t="s">
        <v>14</v>
      </c>
    </row>
    <row r="510" spans="1:10" x14ac:dyDescent="0.3">
      <c r="A510" s="2" t="str">
        <f>HYPERLINK("https://hsdes.intel.com/resource/14013175768","14013175768")</f>
        <v>14013175768</v>
      </c>
      <c r="B510" s="2" t="s">
        <v>1077</v>
      </c>
      <c r="C510" s="2" t="s">
        <v>1078</v>
      </c>
      <c r="D510" s="5" t="s">
        <v>526</v>
      </c>
      <c r="E510" s="2"/>
      <c r="F510" s="3" t="s">
        <v>10</v>
      </c>
      <c r="G510" s="2" t="s">
        <v>11</v>
      </c>
      <c r="H510" s="2" t="s">
        <v>12</v>
      </c>
      <c r="I510" s="2" t="s">
        <v>13</v>
      </c>
      <c r="J510" s="2" t="s">
        <v>27</v>
      </c>
    </row>
    <row r="511" spans="1:10" x14ac:dyDescent="0.3">
      <c r="A511" s="2" t="str">
        <f>HYPERLINK("https://hsdes.intel.com/resource/14013175770","14013175770")</f>
        <v>14013175770</v>
      </c>
      <c r="B511" s="2" t="s">
        <v>1079</v>
      </c>
      <c r="C511" s="2" t="s">
        <v>1080</v>
      </c>
      <c r="D511" s="5" t="s">
        <v>526</v>
      </c>
      <c r="E511" s="2"/>
      <c r="F511" s="3" t="s">
        <v>10</v>
      </c>
      <c r="G511" s="2" t="s">
        <v>11</v>
      </c>
      <c r="H511" s="2" t="s">
        <v>12</v>
      </c>
      <c r="I511" s="2" t="s">
        <v>13</v>
      </c>
      <c r="J511" s="2" t="s">
        <v>14</v>
      </c>
    </row>
    <row r="512" spans="1:10" x14ac:dyDescent="0.3">
      <c r="A512" s="2" t="str">
        <f>HYPERLINK("https://hsdes.intel.com/resource/14013175775","14013175775")</f>
        <v>14013175775</v>
      </c>
      <c r="B512" s="2" t="s">
        <v>1081</v>
      </c>
      <c r="C512" s="2" t="s">
        <v>1082</v>
      </c>
      <c r="D512" s="5" t="s">
        <v>526</v>
      </c>
      <c r="E512" s="2"/>
      <c r="F512" s="3" t="s">
        <v>10</v>
      </c>
      <c r="G512" s="2" t="s">
        <v>11</v>
      </c>
      <c r="H512" s="2" t="s">
        <v>12</v>
      </c>
      <c r="I512" s="2" t="s">
        <v>13</v>
      </c>
      <c r="J512" s="2" t="s">
        <v>27</v>
      </c>
    </row>
    <row r="513" spans="1:10" x14ac:dyDescent="0.3">
      <c r="A513" s="2" t="str">
        <f>HYPERLINK("https://hsdes.intel.com/resource/14013175832","14013175832")</f>
        <v>14013175832</v>
      </c>
      <c r="B513" s="2" t="s">
        <v>1083</v>
      </c>
      <c r="C513" s="2" t="s">
        <v>1084</v>
      </c>
      <c r="D513" s="5" t="s">
        <v>526</v>
      </c>
      <c r="E513" s="2"/>
      <c r="F513" s="3" t="s">
        <v>10</v>
      </c>
      <c r="G513" s="2" t="s">
        <v>11</v>
      </c>
      <c r="H513" s="2" t="s">
        <v>53</v>
      </c>
      <c r="I513" s="2" t="s">
        <v>50</v>
      </c>
      <c r="J513" s="2" t="s">
        <v>32</v>
      </c>
    </row>
    <row r="514" spans="1:10" x14ac:dyDescent="0.3">
      <c r="A514" s="2" t="str">
        <f>HYPERLINK("https://hsdes.intel.com/resource/14013175866","14013175866")</f>
        <v>14013175866</v>
      </c>
      <c r="B514" s="2" t="s">
        <v>1085</v>
      </c>
      <c r="C514" s="2" t="s">
        <v>1086</v>
      </c>
      <c r="D514" s="5" t="s">
        <v>526</v>
      </c>
      <c r="E514" s="2"/>
      <c r="F514" s="3" t="s">
        <v>10</v>
      </c>
      <c r="G514" s="2" t="s">
        <v>39</v>
      </c>
      <c r="H514" s="2" t="s">
        <v>12</v>
      </c>
      <c r="I514" s="2" t="s">
        <v>13</v>
      </c>
      <c r="J514" s="2" t="s">
        <v>27</v>
      </c>
    </row>
    <row r="515" spans="1:10" x14ac:dyDescent="0.3">
      <c r="A515" s="2" t="str">
        <f>HYPERLINK("https://hsdes.intel.com/resource/14013175871","14013175871")</f>
        <v>14013175871</v>
      </c>
      <c r="B515" s="2" t="s">
        <v>1087</v>
      </c>
      <c r="C515" s="2" t="s">
        <v>1088</v>
      </c>
      <c r="D515" s="5" t="s">
        <v>526</v>
      </c>
      <c r="E515" s="2"/>
      <c r="F515" s="3" t="s">
        <v>10</v>
      </c>
      <c r="G515" s="2" t="s">
        <v>11</v>
      </c>
      <c r="H515" s="2" t="s">
        <v>25</v>
      </c>
      <c r="I515" s="2" t="s">
        <v>26</v>
      </c>
      <c r="J515" s="2" t="s">
        <v>14</v>
      </c>
    </row>
    <row r="516" spans="1:10" x14ac:dyDescent="0.3">
      <c r="A516" s="2" t="str">
        <f>HYPERLINK("https://hsdes.intel.com/resource/14013175873","14013175873")</f>
        <v>14013175873</v>
      </c>
      <c r="B516" s="2" t="s">
        <v>1089</v>
      </c>
      <c r="C516" s="2" t="s">
        <v>1090</v>
      </c>
      <c r="D516" s="5" t="s">
        <v>526</v>
      </c>
      <c r="E516" s="2"/>
      <c r="F516" s="3" t="s">
        <v>10</v>
      </c>
      <c r="G516" s="2" t="s">
        <v>11</v>
      </c>
      <c r="H516" s="2" t="s">
        <v>25</v>
      </c>
      <c r="I516" s="2" t="s">
        <v>26</v>
      </c>
      <c r="J516" s="2" t="s">
        <v>32</v>
      </c>
    </row>
    <row r="517" spans="1:10" x14ac:dyDescent="0.3">
      <c r="A517" s="2" t="str">
        <f>HYPERLINK("https://hsdes.intel.com/resource/14013175888","14013175888")</f>
        <v>14013175888</v>
      </c>
      <c r="B517" s="2" t="s">
        <v>1091</v>
      </c>
      <c r="C517" s="2" t="s">
        <v>1092</v>
      </c>
      <c r="D517" s="5" t="s">
        <v>526</v>
      </c>
      <c r="E517" s="2"/>
      <c r="F517" s="3" t="s">
        <v>10</v>
      </c>
      <c r="G517" s="2" t="s">
        <v>39</v>
      </c>
      <c r="H517" s="2" t="s">
        <v>40</v>
      </c>
      <c r="I517" s="2" t="s">
        <v>41</v>
      </c>
      <c r="J517" s="2" t="s">
        <v>14</v>
      </c>
    </row>
    <row r="518" spans="1:10" x14ac:dyDescent="0.3">
      <c r="A518" s="2" t="str">
        <f>HYPERLINK("https://hsdes.intel.com/resource/14013175921","14013175921")</f>
        <v>14013175921</v>
      </c>
      <c r="B518" s="2" t="s">
        <v>1093</v>
      </c>
      <c r="C518" s="2" t="s">
        <v>1094</v>
      </c>
      <c r="D518" s="5" t="s">
        <v>526</v>
      </c>
      <c r="E518" s="2"/>
      <c r="F518" s="3" t="s">
        <v>10</v>
      </c>
      <c r="G518" s="2" t="s">
        <v>11</v>
      </c>
      <c r="H518" s="2" t="s">
        <v>53</v>
      </c>
      <c r="I518" s="2" t="s">
        <v>54</v>
      </c>
      <c r="J518" s="2" t="s">
        <v>32</v>
      </c>
    </row>
    <row r="519" spans="1:10" x14ac:dyDescent="0.3">
      <c r="A519" s="2" t="str">
        <f>HYPERLINK("https://hsdes.intel.com/resource/14013175942","14013175942")</f>
        <v>14013175942</v>
      </c>
      <c r="B519" s="2" t="s">
        <v>1095</v>
      </c>
      <c r="C519" s="2" t="s">
        <v>1096</v>
      </c>
      <c r="D519" s="5" t="s">
        <v>526</v>
      </c>
      <c r="E519" s="2"/>
      <c r="F519" s="3" t="s">
        <v>10</v>
      </c>
      <c r="G519" s="2" t="s">
        <v>11</v>
      </c>
      <c r="H519" s="2" t="s">
        <v>49</v>
      </c>
      <c r="I519" s="2" t="s">
        <v>41</v>
      </c>
      <c r="J519" s="2" t="s">
        <v>27</v>
      </c>
    </row>
    <row r="520" spans="1:10" x14ac:dyDescent="0.3">
      <c r="A520" s="2" t="str">
        <f>HYPERLINK("https://hsdes.intel.com/resource/14013175948","14013175948")</f>
        <v>14013175948</v>
      </c>
      <c r="B520" s="2" t="s">
        <v>1097</v>
      </c>
      <c r="C520" s="2" t="s">
        <v>1098</v>
      </c>
      <c r="D520" s="5" t="s">
        <v>526</v>
      </c>
      <c r="E520" s="2"/>
      <c r="F520" s="3" t="s">
        <v>10</v>
      </c>
      <c r="G520" s="2" t="s">
        <v>11</v>
      </c>
      <c r="H520" s="2" t="s">
        <v>60</v>
      </c>
      <c r="I520" s="2" t="s">
        <v>50</v>
      </c>
      <c r="J520" s="2" t="s">
        <v>14</v>
      </c>
    </row>
    <row r="521" spans="1:10" x14ac:dyDescent="0.3">
      <c r="A521" s="2" t="str">
        <f>HYPERLINK("https://hsdes.intel.com/resource/14013176023","14013176023")</f>
        <v>14013176023</v>
      </c>
      <c r="B521" s="2" t="s">
        <v>1099</v>
      </c>
      <c r="C521" s="2" t="s">
        <v>1100</v>
      </c>
      <c r="D521" s="5" t="s">
        <v>526</v>
      </c>
      <c r="E521" s="2"/>
      <c r="F521" s="3" t="s">
        <v>10</v>
      </c>
      <c r="G521" s="2" t="s">
        <v>39</v>
      </c>
      <c r="H521" s="2" t="s">
        <v>85</v>
      </c>
      <c r="I521" s="2" t="s">
        <v>86</v>
      </c>
      <c r="J521" s="2" t="s">
        <v>14</v>
      </c>
    </row>
    <row r="522" spans="1:10" x14ac:dyDescent="0.3">
      <c r="A522" s="2" t="str">
        <f>HYPERLINK("https://hsdes.intel.com/resource/14013176036","14013176036")</f>
        <v>14013176036</v>
      </c>
      <c r="B522" s="2" t="s">
        <v>1101</v>
      </c>
      <c r="C522" s="2" t="s">
        <v>1102</v>
      </c>
      <c r="D522" s="5" t="s">
        <v>526</v>
      </c>
      <c r="E522" s="2"/>
      <c r="F522" s="3" t="s">
        <v>10</v>
      </c>
      <c r="G522" s="2" t="s">
        <v>960</v>
      </c>
      <c r="H522" s="2" t="s">
        <v>12</v>
      </c>
      <c r="I522" s="2" t="s">
        <v>13</v>
      </c>
      <c r="J522" s="2" t="s">
        <v>14</v>
      </c>
    </row>
    <row r="523" spans="1:10" x14ac:dyDescent="0.3">
      <c r="A523" s="2" t="str">
        <f>HYPERLINK("https://hsdes.intel.com/resource/14013176039","14013176039")</f>
        <v>14013176039</v>
      </c>
      <c r="B523" s="2" t="s">
        <v>1103</v>
      </c>
      <c r="C523" s="2" t="s">
        <v>1104</v>
      </c>
      <c r="D523" s="5" t="s">
        <v>526</v>
      </c>
      <c r="E523" s="2"/>
      <c r="F523" s="3" t="s">
        <v>10</v>
      </c>
      <c r="G523" s="2" t="s">
        <v>39</v>
      </c>
      <c r="H523" s="2" t="s">
        <v>85</v>
      </c>
      <c r="I523" s="2" t="s">
        <v>41</v>
      </c>
      <c r="J523" s="2" t="s">
        <v>14</v>
      </c>
    </row>
    <row r="524" spans="1:10" x14ac:dyDescent="0.3">
      <c r="A524" s="2" t="str">
        <f>HYPERLINK("https://hsdes.intel.com/resource/14013176088","14013176088")</f>
        <v>14013176088</v>
      </c>
      <c r="B524" s="2" t="s">
        <v>1105</v>
      </c>
      <c r="C524" s="2" t="s">
        <v>1106</v>
      </c>
      <c r="D524" s="5" t="s">
        <v>526</v>
      </c>
      <c r="E524" s="2"/>
      <c r="F524" s="3" t="s">
        <v>10</v>
      </c>
      <c r="G524" s="2" t="s">
        <v>11</v>
      </c>
      <c r="H524" s="2" t="s">
        <v>25</v>
      </c>
      <c r="I524" s="2" t="s">
        <v>26</v>
      </c>
      <c r="J524" s="2" t="s">
        <v>14</v>
      </c>
    </row>
    <row r="525" spans="1:10" x14ac:dyDescent="0.3">
      <c r="A525" s="2" t="str">
        <f>HYPERLINK("https://hsdes.intel.com/resource/14013176172","14013176172")</f>
        <v>14013176172</v>
      </c>
      <c r="B525" s="2" t="s">
        <v>1107</v>
      </c>
      <c r="C525" s="2" t="s">
        <v>1108</v>
      </c>
      <c r="D525" s="5" t="s">
        <v>526</v>
      </c>
      <c r="E525" s="2"/>
      <c r="F525" s="3" t="s">
        <v>10</v>
      </c>
      <c r="G525" s="2" t="s">
        <v>11</v>
      </c>
      <c r="H525" s="2" t="s">
        <v>53</v>
      </c>
      <c r="I525" s="2" t="s">
        <v>54</v>
      </c>
      <c r="J525" s="2" t="s">
        <v>32</v>
      </c>
    </row>
    <row r="526" spans="1:10" x14ac:dyDescent="0.3">
      <c r="A526" s="2" t="str">
        <f>HYPERLINK("https://hsdes.intel.com/resource/14013176227","14013176227")</f>
        <v>14013176227</v>
      </c>
      <c r="B526" s="2" t="s">
        <v>1109</v>
      </c>
      <c r="C526" s="2" t="s">
        <v>1110</v>
      </c>
      <c r="D526" s="5" t="s">
        <v>526</v>
      </c>
      <c r="E526" s="2"/>
      <c r="F526" s="3" t="s">
        <v>10</v>
      </c>
      <c r="G526" s="2" t="s">
        <v>11</v>
      </c>
      <c r="H526" s="2" t="s">
        <v>109</v>
      </c>
      <c r="I526" s="2" t="s">
        <v>110</v>
      </c>
      <c r="J526" s="2" t="s">
        <v>14</v>
      </c>
    </row>
    <row r="527" spans="1:10" x14ac:dyDescent="0.3">
      <c r="A527" s="2" t="str">
        <f>HYPERLINK("https://hsdes.intel.com/resource/14013176353","14013176353")</f>
        <v>14013176353</v>
      </c>
      <c r="B527" s="2" t="s">
        <v>1111</v>
      </c>
      <c r="C527" s="2" t="s">
        <v>1112</v>
      </c>
      <c r="D527" s="5" t="s">
        <v>526</v>
      </c>
      <c r="E527" s="2"/>
      <c r="F527" s="3" t="s">
        <v>10</v>
      </c>
      <c r="G527" s="2" t="s">
        <v>11</v>
      </c>
      <c r="H527" s="2" t="s">
        <v>12</v>
      </c>
      <c r="I527" s="2" t="s">
        <v>13</v>
      </c>
      <c r="J527" s="2" t="s">
        <v>14</v>
      </c>
    </row>
    <row r="528" spans="1:10" x14ac:dyDescent="0.3">
      <c r="A528" s="2" t="str">
        <f>HYPERLINK("https://hsdes.intel.com/resource/14013176393","14013176393")</f>
        <v>14013176393</v>
      </c>
      <c r="B528" s="2" t="s">
        <v>1113</v>
      </c>
      <c r="C528" s="2" t="s">
        <v>1114</v>
      </c>
      <c r="D528" s="5" t="s">
        <v>526</v>
      </c>
      <c r="E528" s="2"/>
      <c r="F528" s="3" t="s">
        <v>10</v>
      </c>
      <c r="G528" s="2" t="s">
        <v>39</v>
      </c>
      <c r="H528" s="2" t="s">
        <v>85</v>
      </c>
      <c r="I528" s="2" t="s">
        <v>86</v>
      </c>
      <c r="J528" s="2" t="s">
        <v>14</v>
      </c>
    </row>
    <row r="529" spans="1:10" x14ac:dyDescent="0.3">
      <c r="A529" s="2" t="str">
        <f>HYPERLINK("https://hsdes.intel.com/resource/14013176439","14013176439")</f>
        <v>14013176439</v>
      </c>
      <c r="B529" s="2" t="s">
        <v>1115</v>
      </c>
      <c r="C529" s="2" t="s">
        <v>1116</v>
      </c>
      <c r="D529" s="5" t="s">
        <v>526</v>
      </c>
      <c r="E529" s="2"/>
      <c r="F529" s="3" t="s">
        <v>10</v>
      </c>
      <c r="G529" s="2" t="s">
        <v>11</v>
      </c>
      <c r="H529" s="2" t="s">
        <v>119</v>
      </c>
      <c r="I529" s="2" t="s">
        <v>26</v>
      </c>
      <c r="J529" s="2" t="s">
        <v>27</v>
      </c>
    </row>
    <row r="530" spans="1:10" x14ac:dyDescent="0.3">
      <c r="A530" s="2" t="str">
        <f>HYPERLINK("https://hsdes.intel.com/resource/14013176487","14013176487")</f>
        <v>14013176487</v>
      </c>
      <c r="B530" s="2" t="s">
        <v>1117</v>
      </c>
      <c r="C530" s="2" t="s">
        <v>1118</v>
      </c>
      <c r="D530" s="5" t="s">
        <v>526</v>
      </c>
      <c r="E530" s="2"/>
      <c r="F530" s="3" t="s">
        <v>10</v>
      </c>
      <c r="G530" s="2" t="s">
        <v>11</v>
      </c>
      <c r="H530" s="2" t="s">
        <v>119</v>
      </c>
      <c r="I530" s="2" t="s">
        <v>26</v>
      </c>
      <c r="J530" s="2" t="s">
        <v>27</v>
      </c>
    </row>
    <row r="531" spans="1:10" x14ac:dyDescent="0.3">
      <c r="A531" s="2" t="str">
        <f>HYPERLINK("https://hsdes.intel.com/resource/14013176544","14013176544")</f>
        <v>14013176544</v>
      </c>
      <c r="B531" s="2" t="s">
        <v>1119</v>
      </c>
      <c r="C531" s="2" t="s">
        <v>1120</v>
      </c>
      <c r="D531" s="5" t="s">
        <v>526</v>
      </c>
      <c r="E531" s="2"/>
      <c r="F531" s="3" t="s">
        <v>10</v>
      </c>
      <c r="G531" s="2" t="s">
        <v>11</v>
      </c>
      <c r="H531" s="2" t="s">
        <v>119</v>
      </c>
      <c r="I531" s="2" t="s">
        <v>26</v>
      </c>
      <c r="J531" s="2" t="s">
        <v>14</v>
      </c>
    </row>
    <row r="532" spans="1:10" x14ac:dyDescent="0.3">
      <c r="A532" s="2" t="str">
        <f>HYPERLINK("https://hsdes.intel.com/resource/14013176669","14013176669")</f>
        <v>14013176669</v>
      </c>
      <c r="B532" s="2" t="s">
        <v>1121</v>
      </c>
      <c r="C532" s="2" t="s">
        <v>1122</v>
      </c>
      <c r="D532" s="5" t="s">
        <v>526</v>
      </c>
      <c r="E532" s="2"/>
      <c r="F532" s="3" t="s">
        <v>10</v>
      </c>
      <c r="G532" s="2" t="s">
        <v>11</v>
      </c>
      <c r="H532" s="2" t="s">
        <v>85</v>
      </c>
      <c r="I532" s="2" t="s">
        <v>86</v>
      </c>
      <c r="J532" s="2" t="s">
        <v>27</v>
      </c>
    </row>
    <row r="533" spans="1:10" x14ac:dyDescent="0.3">
      <c r="A533" s="2" t="str">
        <f>HYPERLINK("https://hsdes.intel.com/resource/14013176742","14013176742")</f>
        <v>14013176742</v>
      </c>
      <c r="B533" s="2" t="s">
        <v>1123</v>
      </c>
      <c r="C533" s="2" t="s">
        <v>1124</v>
      </c>
      <c r="D533" s="5" t="s">
        <v>526</v>
      </c>
      <c r="E533" s="2"/>
      <c r="F533" s="3" t="s">
        <v>10</v>
      </c>
      <c r="G533" s="2" t="s">
        <v>11</v>
      </c>
      <c r="H533" s="2" t="s">
        <v>119</v>
      </c>
      <c r="I533" s="2" t="s">
        <v>26</v>
      </c>
      <c r="J533" s="2" t="s">
        <v>14</v>
      </c>
    </row>
    <row r="534" spans="1:10" x14ac:dyDescent="0.3">
      <c r="A534" s="2" t="str">
        <f>HYPERLINK("https://hsdes.intel.com/resource/14013176752","14013176752")</f>
        <v>14013176752</v>
      </c>
      <c r="B534" s="2" t="s">
        <v>1125</v>
      </c>
      <c r="C534" s="2" t="s">
        <v>1126</v>
      </c>
      <c r="D534" s="5" t="s">
        <v>526</v>
      </c>
      <c r="E534" s="2"/>
      <c r="F534" s="3" t="s">
        <v>10</v>
      </c>
      <c r="G534" s="2" t="s">
        <v>11</v>
      </c>
      <c r="H534" s="2" t="s">
        <v>119</v>
      </c>
      <c r="I534" s="2" t="s">
        <v>26</v>
      </c>
      <c r="J534" s="2" t="s">
        <v>14</v>
      </c>
    </row>
    <row r="535" spans="1:10" x14ac:dyDescent="0.3">
      <c r="A535" s="2" t="str">
        <f>HYPERLINK("https://hsdes.intel.com/resource/14013176807","14013176807")</f>
        <v>14013176807</v>
      </c>
      <c r="B535" s="2" t="s">
        <v>1127</v>
      </c>
      <c r="C535" s="2" t="s">
        <v>1128</v>
      </c>
      <c r="D535" s="5" t="s">
        <v>526</v>
      </c>
      <c r="E535" s="2"/>
      <c r="F535" s="3" t="s">
        <v>10</v>
      </c>
      <c r="G535" s="2" t="s">
        <v>11</v>
      </c>
      <c r="H535" s="2" t="s">
        <v>119</v>
      </c>
      <c r="I535" s="2" t="s">
        <v>26</v>
      </c>
      <c r="J535" s="2" t="s">
        <v>14</v>
      </c>
    </row>
    <row r="536" spans="1:10" x14ac:dyDescent="0.3">
      <c r="A536" s="2" t="str">
        <f>HYPERLINK("https://hsdes.intel.com/resource/14013176813","14013176813")</f>
        <v>14013176813</v>
      </c>
      <c r="B536" s="2" t="s">
        <v>1129</v>
      </c>
      <c r="C536" s="2" t="s">
        <v>1130</v>
      </c>
      <c r="D536" s="5" t="s">
        <v>526</v>
      </c>
      <c r="E536" s="2"/>
      <c r="F536" s="3" t="s">
        <v>10</v>
      </c>
      <c r="G536" s="2" t="s">
        <v>11</v>
      </c>
      <c r="H536" s="2" t="s">
        <v>119</v>
      </c>
      <c r="I536" s="2" t="s">
        <v>26</v>
      </c>
      <c r="J536" s="2" t="s">
        <v>27</v>
      </c>
    </row>
    <row r="537" spans="1:10" x14ac:dyDescent="0.3">
      <c r="A537" s="2" t="str">
        <f>HYPERLINK("https://hsdes.intel.com/resource/14013176879","14013176879")</f>
        <v>14013176879</v>
      </c>
      <c r="B537" s="2" t="s">
        <v>1131</v>
      </c>
      <c r="C537" s="2" t="s">
        <v>1132</v>
      </c>
      <c r="D537" s="5" t="s">
        <v>526</v>
      </c>
      <c r="E537" s="2"/>
      <c r="F537" s="3" t="s">
        <v>10</v>
      </c>
      <c r="G537" s="2" t="s">
        <v>11</v>
      </c>
      <c r="H537" s="2" t="s">
        <v>85</v>
      </c>
      <c r="I537" s="2" t="s">
        <v>86</v>
      </c>
      <c r="J537" s="2" t="s">
        <v>14</v>
      </c>
    </row>
    <row r="538" spans="1:10" x14ac:dyDescent="0.3">
      <c r="A538" s="2" t="str">
        <f>HYPERLINK("https://hsdes.intel.com/resource/14013176896","14013176896")</f>
        <v>14013176896</v>
      </c>
      <c r="B538" s="2" t="s">
        <v>1133</v>
      </c>
      <c r="C538" s="2" t="s">
        <v>1134</v>
      </c>
      <c r="D538" s="5" t="s">
        <v>526</v>
      </c>
      <c r="E538" s="2"/>
      <c r="F538" s="3" t="s">
        <v>10</v>
      </c>
      <c r="G538" s="2" t="s">
        <v>11</v>
      </c>
      <c r="H538" s="2" t="s">
        <v>85</v>
      </c>
      <c r="I538" s="2" t="s">
        <v>86</v>
      </c>
      <c r="J538" s="2" t="s">
        <v>14</v>
      </c>
    </row>
    <row r="539" spans="1:10" x14ac:dyDescent="0.3">
      <c r="A539" s="2" t="str">
        <f>HYPERLINK("https://hsdes.intel.com/resource/14013176898","14013176898")</f>
        <v>14013176898</v>
      </c>
      <c r="B539" s="2" t="s">
        <v>1135</v>
      </c>
      <c r="C539" s="2" t="s">
        <v>1136</v>
      </c>
      <c r="D539" s="5" t="s">
        <v>526</v>
      </c>
      <c r="E539" s="2"/>
      <c r="F539" s="3" t="s">
        <v>10</v>
      </c>
      <c r="G539" s="2" t="s">
        <v>11</v>
      </c>
      <c r="H539" s="2" t="s">
        <v>85</v>
      </c>
      <c r="I539" s="2" t="s">
        <v>86</v>
      </c>
      <c r="J539" s="2" t="s">
        <v>14</v>
      </c>
    </row>
    <row r="540" spans="1:10" x14ac:dyDescent="0.3">
      <c r="A540" s="2" t="str">
        <f>HYPERLINK("https://hsdes.intel.com/resource/14013176901","14013176901")</f>
        <v>14013176901</v>
      </c>
      <c r="B540" s="2" t="s">
        <v>1137</v>
      </c>
      <c r="C540" s="2" t="s">
        <v>1138</v>
      </c>
      <c r="D540" s="5" t="s">
        <v>526</v>
      </c>
      <c r="E540" s="2"/>
      <c r="F540" s="3" t="s">
        <v>10</v>
      </c>
      <c r="G540" s="2" t="s">
        <v>11</v>
      </c>
      <c r="H540" s="2" t="s">
        <v>85</v>
      </c>
      <c r="I540" s="2" t="s">
        <v>86</v>
      </c>
      <c r="J540" s="2" t="s">
        <v>14</v>
      </c>
    </row>
    <row r="541" spans="1:10" x14ac:dyDescent="0.3">
      <c r="A541" s="2" t="str">
        <f>HYPERLINK("https://hsdes.intel.com/resource/14013176907","14013176907")</f>
        <v>14013176907</v>
      </c>
      <c r="B541" s="2" t="s">
        <v>1139</v>
      </c>
      <c r="C541" s="2" t="s">
        <v>1140</v>
      </c>
      <c r="D541" s="5" t="s">
        <v>526</v>
      </c>
      <c r="E541" s="2"/>
      <c r="F541" s="3" t="s">
        <v>10</v>
      </c>
      <c r="G541" s="2" t="s">
        <v>11</v>
      </c>
      <c r="H541" s="2" t="s">
        <v>85</v>
      </c>
      <c r="I541" s="2" t="s">
        <v>86</v>
      </c>
      <c r="J541" s="2" t="s">
        <v>14</v>
      </c>
    </row>
    <row r="542" spans="1:10" x14ac:dyDescent="0.3">
      <c r="A542" s="2" t="str">
        <f>HYPERLINK("https://hsdes.intel.com/resource/14013176909","14013176909")</f>
        <v>14013176909</v>
      </c>
      <c r="B542" s="2" t="s">
        <v>1141</v>
      </c>
      <c r="C542" s="2" t="s">
        <v>1142</v>
      </c>
      <c r="D542" s="5" t="s">
        <v>526</v>
      </c>
      <c r="E542" s="2"/>
      <c r="F542" s="3" t="s">
        <v>10</v>
      </c>
      <c r="G542" s="2" t="s">
        <v>11</v>
      </c>
      <c r="H542" s="2" t="s">
        <v>85</v>
      </c>
      <c r="I542" s="2" t="s">
        <v>86</v>
      </c>
      <c r="J542" s="2" t="s">
        <v>27</v>
      </c>
    </row>
    <row r="543" spans="1:10" x14ac:dyDescent="0.3">
      <c r="A543" s="2" t="str">
        <f>HYPERLINK("https://hsdes.intel.com/resource/14013177021","14013177021")</f>
        <v>14013177021</v>
      </c>
      <c r="B543" s="2" t="s">
        <v>1143</v>
      </c>
      <c r="C543" s="2" t="s">
        <v>1144</v>
      </c>
      <c r="D543" s="5" t="s">
        <v>526</v>
      </c>
      <c r="E543" s="2"/>
      <c r="F543" s="3" t="s">
        <v>10</v>
      </c>
      <c r="G543" s="2" t="s">
        <v>11</v>
      </c>
      <c r="H543" s="2" t="s">
        <v>119</v>
      </c>
      <c r="I543" s="2" t="s">
        <v>26</v>
      </c>
      <c r="J543" s="2" t="s">
        <v>27</v>
      </c>
    </row>
    <row r="544" spans="1:10" x14ac:dyDescent="0.3">
      <c r="A544" s="2" t="str">
        <f>HYPERLINK("https://hsdes.intel.com/resource/14013177242","14013177242")</f>
        <v>14013177242</v>
      </c>
      <c r="B544" s="2" t="s">
        <v>1145</v>
      </c>
      <c r="C544" s="2" t="s">
        <v>1146</v>
      </c>
      <c r="D544" s="5" t="s">
        <v>526</v>
      </c>
      <c r="E544" s="2"/>
      <c r="F544" s="3" t="s">
        <v>10</v>
      </c>
      <c r="G544" s="2" t="s">
        <v>11</v>
      </c>
      <c r="H544" s="2" t="s">
        <v>119</v>
      </c>
      <c r="I544" s="2" t="s">
        <v>26</v>
      </c>
      <c r="J544" s="2" t="s">
        <v>14</v>
      </c>
    </row>
    <row r="545" spans="1:10" x14ac:dyDescent="0.3">
      <c r="A545" s="2" t="str">
        <f>HYPERLINK("https://hsdes.intel.com/resource/14013177245","14013177245")</f>
        <v>14013177245</v>
      </c>
      <c r="B545" s="2" t="s">
        <v>1147</v>
      </c>
      <c r="C545" s="2" t="s">
        <v>1148</v>
      </c>
      <c r="D545" s="5" t="s">
        <v>526</v>
      </c>
      <c r="E545" s="2"/>
      <c r="F545" s="3" t="s">
        <v>10</v>
      </c>
      <c r="G545" s="2" t="s">
        <v>39</v>
      </c>
      <c r="H545" s="2" t="s">
        <v>119</v>
      </c>
      <c r="I545" s="2" t="s">
        <v>26</v>
      </c>
      <c r="J545" s="2" t="s">
        <v>14</v>
      </c>
    </row>
    <row r="546" spans="1:10" x14ac:dyDescent="0.3">
      <c r="A546" s="2" t="str">
        <f>HYPERLINK("https://hsdes.intel.com/resource/14013177386","14013177386")</f>
        <v>14013177386</v>
      </c>
      <c r="B546" s="2" t="s">
        <v>1149</v>
      </c>
      <c r="C546" s="2" t="s">
        <v>1150</v>
      </c>
      <c r="D546" s="5" t="s">
        <v>526</v>
      </c>
      <c r="E546" s="2"/>
      <c r="F546" s="3" t="s">
        <v>10</v>
      </c>
      <c r="G546" s="2" t="s">
        <v>11</v>
      </c>
      <c r="H546" s="2" t="s">
        <v>119</v>
      </c>
      <c r="I546" s="2" t="s">
        <v>26</v>
      </c>
      <c r="J546" s="2" t="s">
        <v>14</v>
      </c>
    </row>
    <row r="547" spans="1:10" x14ac:dyDescent="0.3">
      <c r="A547" s="2" t="str">
        <f>HYPERLINK("https://hsdes.intel.com/resource/14013177684","14013177684")</f>
        <v>14013177684</v>
      </c>
      <c r="B547" s="2" t="s">
        <v>1151</v>
      </c>
      <c r="C547" s="2" t="s">
        <v>1152</v>
      </c>
      <c r="D547" s="5" t="s">
        <v>526</v>
      </c>
      <c r="E547" s="2"/>
      <c r="F547" s="3" t="s">
        <v>10</v>
      </c>
      <c r="G547" s="2" t="s">
        <v>11</v>
      </c>
      <c r="H547" s="2" t="s">
        <v>119</v>
      </c>
      <c r="I547" s="2" t="s">
        <v>26</v>
      </c>
      <c r="J547" s="2" t="s">
        <v>27</v>
      </c>
    </row>
    <row r="548" spans="1:10" x14ac:dyDescent="0.3">
      <c r="A548" s="2" t="str">
        <f>HYPERLINK("https://hsdes.intel.com/resource/14013177694","14013177694")</f>
        <v>14013177694</v>
      </c>
      <c r="B548" s="2" t="s">
        <v>1153</v>
      </c>
      <c r="C548" s="2" t="s">
        <v>1154</v>
      </c>
      <c r="D548" s="5" t="s">
        <v>526</v>
      </c>
      <c r="E548" s="2"/>
      <c r="F548" s="3" t="s">
        <v>10</v>
      </c>
      <c r="G548" s="2" t="s">
        <v>11</v>
      </c>
      <c r="H548" s="2" t="s">
        <v>119</v>
      </c>
      <c r="I548" s="2" t="s">
        <v>26</v>
      </c>
      <c r="J548" s="2" t="s">
        <v>14</v>
      </c>
    </row>
    <row r="549" spans="1:10" x14ac:dyDescent="0.3">
      <c r="A549" s="2" t="str">
        <f>HYPERLINK("https://hsdes.intel.com/resource/14013177820","14013177820")</f>
        <v>14013177820</v>
      </c>
      <c r="B549" s="2" t="s">
        <v>1155</v>
      </c>
      <c r="C549" s="2" t="s">
        <v>1156</v>
      </c>
      <c r="D549" s="5" t="s">
        <v>526</v>
      </c>
      <c r="E549" s="2"/>
      <c r="F549" s="3" t="s">
        <v>10</v>
      </c>
      <c r="G549" s="2" t="s">
        <v>11</v>
      </c>
      <c r="H549" s="2" t="s">
        <v>119</v>
      </c>
      <c r="I549" s="2" t="s">
        <v>26</v>
      </c>
      <c r="J549" s="2" t="s">
        <v>27</v>
      </c>
    </row>
    <row r="550" spans="1:10" x14ac:dyDescent="0.3">
      <c r="A550" s="2" t="str">
        <f>HYPERLINK("https://hsdes.intel.com/resource/14013177822","14013177822")</f>
        <v>14013177822</v>
      </c>
      <c r="B550" s="2" t="s">
        <v>1157</v>
      </c>
      <c r="C550" s="2" t="s">
        <v>1158</v>
      </c>
      <c r="D550" s="5" t="s">
        <v>526</v>
      </c>
      <c r="E550" s="2"/>
      <c r="F550" s="3" t="s">
        <v>10</v>
      </c>
      <c r="G550" s="2" t="s">
        <v>11</v>
      </c>
      <c r="H550" s="2" t="s">
        <v>119</v>
      </c>
      <c r="I550" s="2" t="s">
        <v>26</v>
      </c>
      <c r="J550" s="2" t="s">
        <v>27</v>
      </c>
    </row>
    <row r="551" spans="1:10" x14ac:dyDescent="0.3">
      <c r="A551" s="2" t="str">
        <f>HYPERLINK("https://hsdes.intel.com/resource/14013177825","14013177825")</f>
        <v>14013177825</v>
      </c>
      <c r="B551" s="2" t="s">
        <v>1159</v>
      </c>
      <c r="C551" s="2" t="s">
        <v>1160</v>
      </c>
      <c r="D551" s="5" t="s">
        <v>526</v>
      </c>
      <c r="E551" s="2"/>
      <c r="F551" s="3" t="s">
        <v>10</v>
      </c>
      <c r="G551" s="2" t="s">
        <v>11</v>
      </c>
      <c r="H551" s="2" t="s">
        <v>119</v>
      </c>
      <c r="I551" s="2" t="s">
        <v>26</v>
      </c>
      <c r="J551" s="2" t="s">
        <v>27</v>
      </c>
    </row>
    <row r="552" spans="1:10" x14ac:dyDescent="0.3">
      <c r="A552" s="2" t="str">
        <f>HYPERLINK("https://hsdes.intel.com/resource/14013177838","14013177838")</f>
        <v>14013177838</v>
      </c>
      <c r="B552" s="2" t="s">
        <v>1161</v>
      </c>
      <c r="C552" s="2" t="s">
        <v>1162</v>
      </c>
      <c r="D552" s="5" t="s">
        <v>526</v>
      </c>
      <c r="E552" s="2"/>
      <c r="F552" s="3" t="s">
        <v>10</v>
      </c>
      <c r="G552" s="2" t="s">
        <v>11</v>
      </c>
      <c r="H552" s="2" t="s">
        <v>119</v>
      </c>
      <c r="I552" s="2" t="s">
        <v>26</v>
      </c>
      <c r="J552" s="2" t="s">
        <v>27</v>
      </c>
    </row>
    <row r="553" spans="1:10" x14ac:dyDescent="0.3">
      <c r="A553" s="2" t="str">
        <f>HYPERLINK("https://hsdes.intel.com/resource/14013177951","14013177951")</f>
        <v>14013177951</v>
      </c>
      <c r="B553" s="2" t="s">
        <v>1163</v>
      </c>
      <c r="C553" s="2" t="s">
        <v>1164</v>
      </c>
      <c r="D553" s="5" t="s">
        <v>526</v>
      </c>
      <c r="E553" s="2"/>
      <c r="F553" s="3" t="s">
        <v>10</v>
      </c>
      <c r="G553" s="2" t="s">
        <v>11</v>
      </c>
      <c r="H553" s="2" t="s">
        <v>85</v>
      </c>
      <c r="I553" s="2" t="s">
        <v>86</v>
      </c>
      <c r="J553" s="2" t="s">
        <v>27</v>
      </c>
    </row>
    <row r="554" spans="1:10" x14ac:dyDescent="0.3">
      <c r="A554" s="2" t="str">
        <f>HYPERLINK("https://hsdes.intel.com/resource/14013177997","14013177997")</f>
        <v>14013177997</v>
      </c>
      <c r="B554" s="2" t="s">
        <v>1165</v>
      </c>
      <c r="C554" s="2" t="s">
        <v>1166</v>
      </c>
      <c r="D554" s="5" t="s">
        <v>526</v>
      </c>
      <c r="E554" s="2"/>
      <c r="F554" s="3" t="s">
        <v>10</v>
      </c>
      <c r="G554" s="2" t="s">
        <v>11</v>
      </c>
      <c r="H554" s="2" t="s">
        <v>159</v>
      </c>
      <c r="I554" s="2" t="s">
        <v>41</v>
      </c>
      <c r="J554" s="2" t="s">
        <v>32</v>
      </c>
    </row>
    <row r="555" spans="1:10" x14ac:dyDescent="0.3">
      <c r="A555" s="2" t="str">
        <f>HYPERLINK("https://hsdes.intel.com/resource/14013178043","14013178043")</f>
        <v>14013178043</v>
      </c>
      <c r="B555" s="2" t="s">
        <v>1167</v>
      </c>
      <c r="C555" s="2" t="s">
        <v>1168</v>
      </c>
      <c r="D555" s="5" t="s">
        <v>526</v>
      </c>
      <c r="E555" s="2"/>
      <c r="F555" s="3" t="s">
        <v>10</v>
      </c>
      <c r="G555" s="2" t="s">
        <v>11</v>
      </c>
      <c r="H555" s="2" t="s">
        <v>53</v>
      </c>
      <c r="I555" s="2" t="s">
        <v>54</v>
      </c>
      <c r="J555" s="2" t="s">
        <v>14</v>
      </c>
    </row>
    <row r="556" spans="1:10" x14ac:dyDescent="0.3">
      <c r="A556" s="2" t="str">
        <f>HYPERLINK("https://hsdes.intel.com/resource/14013178072","14013178072")</f>
        <v>14013178072</v>
      </c>
      <c r="B556" s="2" t="s">
        <v>1169</v>
      </c>
      <c r="C556" s="2" t="s">
        <v>1170</v>
      </c>
      <c r="D556" s="5" t="s">
        <v>526</v>
      </c>
      <c r="E556" s="2"/>
      <c r="F556" s="3" t="s">
        <v>10</v>
      </c>
      <c r="G556" s="2" t="s">
        <v>11</v>
      </c>
      <c r="H556" s="2" t="s">
        <v>60</v>
      </c>
      <c r="I556" s="2" t="s">
        <v>50</v>
      </c>
      <c r="J556" s="2" t="s">
        <v>14</v>
      </c>
    </row>
    <row r="557" spans="1:10" x14ac:dyDescent="0.3">
      <c r="A557" s="2" t="str">
        <f>HYPERLINK("https://hsdes.intel.com/resource/14013178238","14013178238")</f>
        <v>14013178238</v>
      </c>
      <c r="B557" s="2" t="s">
        <v>1171</v>
      </c>
      <c r="C557" s="2" t="s">
        <v>1172</v>
      </c>
      <c r="D557" s="5" t="s">
        <v>526</v>
      </c>
      <c r="E557" s="2"/>
      <c r="F557" s="3" t="s">
        <v>10</v>
      </c>
      <c r="G557" s="2" t="s">
        <v>11</v>
      </c>
      <c r="H557" s="2" t="s">
        <v>30</v>
      </c>
      <c r="I557" s="2" t="s">
        <v>41</v>
      </c>
      <c r="J557" s="2" t="s">
        <v>14</v>
      </c>
    </row>
    <row r="558" spans="1:10" x14ac:dyDescent="0.3">
      <c r="A558" s="2" t="str">
        <f>HYPERLINK("https://hsdes.intel.com/resource/14013178242","14013178242")</f>
        <v>14013178242</v>
      </c>
      <c r="B558" s="2" t="s">
        <v>1173</v>
      </c>
      <c r="C558" s="2" t="s">
        <v>1174</v>
      </c>
      <c r="D558" s="5" t="s">
        <v>526</v>
      </c>
      <c r="E558" s="2"/>
      <c r="F558" s="3" t="s">
        <v>10</v>
      </c>
      <c r="G558" s="2" t="s">
        <v>11</v>
      </c>
      <c r="H558" s="2" t="s">
        <v>1175</v>
      </c>
      <c r="I558" s="2" t="s">
        <v>41</v>
      </c>
      <c r="J558" s="2" t="s">
        <v>14</v>
      </c>
    </row>
    <row r="559" spans="1:10" x14ac:dyDescent="0.3">
      <c r="A559" s="2" t="str">
        <f>HYPERLINK("https://hsdes.intel.com/resource/14013178349","14013178349")</f>
        <v>14013178349</v>
      </c>
      <c r="B559" s="2" t="s">
        <v>1176</v>
      </c>
      <c r="C559" s="2" t="s">
        <v>1177</v>
      </c>
      <c r="D559" s="5" t="s">
        <v>526</v>
      </c>
      <c r="E559" s="2"/>
      <c r="F559" s="3" t="s">
        <v>10</v>
      </c>
      <c r="G559" s="2" t="s">
        <v>11</v>
      </c>
      <c r="H559" s="2" t="s">
        <v>49</v>
      </c>
      <c r="I559" s="2" t="s">
        <v>128</v>
      </c>
      <c r="J559" s="2" t="s">
        <v>14</v>
      </c>
    </row>
    <row r="560" spans="1:10" x14ac:dyDescent="0.3">
      <c r="A560" s="2" t="str">
        <f>HYPERLINK("https://hsdes.intel.com/resource/14013178351","14013178351")</f>
        <v>14013178351</v>
      </c>
      <c r="B560" s="2" t="s">
        <v>1178</v>
      </c>
      <c r="C560" s="2" t="s">
        <v>1179</v>
      </c>
      <c r="D560" s="5" t="s">
        <v>526</v>
      </c>
      <c r="E560" s="2"/>
      <c r="F560" s="3" t="s">
        <v>10</v>
      </c>
      <c r="G560" s="2" t="s">
        <v>11</v>
      </c>
      <c r="H560" s="2" t="s">
        <v>49</v>
      </c>
      <c r="I560" s="2" t="s">
        <v>128</v>
      </c>
      <c r="J560" s="2" t="s">
        <v>14</v>
      </c>
    </row>
    <row r="561" spans="1:10" x14ac:dyDescent="0.3">
      <c r="A561" s="2" t="str">
        <f>HYPERLINK("https://hsdes.intel.com/resource/14013178355","14013178355")</f>
        <v>14013178355</v>
      </c>
      <c r="B561" s="2" t="s">
        <v>1180</v>
      </c>
      <c r="C561" s="2" t="s">
        <v>1181</v>
      </c>
      <c r="D561" s="5" t="s">
        <v>526</v>
      </c>
      <c r="E561" s="2"/>
      <c r="F561" s="3" t="s">
        <v>10</v>
      </c>
      <c r="G561" s="2" t="s">
        <v>11</v>
      </c>
      <c r="H561" s="2" t="s">
        <v>49</v>
      </c>
      <c r="I561" s="2" t="s">
        <v>128</v>
      </c>
      <c r="J561" s="2" t="s">
        <v>14</v>
      </c>
    </row>
    <row r="562" spans="1:10" x14ac:dyDescent="0.3">
      <c r="A562" s="2" t="str">
        <f>HYPERLINK("https://hsdes.intel.com/resource/14013178356","14013178356")</f>
        <v>14013178356</v>
      </c>
      <c r="B562" s="2" t="s">
        <v>1182</v>
      </c>
      <c r="C562" s="2" t="s">
        <v>1183</v>
      </c>
      <c r="D562" s="5" t="s">
        <v>526</v>
      </c>
      <c r="E562" s="2"/>
      <c r="F562" s="3" t="s">
        <v>10</v>
      </c>
      <c r="G562" s="2" t="s">
        <v>11</v>
      </c>
      <c r="H562" s="2" t="s">
        <v>49</v>
      </c>
      <c r="I562" s="2" t="s">
        <v>128</v>
      </c>
      <c r="J562" s="2" t="s">
        <v>14</v>
      </c>
    </row>
    <row r="563" spans="1:10" x14ac:dyDescent="0.3">
      <c r="A563" s="2" t="str">
        <f>HYPERLINK("https://hsdes.intel.com/resource/14013178358","14013178358")</f>
        <v>14013178358</v>
      </c>
      <c r="B563" s="2" t="s">
        <v>1184</v>
      </c>
      <c r="C563" s="2" t="s">
        <v>1185</v>
      </c>
      <c r="D563" s="5" t="s">
        <v>526</v>
      </c>
      <c r="E563" s="2"/>
      <c r="F563" s="3" t="s">
        <v>10</v>
      </c>
      <c r="G563" s="2" t="s">
        <v>11</v>
      </c>
      <c r="H563" s="2" t="s">
        <v>49</v>
      </c>
      <c r="I563" s="2" t="s">
        <v>128</v>
      </c>
      <c r="J563" s="2" t="s">
        <v>14</v>
      </c>
    </row>
    <row r="564" spans="1:10" x14ac:dyDescent="0.3">
      <c r="A564" s="2" t="str">
        <f>HYPERLINK("https://hsdes.intel.com/resource/14013178359","14013178359")</f>
        <v>14013178359</v>
      </c>
      <c r="B564" s="2" t="s">
        <v>1186</v>
      </c>
      <c r="C564" s="2" t="s">
        <v>1187</v>
      </c>
      <c r="D564" s="5" t="s">
        <v>526</v>
      </c>
      <c r="E564" s="2"/>
      <c r="F564" s="3" t="s">
        <v>10</v>
      </c>
      <c r="G564" s="2" t="s">
        <v>11</v>
      </c>
      <c r="H564" s="2" t="s">
        <v>49</v>
      </c>
      <c r="I564" s="2" t="s">
        <v>128</v>
      </c>
      <c r="J564" s="2" t="s">
        <v>14</v>
      </c>
    </row>
    <row r="565" spans="1:10" x14ac:dyDescent="0.3">
      <c r="A565" s="2" t="str">
        <f>HYPERLINK("https://hsdes.intel.com/resource/14013178862","14013178862")</f>
        <v>14013178862</v>
      </c>
      <c r="B565" s="2" t="s">
        <v>1188</v>
      </c>
      <c r="C565" s="2" t="s">
        <v>1189</v>
      </c>
      <c r="D565" s="5" t="s">
        <v>526</v>
      </c>
      <c r="E565" s="2"/>
      <c r="F565" s="3" t="s">
        <v>10</v>
      </c>
      <c r="G565" s="2" t="s">
        <v>11</v>
      </c>
      <c r="H565" s="2" t="s">
        <v>119</v>
      </c>
      <c r="I565" s="2" t="s">
        <v>26</v>
      </c>
      <c r="J565" s="2" t="s">
        <v>27</v>
      </c>
    </row>
    <row r="566" spans="1:10" x14ac:dyDescent="0.3">
      <c r="A566" s="2" t="str">
        <f>HYPERLINK("https://hsdes.intel.com/resource/14013178866","14013178866")</f>
        <v>14013178866</v>
      </c>
      <c r="B566" s="2" t="s">
        <v>1190</v>
      </c>
      <c r="C566" s="2" t="s">
        <v>1191</v>
      </c>
      <c r="D566" s="5" t="s">
        <v>526</v>
      </c>
      <c r="E566" s="2"/>
      <c r="F566" s="3" t="s">
        <v>10</v>
      </c>
      <c r="G566" s="2" t="s">
        <v>11</v>
      </c>
      <c r="H566" s="2" t="s">
        <v>119</v>
      </c>
      <c r="I566" s="2" t="s">
        <v>26</v>
      </c>
      <c r="J566" s="2" t="s">
        <v>27</v>
      </c>
    </row>
    <row r="567" spans="1:10" x14ac:dyDescent="0.3">
      <c r="A567" s="2" t="str">
        <f>HYPERLINK("https://hsdes.intel.com/resource/14013178873","14013178873")</f>
        <v>14013178873</v>
      </c>
      <c r="B567" s="2" t="s">
        <v>1192</v>
      </c>
      <c r="C567" s="2" t="s">
        <v>1193</v>
      </c>
      <c r="D567" s="5" t="s">
        <v>526</v>
      </c>
      <c r="E567" s="2"/>
      <c r="F567" s="3" t="s">
        <v>10</v>
      </c>
      <c r="G567" s="2" t="s">
        <v>11</v>
      </c>
      <c r="H567" s="2" t="s">
        <v>119</v>
      </c>
      <c r="I567" s="2" t="s">
        <v>26</v>
      </c>
      <c r="J567" s="2" t="s">
        <v>14</v>
      </c>
    </row>
    <row r="568" spans="1:10" x14ac:dyDescent="0.3">
      <c r="A568" s="2" t="str">
        <f>HYPERLINK("https://hsdes.intel.com/resource/14013178885","14013178885")</f>
        <v>14013178885</v>
      </c>
      <c r="B568" s="2" t="s">
        <v>1194</v>
      </c>
      <c r="C568" s="2" t="s">
        <v>1195</v>
      </c>
      <c r="D568" s="5" t="s">
        <v>526</v>
      </c>
      <c r="E568" s="2"/>
      <c r="F568" s="3" t="s">
        <v>10</v>
      </c>
      <c r="G568" s="2" t="s">
        <v>11</v>
      </c>
      <c r="H568" s="2" t="s">
        <v>65</v>
      </c>
      <c r="I568" s="2" t="s">
        <v>41</v>
      </c>
      <c r="J568" s="2" t="s">
        <v>32</v>
      </c>
    </row>
    <row r="569" spans="1:10" x14ac:dyDescent="0.3">
      <c r="A569" s="2" t="str">
        <f>HYPERLINK("https://hsdes.intel.com/resource/14013178916","14013178916")</f>
        <v>14013178916</v>
      </c>
      <c r="B569" s="2" t="s">
        <v>1196</v>
      </c>
      <c r="C569" s="2" t="s">
        <v>1197</v>
      </c>
      <c r="D569" s="5" t="s">
        <v>526</v>
      </c>
      <c r="E569" s="2"/>
      <c r="F569" s="3" t="s">
        <v>10</v>
      </c>
      <c r="G569" s="2" t="s">
        <v>11</v>
      </c>
      <c r="H569" s="2" t="s">
        <v>265</v>
      </c>
      <c r="I569" s="2" t="s">
        <v>266</v>
      </c>
      <c r="J569" s="2" t="s">
        <v>32</v>
      </c>
    </row>
    <row r="570" spans="1:10" x14ac:dyDescent="0.3">
      <c r="A570" s="2" t="str">
        <f>HYPERLINK("https://hsdes.intel.com/resource/14013178922","14013178922")</f>
        <v>14013178922</v>
      </c>
      <c r="B570" s="2" t="s">
        <v>1198</v>
      </c>
      <c r="C570" s="2" t="s">
        <v>1199</v>
      </c>
      <c r="D570" s="5" t="s">
        <v>526</v>
      </c>
      <c r="E570" s="2"/>
      <c r="F570" s="3" t="s">
        <v>10</v>
      </c>
      <c r="G570" s="2" t="s">
        <v>11</v>
      </c>
      <c r="H570" s="2" t="s">
        <v>85</v>
      </c>
      <c r="I570" s="2" t="s">
        <v>86</v>
      </c>
      <c r="J570" s="2" t="s">
        <v>14</v>
      </c>
    </row>
    <row r="571" spans="1:10" x14ac:dyDescent="0.3">
      <c r="A571" s="4" t="str">
        <f>HYPERLINK("https://hsdes.intel.com/resource/14013178960","14013178960")</f>
        <v>14013178960</v>
      </c>
      <c r="B571" s="2" t="s">
        <v>1200</v>
      </c>
      <c r="C571" s="2" t="s">
        <v>1201</v>
      </c>
      <c r="D571" s="5" t="s">
        <v>526</v>
      </c>
      <c r="E571" s="2"/>
      <c r="F571" s="3" t="s">
        <v>10</v>
      </c>
      <c r="G571" s="2" t="s">
        <v>39</v>
      </c>
      <c r="H571" s="2" t="s">
        <v>1175</v>
      </c>
      <c r="I571" s="2" t="s">
        <v>41</v>
      </c>
      <c r="J571" s="2" t="s">
        <v>27</v>
      </c>
    </row>
    <row r="572" spans="1:10" x14ac:dyDescent="0.3">
      <c r="A572" s="2" t="str">
        <f>HYPERLINK("https://hsdes.intel.com/resource/14013179011","14013179011")</f>
        <v>14013179011</v>
      </c>
      <c r="B572" s="2" t="s">
        <v>1202</v>
      </c>
      <c r="C572" s="2" t="s">
        <v>1203</v>
      </c>
      <c r="D572" s="5" t="s">
        <v>526</v>
      </c>
      <c r="E572" s="2"/>
      <c r="F572" s="3" t="s">
        <v>10</v>
      </c>
      <c r="G572" s="2" t="s">
        <v>11</v>
      </c>
      <c r="H572" s="2" t="s">
        <v>119</v>
      </c>
      <c r="I572" s="2" t="s">
        <v>26</v>
      </c>
      <c r="J572" s="2" t="s">
        <v>14</v>
      </c>
    </row>
    <row r="573" spans="1:10" x14ac:dyDescent="0.3">
      <c r="A573" s="2" t="str">
        <f>HYPERLINK("https://hsdes.intel.com/resource/14013179066","14013179066")</f>
        <v>14013179066</v>
      </c>
      <c r="B573" s="2" t="s">
        <v>1204</v>
      </c>
      <c r="C573" s="2" t="s">
        <v>1205</v>
      </c>
      <c r="D573" s="5" t="s">
        <v>526</v>
      </c>
      <c r="E573" s="2"/>
      <c r="F573" s="3" t="s">
        <v>10</v>
      </c>
      <c r="G573" s="2" t="s">
        <v>11</v>
      </c>
      <c r="H573" s="2" t="s">
        <v>265</v>
      </c>
      <c r="I573" s="2" t="s">
        <v>266</v>
      </c>
      <c r="J573" s="2" t="s">
        <v>27</v>
      </c>
    </row>
    <row r="574" spans="1:10" x14ac:dyDescent="0.3">
      <c r="A574" s="2" t="str">
        <f>HYPERLINK("https://hsdes.intel.com/resource/14013179082","14013179082")</f>
        <v>14013179082</v>
      </c>
      <c r="B574" s="2" t="s">
        <v>1206</v>
      </c>
      <c r="C574" s="2" t="s">
        <v>1207</v>
      </c>
      <c r="D574" s="5" t="s">
        <v>526</v>
      </c>
      <c r="E574" s="2"/>
      <c r="F574" s="3" t="s">
        <v>10</v>
      </c>
      <c r="G574" s="2" t="s">
        <v>11</v>
      </c>
      <c r="H574" s="2" t="s">
        <v>265</v>
      </c>
      <c r="I574" s="2" t="s">
        <v>266</v>
      </c>
      <c r="J574" s="2" t="s">
        <v>27</v>
      </c>
    </row>
    <row r="575" spans="1:10" x14ac:dyDescent="0.3">
      <c r="A575" s="2" t="str">
        <f>HYPERLINK("https://hsdes.intel.com/resource/14013179088","14013179088")</f>
        <v>14013179088</v>
      </c>
      <c r="B575" s="2" t="s">
        <v>1208</v>
      </c>
      <c r="C575" s="2" t="s">
        <v>1209</v>
      </c>
      <c r="D575" s="5" t="s">
        <v>526</v>
      </c>
      <c r="E575" s="2"/>
      <c r="F575" s="3" t="s">
        <v>10</v>
      </c>
      <c r="G575" s="2" t="s">
        <v>11</v>
      </c>
      <c r="H575" s="2" t="s">
        <v>265</v>
      </c>
      <c r="I575" s="2" t="s">
        <v>266</v>
      </c>
      <c r="J575" s="2" t="s">
        <v>27</v>
      </c>
    </row>
    <row r="576" spans="1:10" x14ac:dyDescent="0.3">
      <c r="A576" s="2" t="str">
        <f>HYPERLINK("https://hsdes.intel.com/resource/14013179099","14013179099")</f>
        <v>14013179099</v>
      </c>
      <c r="B576" s="2" t="s">
        <v>1210</v>
      </c>
      <c r="C576" s="2" t="s">
        <v>1211</v>
      </c>
      <c r="D576" s="5" t="s">
        <v>526</v>
      </c>
      <c r="E576" s="2"/>
      <c r="F576" s="3" t="s">
        <v>10</v>
      </c>
      <c r="G576" s="2" t="s">
        <v>11</v>
      </c>
      <c r="H576" s="2" t="s">
        <v>49</v>
      </c>
      <c r="I576" s="2" t="s">
        <v>50</v>
      </c>
      <c r="J576" s="2" t="s">
        <v>32</v>
      </c>
    </row>
    <row r="577" spans="1:10" x14ac:dyDescent="0.3">
      <c r="A577" s="2" t="str">
        <f>HYPERLINK("https://hsdes.intel.com/resource/14013179158","14013179158")</f>
        <v>14013179158</v>
      </c>
      <c r="B577" s="2" t="s">
        <v>1212</v>
      </c>
      <c r="C577" s="2" t="s">
        <v>1213</v>
      </c>
      <c r="D577" s="5" t="s">
        <v>526</v>
      </c>
      <c r="E577" s="2"/>
      <c r="F577" s="3" t="s">
        <v>10</v>
      </c>
      <c r="G577" s="2" t="s">
        <v>11</v>
      </c>
      <c r="H577" s="2" t="s">
        <v>25</v>
      </c>
      <c r="I577" s="2" t="s">
        <v>26</v>
      </c>
      <c r="J577" s="2" t="s">
        <v>27</v>
      </c>
    </row>
    <row r="578" spans="1:10" x14ac:dyDescent="0.3">
      <c r="A578" s="2" t="str">
        <f>HYPERLINK("https://hsdes.intel.com/resource/14013179182","14013179182")</f>
        <v>14013179182</v>
      </c>
      <c r="B578" s="2" t="s">
        <v>1214</v>
      </c>
      <c r="C578" s="2" t="s">
        <v>1215</v>
      </c>
      <c r="D578" s="5" t="s">
        <v>526</v>
      </c>
      <c r="E578" s="2"/>
      <c r="F578" s="3" t="s">
        <v>10</v>
      </c>
      <c r="G578" s="2" t="s">
        <v>11</v>
      </c>
      <c r="H578" s="2" t="s">
        <v>12</v>
      </c>
      <c r="I578" s="2" t="s">
        <v>13</v>
      </c>
      <c r="J578" s="2" t="s">
        <v>27</v>
      </c>
    </row>
    <row r="579" spans="1:10" x14ac:dyDescent="0.3">
      <c r="A579" s="2" t="str">
        <f>HYPERLINK("https://hsdes.intel.com/resource/14013179188","14013179188")</f>
        <v>14013179188</v>
      </c>
      <c r="B579" s="2" t="s">
        <v>1216</v>
      </c>
      <c r="C579" s="2" t="s">
        <v>1217</v>
      </c>
      <c r="D579" s="5" t="s">
        <v>526</v>
      </c>
      <c r="E579" s="2"/>
      <c r="F579" s="3" t="s">
        <v>10</v>
      </c>
      <c r="G579" s="2" t="s">
        <v>11</v>
      </c>
      <c r="H579" s="2" t="s">
        <v>12</v>
      </c>
      <c r="I579" s="2" t="s">
        <v>13</v>
      </c>
      <c r="J579" s="2" t="s">
        <v>14</v>
      </c>
    </row>
    <row r="580" spans="1:10" x14ac:dyDescent="0.3">
      <c r="A580" s="2" t="str">
        <f>HYPERLINK("https://hsdes.intel.com/resource/14013179201","14013179201")</f>
        <v>14013179201</v>
      </c>
      <c r="B580" s="2" t="s">
        <v>1218</v>
      </c>
      <c r="C580" s="2" t="s">
        <v>1219</v>
      </c>
      <c r="D580" s="5" t="s">
        <v>526</v>
      </c>
      <c r="E580" s="2"/>
      <c r="F580" s="3" t="s">
        <v>10</v>
      </c>
      <c r="G580" s="2" t="s">
        <v>39</v>
      </c>
      <c r="H580" s="2" t="s">
        <v>49</v>
      </c>
      <c r="I580" s="2" t="s">
        <v>41</v>
      </c>
      <c r="J580" s="2" t="s">
        <v>32</v>
      </c>
    </row>
    <row r="581" spans="1:10" x14ac:dyDescent="0.3">
      <c r="A581" s="4" t="str">
        <f>HYPERLINK("https://hsdes.intel.com/resource/14013179352","14013179352")</f>
        <v>14013179352</v>
      </c>
      <c r="B581" s="2" t="s">
        <v>1220</v>
      </c>
      <c r="C581" s="2" t="s">
        <v>1221</v>
      </c>
      <c r="D581" s="5" t="s">
        <v>526</v>
      </c>
      <c r="E581" s="2"/>
      <c r="F581" s="3" t="s">
        <v>10</v>
      </c>
      <c r="G581" s="2" t="s">
        <v>39</v>
      </c>
      <c r="H581" s="2" t="s">
        <v>85</v>
      </c>
      <c r="I581" s="2" t="s">
        <v>86</v>
      </c>
      <c r="J581" s="2" t="s">
        <v>27</v>
      </c>
    </row>
    <row r="582" spans="1:10" x14ac:dyDescent="0.3">
      <c r="A582" s="2" t="str">
        <f>HYPERLINK("https://hsdes.intel.com/resource/14013179362","14013179362")</f>
        <v>14013179362</v>
      </c>
      <c r="B582" s="2" t="s">
        <v>1222</v>
      </c>
      <c r="C582" s="2" t="s">
        <v>1223</v>
      </c>
      <c r="D582" s="5" t="s">
        <v>526</v>
      </c>
      <c r="E582" s="2"/>
      <c r="F582" s="3" t="s">
        <v>10</v>
      </c>
      <c r="G582" s="2" t="s">
        <v>11</v>
      </c>
      <c r="H582" s="2" t="s">
        <v>85</v>
      </c>
      <c r="I582" s="2" t="s">
        <v>86</v>
      </c>
      <c r="J582" s="2" t="s">
        <v>14</v>
      </c>
    </row>
    <row r="583" spans="1:10" x14ac:dyDescent="0.3">
      <c r="A583" s="2" t="str">
        <f>HYPERLINK("https://hsdes.intel.com/resource/14013179370","14013179370")</f>
        <v>14013179370</v>
      </c>
      <c r="B583" s="2" t="s">
        <v>1224</v>
      </c>
      <c r="C583" s="2" t="s">
        <v>1225</v>
      </c>
      <c r="D583" s="5" t="s">
        <v>526</v>
      </c>
      <c r="E583" s="2"/>
      <c r="F583" s="3" t="s">
        <v>10</v>
      </c>
      <c r="G583" s="2" t="s">
        <v>39</v>
      </c>
      <c r="H583" s="2" t="s">
        <v>85</v>
      </c>
      <c r="I583" s="2" t="s">
        <v>86</v>
      </c>
      <c r="J583" s="2" t="s">
        <v>14</v>
      </c>
    </row>
    <row r="584" spans="1:10" x14ac:dyDescent="0.3">
      <c r="A584" s="2" t="str">
        <f>HYPERLINK("https://hsdes.intel.com/resource/14013179385","14013179385")</f>
        <v>14013179385</v>
      </c>
      <c r="B584" s="2" t="s">
        <v>1226</v>
      </c>
      <c r="C584" s="2" t="s">
        <v>1227</v>
      </c>
      <c r="D584" s="5" t="s">
        <v>526</v>
      </c>
      <c r="E584" s="2"/>
      <c r="F584" s="3" t="s">
        <v>10</v>
      </c>
      <c r="G584" s="2" t="s">
        <v>11</v>
      </c>
      <c r="H584" s="2" t="s">
        <v>25</v>
      </c>
      <c r="I584" s="2" t="s">
        <v>26</v>
      </c>
      <c r="J584" s="2" t="s">
        <v>14</v>
      </c>
    </row>
    <row r="585" spans="1:10" x14ac:dyDescent="0.3">
      <c r="A585" s="2" t="str">
        <f>HYPERLINK("https://hsdes.intel.com/resource/14013179515","14013179515")</f>
        <v>14013179515</v>
      </c>
      <c r="B585" s="2" t="s">
        <v>1228</v>
      </c>
      <c r="C585" s="2" t="s">
        <v>1229</v>
      </c>
      <c r="D585" s="5" t="s">
        <v>526</v>
      </c>
      <c r="E585" s="2"/>
      <c r="F585" s="3" t="s">
        <v>10</v>
      </c>
      <c r="G585" s="2" t="s">
        <v>11</v>
      </c>
      <c r="H585" s="2" t="s">
        <v>265</v>
      </c>
      <c r="I585" s="2" t="s">
        <v>266</v>
      </c>
      <c r="J585" s="2" t="s">
        <v>14</v>
      </c>
    </row>
    <row r="586" spans="1:10" x14ac:dyDescent="0.3">
      <c r="A586" s="2" t="str">
        <f>HYPERLINK("https://hsdes.intel.com/resource/14013179689","14013179689")</f>
        <v>14013179689</v>
      </c>
      <c r="B586" s="2" t="s">
        <v>1230</v>
      </c>
      <c r="C586" s="2" t="s">
        <v>1231</v>
      </c>
      <c r="D586" s="5" t="s">
        <v>526</v>
      </c>
      <c r="E586" s="2"/>
      <c r="F586" s="3" t="s">
        <v>10</v>
      </c>
      <c r="G586" s="2" t="s">
        <v>11</v>
      </c>
      <c r="H586" s="2" t="s">
        <v>133</v>
      </c>
      <c r="I586" s="2" t="s">
        <v>134</v>
      </c>
      <c r="J586" s="2" t="s">
        <v>14</v>
      </c>
    </row>
    <row r="587" spans="1:10" x14ac:dyDescent="0.3">
      <c r="A587" s="2" t="str">
        <f>HYPERLINK("https://hsdes.intel.com/resource/14013179692","14013179692")</f>
        <v>14013179692</v>
      </c>
      <c r="B587" s="2" t="s">
        <v>1232</v>
      </c>
      <c r="C587" s="2" t="s">
        <v>1233</v>
      </c>
      <c r="D587" s="5" t="s">
        <v>526</v>
      </c>
      <c r="E587" s="2"/>
      <c r="F587" s="3" t="s">
        <v>10</v>
      </c>
      <c r="G587" s="2" t="s">
        <v>11</v>
      </c>
      <c r="H587" s="2" t="s">
        <v>133</v>
      </c>
      <c r="I587" s="2" t="s">
        <v>134</v>
      </c>
      <c r="J587" s="2" t="s">
        <v>32</v>
      </c>
    </row>
    <row r="588" spans="1:10" x14ac:dyDescent="0.3">
      <c r="A588" s="2" t="str">
        <f>HYPERLINK("https://hsdes.intel.com/resource/14013179698","14013179698")</f>
        <v>14013179698</v>
      </c>
      <c r="B588" s="2" t="s">
        <v>1234</v>
      </c>
      <c r="C588" s="2" t="s">
        <v>1235</v>
      </c>
      <c r="D588" s="5" t="s">
        <v>526</v>
      </c>
      <c r="E588" s="2"/>
      <c r="F588" s="3" t="s">
        <v>10</v>
      </c>
      <c r="G588" s="2" t="s">
        <v>11</v>
      </c>
      <c r="H588" s="2" t="s">
        <v>30</v>
      </c>
      <c r="I588" s="2" t="s">
        <v>31</v>
      </c>
      <c r="J588" s="2" t="s">
        <v>32</v>
      </c>
    </row>
    <row r="589" spans="1:10" x14ac:dyDescent="0.3">
      <c r="A589" s="2" t="str">
        <f>HYPERLINK("https://hsdes.intel.com/resource/14013179861","14013179861")</f>
        <v>14013179861</v>
      </c>
      <c r="B589" s="2" t="s">
        <v>1236</v>
      </c>
      <c r="C589" s="2" t="s">
        <v>1237</v>
      </c>
      <c r="D589" s="5" t="s">
        <v>526</v>
      </c>
      <c r="E589" s="2"/>
      <c r="F589" s="3" t="s">
        <v>10</v>
      </c>
      <c r="G589" s="2" t="s">
        <v>11</v>
      </c>
      <c r="H589" s="2" t="s">
        <v>30</v>
      </c>
      <c r="I589" s="2" t="s">
        <v>31</v>
      </c>
      <c r="J589" s="2" t="s">
        <v>14</v>
      </c>
    </row>
    <row r="590" spans="1:10" x14ac:dyDescent="0.3">
      <c r="A590" s="2" t="str">
        <f>HYPERLINK("https://hsdes.intel.com/resource/14013179993","14013179993")</f>
        <v>14013179993</v>
      </c>
      <c r="B590" s="2" t="s">
        <v>1238</v>
      </c>
      <c r="C590" s="2" t="s">
        <v>1239</v>
      </c>
      <c r="D590" s="5" t="s">
        <v>526</v>
      </c>
      <c r="E590" s="2"/>
      <c r="F590" s="3" t="s">
        <v>10</v>
      </c>
      <c r="G590" s="2" t="s">
        <v>11</v>
      </c>
      <c r="H590" s="2" t="s">
        <v>85</v>
      </c>
      <c r="I590" s="2" t="s">
        <v>86</v>
      </c>
      <c r="J590" s="2" t="s">
        <v>14</v>
      </c>
    </row>
    <row r="591" spans="1:10" x14ac:dyDescent="0.3">
      <c r="A591" s="2" t="str">
        <f>HYPERLINK("https://hsdes.intel.com/resource/14013180090","14013180090")</f>
        <v>14013180090</v>
      </c>
      <c r="B591" s="2" t="s">
        <v>1240</v>
      </c>
      <c r="C591" s="2" t="s">
        <v>1241</v>
      </c>
      <c r="D591" s="5" t="s">
        <v>526</v>
      </c>
      <c r="E591" s="2"/>
      <c r="F591" s="3" t="s">
        <v>10</v>
      </c>
      <c r="G591" s="2" t="s">
        <v>11</v>
      </c>
      <c r="H591" s="2" t="s">
        <v>109</v>
      </c>
      <c r="I591" s="2" t="s">
        <v>110</v>
      </c>
      <c r="J591" s="2" t="s">
        <v>14</v>
      </c>
    </row>
    <row r="592" spans="1:10" x14ac:dyDescent="0.3">
      <c r="A592" s="2" t="str">
        <f>HYPERLINK("https://hsdes.intel.com/resource/14013180134","14013180134")</f>
        <v>14013180134</v>
      </c>
      <c r="B592" s="2" t="s">
        <v>1242</v>
      </c>
      <c r="C592" s="2" t="s">
        <v>1243</v>
      </c>
      <c r="D592" s="5" t="s">
        <v>526</v>
      </c>
      <c r="E592" s="2"/>
      <c r="F592" s="3" t="s">
        <v>10</v>
      </c>
      <c r="G592" s="2" t="s">
        <v>11</v>
      </c>
      <c r="H592" s="2" t="s">
        <v>109</v>
      </c>
      <c r="I592" s="2" t="s">
        <v>110</v>
      </c>
      <c r="J592" s="2" t="s">
        <v>27</v>
      </c>
    </row>
    <row r="593" spans="1:10" x14ac:dyDescent="0.3">
      <c r="A593" s="2" t="str">
        <f>HYPERLINK("https://hsdes.intel.com/resource/14013180193","14013180193")</f>
        <v>14013180193</v>
      </c>
      <c r="B593" s="2" t="s">
        <v>1244</v>
      </c>
      <c r="C593" s="2" t="s">
        <v>1245</v>
      </c>
      <c r="D593" s="5" t="s">
        <v>526</v>
      </c>
      <c r="E593" s="2"/>
      <c r="F593" s="3" t="s">
        <v>10</v>
      </c>
      <c r="G593" s="2" t="s">
        <v>11</v>
      </c>
      <c r="H593" s="2" t="s">
        <v>85</v>
      </c>
      <c r="I593" s="2" t="s">
        <v>86</v>
      </c>
      <c r="J593" s="2" t="s">
        <v>32</v>
      </c>
    </row>
    <row r="594" spans="1:10" x14ac:dyDescent="0.3">
      <c r="A594" s="2" t="str">
        <f>HYPERLINK("https://hsdes.intel.com/resource/14013180228","14013180228")</f>
        <v>14013180228</v>
      </c>
      <c r="B594" s="2" t="s">
        <v>1246</v>
      </c>
      <c r="C594" s="2" t="s">
        <v>1247</v>
      </c>
      <c r="D594" s="5" t="s">
        <v>526</v>
      </c>
      <c r="E594" s="2"/>
      <c r="F594" s="3" t="s">
        <v>10</v>
      </c>
      <c r="G594" s="2" t="s">
        <v>11</v>
      </c>
      <c r="H594" s="2" t="s">
        <v>49</v>
      </c>
      <c r="I594" s="2" t="s">
        <v>128</v>
      </c>
      <c r="J594" s="2" t="s">
        <v>14</v>
      </c>
    </row>
    <row r="595" spans="1:10" x14ac:dyDescent="0.3">
      <c r="A595" s="2" t="str">
        <f>HYPERLINK("https://hsdes.intel.com/resource/14013180236","14013180236")</f>
        <v>14013180236</v>
      </c>
      <c r="B595" s="2" t="s">
        <v>1248</v>
      </c>
      <c r="C595" s="2" t="s">
        <v>1249</v>
      </c>
      <c r="D595" s="5" t="s">
        <v>526</v>
      </c>
      <c r="E595" s="2"/>
      <c r="F595" s="3" t="s">
        <v>10</v>
      </c>
      <c r="G595" s="2" t="s">
        <v>11</v>
      </c>
      <c r="H595" s="2" t="s">
        <v>49</v>
      </c>
      <c r="I595" s="2" t="s">
        <v>128</v>
      </c>
      <c r="J595" s="2" t="s">
        <v>14</v>
      </c>
    </row>
    <row r="596" spans="1:10" x14ac:dyDescent="0.3">
      <c r="A596" s="2" t="str">
        <f>HYPERLINK("https://hsdes.intel.com/resource/14013180239","14013180239")</f>
        <v>14013180239</v>
      </c>
      <c r="B596" s="2" t="s">
        <v>1250</v>
      </c>
      <c r="C596" s="2" t="s">
        <v>1251</v>
      </c>
      <c r="D596" s="5" t="s">
        <v>526</v>
      </c>
      <c r="E596" s="2"/>
      <c r="F596" s="3" t="s">
        <v>10</v>
      </c>
      <c r="G596" s="2" t="s">
        <v>11</v>
      </c>
      <c r="H596" s="2" t="s">
        <v>49</v>
      </c>
      <c r="I596" s="2" t="s">
        <v>128</v>
      </c>
      <c r="J596" s="2" t="s">
        <v>14</v>
      </c>
    </row>
    <row r="597" spans="1:10" x14ac:dyDescent="0.3">
      <c r="A597" s="2" t="str">
        <f>HYPERLINK("https://hsdes.intel.com/resource/14013180247","14013180247")</f>
        <v>14013180247</v>
      </c>
      <c r="B597" s="2" t="s">
        <v>1252</v>
      </c>
      <c r="C597" s="2" t="s">
        <v>1253</v>
      </c>
      <c r="D597" s="5" t="s">
        <v>526</v>
      </c>
      <c r="E597" s="2"/>
      <c r="F597" s="3" t="s">
        <v>10</v>
      </c>
      <c r="G597" s="2" t="s">
        <v>11</v>
      </c>
      <c r="H597" s="2" t="s">
        <v>49</v>
      </c>
      <c r="I597" s="2" t="s">
        <v>128</v>
      </c>
      <c r="J597" s="2" t="s">
        <v>14</v>
      </c>
    </row>
    <row r="598" spans="1:10" x14ac:dyDescent="0.3">
      <c r="A598" s="2" t="str">
        <f>HYPERLINK("https://hsdes.intel.com/resource/14013180248","14013180248")</f>
        <v>14013180248</v>
      </c>
      <c r="B598" s="2" t="s">
        <v>1254</v>
      </c>
      <c r="C598" s="2" t="s">
        <v>1255</v>
      </c>
      <c r="D598" s="5" t="s">
        <v>526</v>
      </c>
      <c r="E598" s="2"/>
      <c r="F598" s="3" t="s">
        <v>10</v>
      </c>
      <c r="G598" s="2" t="s">
        <v>11</v>
      </c>
      <c r="H598" s="2" t="s">
        <v>49</v>
      </c>
      <c r="I598" s="2" t="s">
        <v>128</v>
      </c>
      <c r="J598" s="2" t="s">
        <v>14</v>
      </c>
    </row>
    <row r="599" spans="1:10" x14ac:dyDescent="0.3">
      <c r="A599" s="2" t="str">
        <f>HYPERLINK("https://hsdes.intel.com/resource/14013180355","14013180355")</f>
        <v>14013180355</v>
      </c>
      <c r="B599" s="2" t="s">
        <v>1256</v>
      </c>
      <c r="C599" s="2" t="s">
        <v>1257</v>
      </c>
      <c r="D599" s="5" t="s">
        <v>526</v>
      </c>
      <c r="E599" s="2"/>
      <c r="F599" s="3" t="s">
        <v>10</v>
      </c>
      <c r="G599" s="2" t="s">
        <v>11</v>
      </c>
      <c r="H599" s="2" t="s">
        <v>71</v>
      </c>
      <c r="I599" s="2" t="s">
        <v>128</v>
      </c>
      <c r="J599" s="2" t="s">
        <v>14</v>
      </c>
    </row>
    <row r="600" spans="1:10" x14ac:dyDescent="0.3">
      <c r="A600" s="2" t="str">
        <f>HYPERLINK("https://hsdes.intel.com/resource/14013180397","14013180397")</f>
        <v>14013180397</v>
      </c>
      <c r="B600" s="2" t="s">
        <v>1258</v>
      </c>
      <c r="C600" s="2" t="s">
        <v>1259</v>
      </c>
      <c r="D600" s="5" t="s">
        <v>526</v>
      </c>
      <c r="E600" s="2"/>
      <c r="F600" s="3" t="s">
        <v>10</v>
      </c>
      <c r="G600" s="2" t="s">
        <v>11</v>
      </c>
      <c r="H600" s="2" t="s">
        <v>109</v>
      </c>
      <c r="I600" s="2" t="s">
        <v>110</v>
      </c>
      <c r="J600" s="2" t="s">
        <v>14</v>
      </c>
    </row>
    <row r="601" spans="1:10" x14ac:dyDescent="0.3">
      <c r="A601" s="2" t="str">
        <f>HYPERLINK("https://hsdes.intel.com/resource/14013184048","14013184048")</f>
        <v>14013184048</v>
      </c>
      <c r="B601" s="2" t="s">
        <v>1260</v>
      </c>
      <c r="C601" s="2" t="s">
        <v>1261</v>
      </c>
      <c r="D601" s="5" t="s">
        <v>526</v>
      </c>
      <c r="E601" s="2"/>
      <c r="F601" s="3" t="s">
        <v>10</v>
      </c>
      <c r="G601" s="2" t="s">
        <v>11</v>
      </c>
      <c r="H601" s="2" t="s">
        <v>12</v>
      </c>
      <c r="I601" s="2" t="s">
        <v>13</v>
      </c>
      <c r="J601" s="2" t="s">
        <v>14</v>
      </c>
    </row>
    <row r="602" spans="1:10" x14ac:dyDescent="0.3">
      <c r="A602" s="2" t="str">
        <f>HYPERLINK("https://hsdes.intel.com/resource/14013184052","14013184052")</f>
        <v>14013184052</v>
      </c>
      <c r="B602" s="2" t="s">
        <v>1262</v>
      </c>
      <c r="C602" s="2" t="s">
        <v>1263</v>
      </c>
      <c r="D602" s="5" t="s">
        <v>526</v>
      </c>
      <c r="E602" s="2"/>
      <c r="F602" s="3" t="s">
        <v>10</v>
      </c>
      <c r="G602" s="2" t="s">
        <v>11</v>
      </c>
      <c r="H602" s="2" t="s">
        <v>12</v>
      </c>
      <c r="I602" s="2" t="s">
        <v>13</v>
      </c>
      <c r="J602" s="2" t="s">
        <v>14</v>
      </c>
    </row>
    <row r="603" spans="1:10" x14ac:dyDescent="0.3">
      <c r="A603" s="2" t="str">
        <f>HYPERLINK("https://hsdes.intel.com/resource/14013184070","14013184070")</f>
        <v>14013184070</v>
      </c>
      <c r="B603" s="2" t="s">
        <v>1264</v>
      </c>
      <c r="C603" s="2" t="s">
        <v>1265</v>
      </c>
      <c r="D603" s="5" t="s">
        <v>526</v>
      </c>
      <c r="E603" s="2"/>
      <c r="F603" s="3" t="s">
        <v>10</v>
      </c>
      <c r="G603" s="2" t="s">
        <v>11</v>
      </c>
      <c r="H603" s="2" t="s">
        <v>12</v>
      </c>
      <c r="I603" s="2" t="s">
        <v>13</v>
      </c>
      <c r="J603" s="2" t="s">
        <v>14</v>
      </c>
    </row>
    <row r="604" spans="1:10" x14ac:dyDescent="0.3">
      <c r="A604" s="2" t="str">
        <f>HYPERLINK("https://hsdes.intel.com/resource/14013184074","14013184074")</f>
        <v>14013184074</v>
      </c>
      <c r="B604" s="2" t="s">
        <v>1266</v>
      </c>
      <c r="C604" s="2" t="s">
        <v>1267</v>
      </c>
      <c r="D604" s="5" t="s">
        <v>526</v>
      </c>
      <c r="E604" s="2"/>
      <c r="F604" s="3" t="s">
        <v>10</v>
      </c>
      <c r="G604" s="2" t="s">
        <v>11</v>
      </c>
      <c r="H604" s="2" t="s">
        <v>12</v>
      </c>
      <c r="I604" s="2" t="s">
        <v>13</v>
      </c>
      <c r="J604" s="2" t="s">
        <v>14</v>
      </c>
    </row>
    <row r="605" spans="1:10" x14ac:dyDescent="0.3">
      <c r="A605" s="2" t="str">
        <f>HYPERLINK("https://hsdes.intel.com/resource/14013184079","14013184079")</f>
        <v>14013184079</v>
      </c>
      <c r="B605" s="2" t="s">
        <v>1268</v>
      </c>
      <c r="C605" s="2" t="s">
        <v>1269</v>
      </c>
      <c r="D605" s="5" t="s">
        <v>526</v>
      </c>
      <c r="E605" s="2"/>
      <c r="F605" s="3" t="s">
        <v>10</v>
      </c>
      <c r="G605" s="2" t="s">
        <v>11</v>
      </c>
      <c r="H605" s="2" t="s">
        <v>12</v>
      </c>
      <c r="I605" s="2" t="s">
        <v>13</v>
      </c>
      <c r="J605" s="2" t="s">
        <v>14</v>
      </c>
    </row>
    <row r="606" spans="1:10" x14ac:dyDescent="0.3">
      <c r="A606" s="2" t="str">
        <f>HYPERLINK("https://hsdes.intel.com/resource/14013184081","14013184081")</f>
        <v>14013184081</v>
      </c>
      <c r="B606" s="2" t="s">
        <v>1270</v>
      </c>
      <c r="C606" s="2" t="s">
        <v>1271</v>
      </c>
      <c r="D606" s="5" t="s">
        <v>526</v>
      </c>
      <c r="E606" s="2"/>
      <c r="F606" s="3" t="s">
        <v>10</v>
      </c>
      <c r="G606" s="2" t="s">
        <v>11</v>
      </c>
      <c r="H606" s="2" t="s">
        <v>12</v>
      </c>
      <c r="I606" s="2" t="s">
        <v>13</v>
      </c>
      <c r="J606" s="2" t="s">
        <v>14</v>
      </c>
    </row>
    <row r="607" spans="1:10" x14ac:dyDescent="0.3">
      <c r="A607" s="2" t="str">
        <f>HYPERLINK("https://hsdes.intel.com/resource/14013184884","14013184884")</f>
        <v>14013184884</v>
      </c>
      <c r="B607" s="2" t="s">
        <v>1272</v>
      </c>
      <c r="C607" s="2" t="s">
        <v>1273</v>
      </c>
      <c r="D607" s="5" t="s">
        <v>526</v>
      </c>
      <c r="E607" s="2"/>
      <c r="F607" s="3" t="s">
        <v>10</v>
      </c>
      <c r="G607" s="2" t="s">
        <v>11</v>
      </c>
      <c r="H607" s="2" t="s">
        <v>1052</v>
      </c>
      <c r="I607" s="2" t="s">
        <v>50</v>
      </c>
      <c r="J607" s="2" t="s">
        <v>14</v>
      </c>
    </row>
    <row r="608" spans="1:10" x14ac:dyDescent="0.3">
      <c r="A608" s="2" t="str">
        <f>HYPERLINK("https://hsdes.intel.com/resource/14013184965","14013184965")</f>
        <v>14013184965</v>
      </c>
      <c r="B608" s="2" t="s">
        <v>1274</v>
      </c>
      <c r="C608" s="2" t="s">
        <v>1275</v>
      </c>
      <c r="D608" s="5" t="s">
        <v>526</v>
      </c>
      <c r="E608" s="2"/>
      <c r="F608" s="3" t="s">
        <v>10</v>
      </c>
      <c r="G608" s="2" t="s">
        <v>11</v>
      </c>
      <c r="H608" s="2" t="s">
        <v>1052</v>
      </c>
      <c r="I608" s="2" t="s">
        <v>50</v>
      </c>
      <c r="J608" s="2" t="s">
        <v>32</v>
      </c>
    </row>
    <row r="609" spans="1:10" x14ac:dyDescent="0.3">
      <c r="A609" s="2" t="str">
        <f>HYPERLINK("https://hsdes.intel.com/resource/14013185088","14013185088")</f>
        <v>14013185088</v>
      </c>
      <c r="B609" s="2" t="s">
        <v>1276</v>
      </c>
      <c r="C609" s="2" t="s">
        <v>1277</v>
      </c>
      <c r="D609" s="5" t="s">
        <v>526</v>
      </c>
      <c r="E609" s="2"/>
      <c r="F609" s="3" t="s">
        <v>10</v>
      </c>
      <c r="G609" s="2" t="s">
        <v>11</v>
      </c>
      <c r="H609" s="2" t="s">
        <v>1052</v>
      </c>
      <c r="I609" s="2" t="s">
        <v>50</v>
      </c>
      <c r="J609" s="2" t="s">
        <v>14</v>
      </c>
    </row>
    <row r="610" spans="1:10" x14ac:dyDescent="0.3">
      <c r="A610" s="2" t="str">
        <f>HYPERLINK("https://hsdes.intel.com/resource/14013185094","14013185094")</f>
        <v>14013185094</v>
      </c>
      <c r="B610" s="2" t="s">
        <v>1278</v>
      </c>
      <c r="C610" s="2" t="s">
        <v>1279</v>
      </c>
      <c r="D610" s="5" t="s">
        <v>526</v>
      </c>
      <c r="E610" s="2"/>
      <c r="F610" s="3" t="s">
        <v>10</v>
      </c>
      <c r="G610" s="2" t="s">
        <v>11</v>
      </c>
      <c r="H610" s="2" t="s">
        <v>1052</v>
      </c>
      <c r="I610" s="2" t="s">
        <v>50</v>
      </c>
      <c r="J610" s="2" t="s">
        <v>14</v>
      </c>
    </row>
    <row r="611" spans="1:10" x14ac:dyDescent="0.3">
      <c r="A611" s="2" t="str">
        <f>HYPERLINK("https://hsdes.intel.com/resource/14013185096","14013185096")</f>
        <v>14013185096</v>
      </c>
      <c r="B611" s="2" t="s">
        <v>1280</v>
      </c>
      <c r="C611" s="2" t="s">
        <v>1281</v>
      </c>
      <c r="D611" s="5" t="s">
        <v>526</v>
      </c>
      <c r="E611" s="2"/>
      <c r="F611" s="3" t="s">
        <v>10</v>
      </c>
      <c r="G611" s="2" t="s">
        <v>11</v>
      </c>
      <c r="H611" s="2" t="s">
        <v>1052</v>
      </c>
      <c r="I611" s="2" t="s">
        <v>50</v>
      </c>
      <c r="J611" s="2" t="s">
        <v>14</v>
      </c>
    </row>
    <row r="612" spans="1:10" x14ac:dyDescent="0.3">
      <c r="A612" s="2" t="str">
        <f>HYPERLINK("https://hsdes.intel.com/resource/14013185098","14013185098")</f>
        <v>14013185098</v>
      </c>
      <c r="B612" s="2" t="s">
        <v>1282</v>
      </c>
      <c r="C612" s="2" t="s">
        <v>1283</v>
      </c>
      <c r="D612" s="5" t="s">
        <v>526</v>
      </c>
      <c r="E612" s="2"/>
      <c r="F612" s="3" t="s">
        <v>10</v>
      </c>
      <c r="G612" s="2" t="s">
        <v>11</v>
      </c>
      <c r="H612" s="2" t="s">
        <v>1052</v>
      </c>
      <c r="I612" s="2" t="s">
        <v>50</v>
      </c>
      <c r="J612" s="2" t="s">
        <v>14</v>
      </c>
    </row>
    <row r="613" spans="1:10" x14ac:dyDescent="0.3">
      <c r="A613" s="2" t="str">
        <f>HYPERLINK("https://hsdes.intel.com/resource/14013185100","14013185100")</f>
        <v>14013185100</v>
      </c>
      <c r="B613" s="2" t="s">
        <v>1284</v>
      </c>
      <c r="C613" s="2" t="s">
        <v>1285</v>
      </c>
      <c r="D613" s="5" t="s">
        <v>526</v>
      </c>
      <c r="E613" s="2"/>
      <c r="F613" s="3" t="s">
        <v>10</v>
      </c>
      <c r="G613" s="2" t="s">
        <v>11</v>
      </c>
      <c r="H613" s="2" t="s">
        <v>1052</v>
      </c>
      <c r="I613" s="2" t="s">
        <v>50</v>
      </c>
      <c r="J613" s="2" t="s">
        <v>14</v>
      </c>
    </row>
    <row r="614" spans="1:10" x14ac:dyDescent="0.3">
      <c r="A614" s="2" t="str">
        <f>HYPERLINK("https://hsdes.intel.com/resource/14013185127","14013185127")</f>
        <v>14013185127</v>
      </c>
      <c r="B614" s="2" t="s">
        <v>1286</v>
      </c>
      <c r="C614" s="2" t="s">
        <v>1287</v>
      </c>
      <c r="D614" s="5" t="s">
        <v>526</v>
      </c>
      <c r="E614" s="2"/>
      <c r="F614" s="3" t="s">
        <v>10</v>
      </c>
      <c r="G614" s="2" t="s">
        <v>11</v>
      </c>
      <c r="H614" s="2" t="s">
        <v>265</v>
      </c>
      <c r="I614" s="2" t="s">
        <v>266</v>
      </c>
      <c r="J614" s="2" t="s">
        <v>14</v>
      </c>
    </row>
    <row r="615" spans="1:10" x14ac:dyDescent="0.3">
      <c r="A615" s="2" t="str">
        <f>HYPERLINK("https://hsdes.intel.com/resource/14013185192","14013185192")</f>
        <v>14013185192</v>
      </c>
      <c r="B615" s="2" t="s">
        <v>1288</v>
      </c>
      <c r="C615" s="2" t="s">
        <v>1289</v>
      </c>
      <c r="D615" s="5" t="s">
        <v>526</v>
      </c>
      <c r="E615" s="2"/>
      <c r="F615" s="3" t="s">
        <v>10</v>
      </c>
      <c r="G615" s="2" t="s">
        <v>11</v>
      </c>
      <c r="H615" s="2" t="s">
        <v>265</v>
      </c>
      <c r="I615" s="2" t="s">
        <v>266</v>
      </c>
      <c r="J615" s="2" t="s">
        <v>14</v>
      </c>
    </row>
    <row r="616" spans="1:10" x14ac:dyDescent="0.3">
      <c r="A616" s="2" t="str">
        <f>HYPERLINK("https://hsdes.intel.com/resource/14013185587","14013185587")</f>
        <v>14013185587</v>
      </c>
      <c r="B616" s="2" t="s">
        <v>1290</v>
      </c>
      <c r="C616" s="2" t="s">
        <v>1291</v>
      </c>
      <c r="D616" s="5" t="s">
        <v>526</v>
      </c>
      <c r="E616" s="2"/>
      <c r="F616" s="3" t="s">
        <v>10</v>
      </c>
      <c r="G616" s="2" t="s">
        <v>960</v>
      </c>
      <c r="H616" s="2" t="s">
        <v>17</v>
      </c>
      <c r="I616" s="2" t="s">
        <v>18</v>
      </c>
      <c r="J616" s="2" t="s">
        <v>27</v>
      </c>
    </row>
    <row r="617" spans="1:10" x14ac:dyDescent="0.3">
      <c r="A617" s="4" t="str">
        <f>HYPERLINK("https://hsdes.intel.com/resource/14013185604","14013185604")</f>
        <v>14013185604</v>
      </c>
      <c r="B617" s="2" t="s">
        <v>1292</v>
      </c>
      <c r="C617" s="2" t="s">
        <v>1293</v>
      </c>
      <c r="D617" s="5" t="s">
        <v>526</v>
      </c>
      <c r="E617" s="2"/>
      <c r="F617" s="3" t="s">
        <v>10</v>
      </c>
      <c r="G617" s="2" t="s">
        <v>960</v>
      </c>
      <c r="H617" s="2" t="s">
        <v>17</v>
      </c>
      <c r="I617" s="2" t="s">
        <v>18</v>
      </c>
      <c r="J617" s="2" t="s">
        <v>27</v>
      </c>
    </row>
    <row r="618" spans="1:10" x14ac:dyDescent="0.3">
      <c r="A618" s="2" t="str">
        <f>HYPERLINK("https://hsdes.intel.com/resource/14013185636","14013185636")</f>
        <v>14013185636</v>
      </c>
      <c r="B618" s="2" t="s">
        <v>1294</v>
      </c>
      <c r="C618" s="2" t="s">
        <v>1295</v>
      </c>
      <c r="D618" s="5" t="s">
        <v>526</v>
      </c>
      <c r="E618" s="2"/>
      <c r="F618" s="3" t="s">
        <v>10</v>
      </c>
      <c r="G618" s="2" t="s">
        <v>11</v>
      </c>
      <c r="H618" s="2" t="s">
        <v>12</v>
      </c>
      <c r="I618" s="2" t="s">
        <v>13</v>
      </c>
      <c r="J618" s="2" t="s">
        <v>14</v>
      </c>
    </row>
    <row r="619" spans="1:10" x14ac:dyDescent="0.3">
      <c r="A619" s="2" t="str">
        <f>HYPERLINK("https://hsdes.intel.com/resource/14013185674","14013185674")</f>
        <v>14013185674</v>
      </c>
      <c r="B619" s="2" t="s">
        <v>1296</v>
      </c>
      <c r="C619" s="2" t="s">
        <v>1297</v>
      </c>
      <c r="D619" s="5" t="s">
        <v>526</v>
      </c>
      <c r="E619" s="2"/>
      <c r="F619" s="3" t="s">
        <v>10</v>
      </c>
      <c r="G619" s="2" t="s">
        <v>11</v>
      </c>
      <c r="H619" s="2" t="s">
        <v>265</v>
      </c>
      <c r="I619" s="2" t="s">
        <v>266</v>
      </c>
      <c r="J619" s="2" t="s">
        <v>32</v>
      </c>
    </row>
    <row r="620" spans="1:10" x14ac:dyDescent="0.3">
      <c r="A620" s="2" t="str">
        <f>HYPERLINK("https://hsdes.intel.com/resource/14013186099","14013186099")</f>
        <v>14013186099</v>
      </c>
      <c r="B620" s="2" t="s">
        <v>1298</v>
      </c>
      <c r="C620" s="2" t="s">
        <v>1299</v>
      </c>
      <c r="D620" s="5" t="s">
        <v>526</v>
      </c>
      <c r="E620" s="2"/>
      <c r="F620" s="3" t="s">
        <v>10</v>
      </c>
      <c r="G620" s="2" t="s">
        <v>11</v>
      </c>
      <c r="H620" s="2" t="s">
        <v>109</v>
      </c>
      <c r="I620" s="2" t="s">
        <v>110</v>
      </c>
      <c r="J620" s="2" t="s">
        <v>14</v>
      </c>
    </row>
    <row r="621" spans="1:10" x14ac:dyDescent="0.3">
      <c r="A621" s="2" t="str">
        <f>HYPERLINK("https://hsdes.intel.com/resource/14013186245","14013186245")</f>
        <v>14013186245</v>
      </c>
      <c r="B621" s="2" t="s">
        <v>51</v>
      </c>
      <c r="C621" s="2" t="s">
        <v>1300</v>
      </c>
      <c r="D621" s="5" t="s">
        <v>526</v>
      </c>
      <c r="E621" s="2"/>
      <c r="F621" s="3" t="s">
        <v>10</v>
      </c>
      <c r="G621" s="2" t="s">
        <v>11</v>
      </c>
      <c r="H621" s="2" t="s">
        <v>53</v>
      </c>
      <c r="I621" s="2" t="s">
        <v>54</v>
      </c>
      <c r="J621" s="2" t="s">
        <v>14</v>
      </c>
    </row>
    <row r="622" spans="1:10" x14ac:dyDescent="0.3">
      <c r="A622" s="2" t="str">
        <f>HYPERLINK("https://hsdes.intel.com/resource/14013186861","14013186861")</f>
        <v>14013186861</v>
      </c>
      <c r="B622" s="2" t="s">
        <v>1301</v>
      </c>
      <c r="C622" s="2" t="s">
        <v>1302</v>
      </c>
      <c r="D622" s="5" t="s">
        <v>526</v>
      </c>
      <c r="E622" s="2"/>
      <c r="F622" s="3" t="s">
        <v>10</v>
      </c>
      <c r="G622" s="2" t="s">
        <v>11</v>
      </c>
      <c r="H622" s="2" t="s">
        <v>109</v>
      </c>
      <c r="I622" s="2" t="s">
        <v>110</v>
      </c>
      <c r="J622" s="2" t="s">
        <v>27</v>
      </c>
    </row>
    <row r="623" spans="1:10" x14ac:dyDescent="0.3">
      <c r="A623" s="2" t="str">
        <f>HYPERLINK("https://hsdes.intel.com/resource/14013186907","14013186907")</f>
        <v>14013186907</v>
      </c>
      <c r="B623" s="2" t="s">
        <v>1303</v>
      </c>
      <c r="C623" s="2" t="s">
        <v>1304</v>
      </c>
      <c r="D623" s="5" t="s">
        <v>526</v>
      </c>
      <c r="E623" s="2"/>
      <c r="F623" s="3" t="s">
        <v>10</v>
      </c>
      <c r="G623" s="2" t="s">
        <v>11</v>
      </c>
      <c r="H623" s="2" t="s">
        <v>109</v>
      </c>
      <c r="I623" s="2" t="s">
        <v>110</v>
      </c>
      <c r="J623" s="2" t="s">
        <v>32</v>
      </c>
    </row>
    <row r="624" spans="1:10" x14ac:dyDescent="0.3">
      <c r="A624" s="2" t="str">
        <f>HYPERLINK("https://hsdes.intel.com/resource/14013186917","14013186917")</f>
        <v>14013186917</v>
      </c>
      <c r="B624" s="2" t="s">
        <v>1305</v>
      </c>
      <c r="C624" s="2" t="s">
        <v>1306</v>
      </c>
      <c r="D624" s="5" t="s">
        <v>526</v>
      </c>
      <c r="E624" s="2"/>
      <c r="F624" s="3" t="s">
        <v>10</v>
      </c>
      <c r="G624" s="2" t="s">
        <v>11</v>
      </c>
      <c r="H624" s="2" t="s">
        <v>109</v>
      </c>
      <c r="I624" s="2" t="s">
        <v>110</v>
      </c>
      <c r="J624" s="2" t="s">
        <v>32</v>
      </c>
    </row>
    <row r="625" spans="1:10" x14ac:dyDescent="0.3">
      <c r="A625" s="4" t="str">
        <f>HYPERLINK("https://hsdes.intel.com/resource/14013188164","14013188164")</f>
        <v>14013188164</v>
      </c>
      <c r="B625" s="2" t="s">
        <v>1307</v>
      </c>
      <c r="C625" s="2" t="s">
        <v>1308</v>
      </c>
      <c r="D625" s="5" t="s">
        <v>526</v>
      </c>
      <c r="E625" s="2"/>
      <c r="F625" s="3" t="s">
        <v>10</v>
      </c>
      <c r="G625" s="2" t="s">
        <v>11</v>
      </c>
      <c r="H625" s="2" t="s">
        <v>12</v>
      </c>
      <c r="I625" s="2" t="s">
        <v>13</v>
      </c>
      <c r="J625" s="2" t="s">
        <v>14</v>
      </c>
    </row>
    <row r="626" spans="1:10" x14ac:dyDescent="0.3">
      <c r="A626" s="2" t="str">
        <f>HYPERLINK("https://hsdes.intel.com/resource/16013169992","16013169992")</f>
        <v>16013169992</v>
      </c>
      <c r="B626" s="2" t="s">
        <v>1309</v>
      </c>
      <c r="C626" s="2"/>
      <c r="D626" s="5" t="s">
        <v>526</v>
      </c>
      <c r="E626" s="2"/>
      <c r="F626" s="3" t="s">
        <v>10</v>
      </c>
      <c r="G626" s="2" t="s">
        <v>124</v>
      </c>
      <c r="H626" s="2" t="s">
        <v>12</v>
      </c>
      <c r="I626" s="2" t="s">
        <v>13</v>
      </c>
      <c r="J626" s="2" t="s">
        <v>14</v>
      </c>
    </row>
    <row r="627" spans="1:10" x14ac:dyDescent="0.3">
      <c r="A627" s="2" t="str">
        <f>HYPERLINK("https://hsdes.intel.com/resource/16013177946","16013177946")</f>
        <v>16013177946</v>
      </c>
      <c r="B627" s="2" t="s">
        <v>1310</v>
      </c>
      <c r="C627" s="2"/>
      <c r="D627" s="5" t="s">
        <v>526</v>
      </c>
      <c r="E627" s="2"/>
      <c r="F627" s="3" t="s">
        <v>10</v>
      </c>
      <c r="G627" s="2" t="s">
        <v>124</v>
      </c>
      <c r="H627" s="2" t="s">
        <v>12</v>
      </c>
      <c r="I627" s="2" t="s">
        <v>13</v>
      </c>
      <c r="J627" s="2" t="s">
        <v>14</v>
      </c>
    </row>
    <row r="628" spans="1:10" x14ac:dyDescent="0.3">
      <c r="A628" s="2" t="str">
        <f>HYPERLINK("https://hsdes.intel.com/resource/16013178306","16013178306")</f>
        <v>16013178306</v>
      </c>
      <c r="B628" s="2" t="s">
        <v>1311</v>
      </c>
      <c r="C628" s="2"/>
      <c r="D628" s="5" t="s">
        <v>526</v>
      </c>
      <c r="E628" s="2"/>
      <c r="F628" s="3" t="s">
        <v>10</v>
      </c>
      <c r="G628" s="2" t="s">
        <v>124</v>
      </c>
      <c r="H628" s="2" t="s">
        <v>12</v>
      </c>
      <c r="I628" s="2" t="s">
        <v>13</v>
      </c>
      <c r="J628" s="2" t="s">
        <v>14</v>
      </c>
    </row>
    <row r="629" spans="1:10" x14ac:dyDescent="0.3">
      <c r="A629" s="2" t="str">
        <f>HYPERLINK("https://hsdes.intel.com/resource/16013191780","16013191780")</f>
        <v>16013191780</v>
      </c>
      <c r="B629" s="2" t="s">
        <v>1312</v>
      </c>
      <c r="C629" s="2" t="s">
        <v>1313</v>
      </c>
      <c r="D629" s="5" t="s">
        <v>526</v>
      </c>
      <c r="E629" s="2"/>
      <c r="F629" s="3" t="s">
        <v>10</v>
      </c>
      <c r="G629" s="2" t="s">
        <v>11</v>
      </c>
      <c r="H629" s="2" t="s">
        <v>30</v>
      </c>
      <c r="I629" s="2" t="s">
        <v>31</v>
      </c>
      <c r="J629" s="2" t="s">
        <v>32</v>
      </c>
    </row>
    <row r="630" spans="1:10" x14ac:dyDescent="0.3">
      <c r="A630" s="2" t="str">
        <f>HYPERLINK("https://hsdes.intel.com/resource/16013241572","16013241572")</f>
        <v>16013241572</v>
      </c>
      <c r="B630" s="2" t="s">
        <v>1314</v>
      </c>
      <c r="C630" s="2"/>
      <c r="D630" s="5" t="s">
        <v>526</v>
      </c>
      <c r="E630" s="2"/>
      <c r="F630" s="3" t="s">
        <v>10</v>
      </c>
      <c r="G630" s="2" t="s">
        <v>11</v>
      </c>
      <c r="H630" s="2" t="s">
        <v>30</v>
      </c>
      <c r="I630" s="2" t="s">
        <v>31</v>
      </c>
      <c r="J630" s="2" t="s">
        <v>14</v>
      </c>
    </row>
    <row r="631" spans="1:10" x14ac:dyDescent="0.3">
      <c r="A631" s="2" t="str">
        <f>HYPERLINK("https://hsdes.intel.com/resource/16013626053","16013626053")</f>
        <v>16013626053</v>
      </c>
      <c r="B631" s="2" t="s">
        <v>1315</v>
      </c>
      <c r="C631" s="2"/>
      <c r="D631" s="5" t="s">
        <v>526</v>
      </c>
      <c r="E631" s="2"/>
      <c r="F631" s="3" t="s">
        <v>10</v>
      </c>
      <c r="G631" s="2" t="s">
        <v>11</v>
      </c>
      <c r="H631" s="2" t="s">
        <v>71</v>
      </c>
      <c r="I631" s="2" t="s">
        <v>74</v>
      </c>
      <c r="J631" s="2" t="s">
        <v>27</v>
      </c>
    </row>
    <row r="632" spans="1:10" x14ac:dyDescent="0.3">
      <c r="A632" s="2" t="str">
        <f>HYPERLINK("https://hsdes.intel.com/resource/16013697915","16013697915")</f>
        <v>16013697915</v>
      </c>
      <c r="B632" s="2" t="s">
        <v>1316</v>
      </c>
      <c r="C632" s="2" t="s">
        <v>725</v>
      </c>
      <c r="D632" s="5" t="s">
        <v>526</v>
      </c>
      <c r="E632" s="2"/>
      <c r="F632" s="3" t="s">
        <v>10</v>
      </c>
      <c r="G632" s="2" t="s">
        <v>39</v>
      </c>
      <c r="H632" s="2" t="s">
        <v>12</v>
      </c>
      <c r="I632" s="2" t="s">
        <v>13</v>
      </c>
      <c r="J632" s="2" t="s">
        <v>32</v>
      </c>
    </row>
    <row r="633" spans="1:10" x14ac:dyDescent="0.3">
      <c r="A633" s="2" t="str">
        <f>HYPERLINK("https://hsdes.intel.com/resource/16013698260","16013698260")</f>
        <v>16013698260</v>
      </c>
      <c r="B633" s="2" t="s">
        <v>1317</v>
      </c>
      <c r="C633" s="2" t="s">
        <v>425</v>
      </c>
      <c r="D633" s="5" t="s">
        <v>526</v>
      </c>
      <c r="E633" s="2"/>
      <c r="F633" s="3" t="s">
        <v>10</v>
      </c>
      <c r="G633" s="2" t="s">
        <v>11</v>
      </c>
      <c r="H633" s="2" t="s">
        <v>12</v>
      </c>
      <c r="I633" s="2" t="s">
        <v>13</v>
      </c>
      <c r="J633" s="2" t="s">
        <v>32</v>
      </c>
    </row>
    <row r="634" spans="1:10" x14ac:dyDescent="0.3">
      <c r="A634" s="2" t="str">
        <f>HYPERLINK("https://hsdes.intel.com/resource/16013700594","16013700594")</f>
        <v>16013700594</v>
      </c>
      <c r="B634" s="2" t="s">
        <v>1318</v>
      </c>
      <c r="C634" s="2" t="s">
        <v>532</v>
      </c>
      <c r="D634" s="5" t="s">
        <v>526</v>
      </c>
      <c r="E634" s="2"/>
      <c r="F634" s="3" t="s">
        <v>10</v>
      </c>
      <c r="G634" s="2" t="s">
        <v>124</v>
      </c>
      <c r="H634" s="2" t="s">
        <v>12</v>
      </c>
      <c r="I634" s="2" t="s">
        <v>13</v>
      </c>
      <c r="J634" s="2" t="s">
        <v>32</v>
      </c>
    </row>
    <row r="635" spans="1:10" x14ac:dyDescent="0.3">
      <c r="A635" s="2" t="str">
        <f>HYPERLINK("https://hsdes.intel.com/resource/16013700981","16013700981")</f>
        <v>16013700981</v>
      </c>
      <c r="B635" s="2" t="s">
        <v>1319</v>
      </c>
      <c r="C635" s="2" t="s">
        <v>1320</v>
      </c>
      <c r="D635" s="5" t="s">
        <v>526</v>
      </c>
      <c r="E635" s="2"/>
      <c r="F635" s="3" t="s">
        <v>10</v>
      </c>
      <c r="G635" s="2" t="s">
        <v>11</v>
      </c>
      <c r="H635" s="2" t="s">
        <v>12</v>
      </c>
      <c r="I635" s="2" t="s">
        <v>13</v>
      </c>
      <c r="J635" s="2" t="s">
        <v>27</v>
      </c>
    </row>
    <row r="636" spans="1:10" x14ac:dyDescent="0.3">
      <c r="A636" s="2" t="str">
        <f>HYPERLINK("https://hsdes.intel.com/resource/16013701110","16013701110")</f>
        <v>16013701110</v>
      </c>
      <c r="B636" s="2" t="s">
        <v>1321</v>
      </c>
      <c r="C636" s="2" t="s">
        <v>427</v>
      </c>
      <c r="D636" s="5" t="s">
        <v>526</v>
      </c>
      <c r="E636" s="2"/>
      <c r="F636" s="3" t="s">
        <v>10</v>
      </c>
      <c r="G636" s="2" t="s">
        <v>11</v>
      </c>
      <c r="H636" s="2" t="s">
        <v>12</v>
      </c>
      <c r="I636" s="2" t="s">
        <v>13</v>
      </c>
      <c r="J636" s="2" t="s">
        <v>32</v>
      </c>
    </row>
    <row r="637" spans="1:10" x14ac:dyDescent="0.3">
      <c r="A637" s="2" t="str">
        <f>HYPERLINK("https://hsdes.intel.com/resource/16013701830","16013701830")</f>
        <v>16013701830</v>
      </c>
      <c r="B637" s="2" t="s">
        <v>1322</v>
      </c>
      <c r="C637" s="2" t="s">
        <v>618</v>
      </c>
      <c r="D637" s="5" t="s">
        <v>526</v>
      </c>
      <c r="E637" s="2"/>
      <c r="F637" s="3" t="s">
        <v>10</v>
      </c>
      <c r="G637" s="2" t="s">
        <v>11</v>
      </c>
      <c r="H637" s="2" t="s">
        <v>12</v>
      </c>
      <c r="I637" s="2" t="s">
        <v>13</v>
      </c>
      <c r="J637" s="2" t="s">
        <v>32</v>
      </c>
    </row>
    <row r="638" spans="1:10" x14ac:dyDescent="0.3">
      <c r="A638" s="2" t="str">
        <f>HYPERLINK("https://hsdes.intel.com/resource/16013702337","16013702337")</f>
        <v>16013702337</v>
      </c>
      <c r="B638" s="2" t="s">
        <v>1323</v>
      </c>
      <c r="C638" s="2" t="s">
        <v>568</v>
      </c>
      <c r="D638" s="5" t="s">
        <v>526</v>
      </c>
      <c r="E638" s="2"/>
      <c r="F638" s="3" t="s">
        <v>10</v>
      </c>
      <c r="G638" s="2" t="s">
        <v>11</v>
      </c>
      <c r="H638" s="2" t="s">
        <v>12</v>
      </c>
      <c r="I638" s="2" t="s">
        <v>13</v>
      </c>
      <c r="J638" s="2" t="s">
        <v>32</v>
      </c>
    </row>
    <row r="639" spans="1:10" x14ac:dyDescent="0.3">
      <c r="A639" s="2" t="str">
        <f>HYPERLINK("https://hsdes.intel.com/resource/16013702493","16013702493")</f>
        <v>16013702493</v>
      </c>
      <c r="B639" s="2" t="s">
        <v>1324</v>
      </c>
      <c r="C639" s="2" t="s">
        <v>614</v>
      </c>
      <c r="D639" s="5" t="s">
        <v>526</v>
      </c>
      <c r="E639" s="2"/>
      <c r="F639" s="3" t="s">
        <v>10</v>
      </c>
      <c r="G639" s="2" t="s">
        <v>11</v>
      </c>
      <c r="H639" s="2" t="s">
        <v>12</v>
      </c>
      <c r="I639" s="2" t="s">
        <v>13</v>
      </c>
      <c r="J639" s="2" t="s">
        <v>32</v>
      </c>
    </row>
    <row r="640" spans="1:10" x14ac:dyDescent="0.3">
      <c r="A640" s="2" t="str">
        <f>HYPERLINK("https://hsdes.intel.com/resource/16014206075","16014206075")</f>
        <v>16014206075</v>
      </c>
      <c r="B640" s="2" t="s">
        <v>1325</v>
      </c>
      <c r="C640" s="2" t="s">
        <v>401</v>
      </c>
      <c r="D640" s="5" t="s">
        <v>526</v>
      </c>
      <c r="E640" s="2"/>
      <c r="F640" s="3" t="s">
        <v>10</v>
      </c>
      <c r="G640" s="2" t="s">
        <v>11</v>
      </c>
      <c r="H640" s="2" t="s">
        <v>12</v>
      </c>
      <c r="I640" s="2" t="s">
        <v>13</v>
      </c>
      <c r="J640" s="2" t="s">
        <v>27</v>
      </c>
    </row>
    <row r="641" spans="1:10" x14ac:dyDescent="0.3">
      <c r="A641" s="2" t="str">
        <f>HYPERLINK("https://hsdes.intel.com/resource/16014206609","16014206609")</f>
        <v>16014206609</v>
      </c>
      <c r="B641" s="2" t="s">
        <v>1326</v>
      </c>
      <c r="C641" s="2" t="s">
        <v>401</v>
      </c>
      <c r="D641" s="5" t="s">
        <v>526</v>
      </c>
      <c r="E641" s="2"/>
      <c r="F641" s="3" t="s">
        <v>10</v>
      </c>
      <c r="G641" s="2" t="s">
        <v>11</v>
      </c>
      <c r="H641" s="2" t="s">
        <v>12</v>
      </c>
      <c r="I641" s="2" t="s">
        <v>13</v>
      </c>
      <c r="J641" s="2" t="s">
        <v>27</v>
      </c>
    </row>
    <row r="642" spans="1:10" x14ac:dyDescent="0.3">
      <c r="A642" s="2" t="str">
        <f>HYPERLINK("https://hsdes.intel.com/resource/16014212976","16014212976")</f>
        <v>16014212976</v>
      </c>
      <c r="B642" s="2" t="s">
        <v>1327</v>
      </c>
      <c r="C642" s="2" t="s">
        <v>401</v>
      </c>
      <c r="D642" s="5" t="s">
        <v>526</v>
      </c>
      <c r="E642" s="2"/>
      <c r="F642" s="3" t="s">
        <v>10</v>
      </c>
      <c r="G642" s="2" t="s">
        <v>11</v>
      </c>
      <c r="H642" s="2" t="s">
        <v>12</v>
      </c>
      <c r="I642" s="2" t="s">
        <v>13</v>
      </c>
      <c r="J642" s="2" t="s">
        <v>27</v>
      </c>
    </row>
    <row r="643" spans="1:10" x14ac:dyDescent="0.3">
      <c r="A643" s="2" t="str">
        <f>HYPERLINK("https://hsdes.intel.com/resource/16014217885","16014217885")</f>
        <v>16014217885</v>
      </c>
      <c r="B643" s="2" t="s">
        <v>1328</v>
      </c>
      <c r="C643" s="2" t="s">
        <v>401</v>
      </c>
      <c r="D643" s="5" t="s">
        <v>526</v>
      </c>
      <c r="E643" s="2"/>
      <c r="F643" s="3" t="s">
        <v>10</v>
      </c>
      <c r="G643" s="2" t="s">
        <v>11</v>
      </c>
      <c r="H643" s="2" t="s">
        <v>12</v>
      </c>
      <c r="I643" s="2" t="s">
        <v>13</v>
      </c>
      <c r="J643" s="2" t="s">
        <v>27</v>
      </c>
    </row>
    <row r="644" spans="1:10" x14ac:dyDescent="0.3">
      <c r="A644" s="2" t="str">
        <f>HYPERLINK("https://hsdes.intel.com/resource/16014218143","16014218143")</f>
        <v>16014218143</v>
      </c>
      <c r="B644" s="2" t="s">
        <v>1329</v>
      </c>
      <c r="C644" s="2" t="s">
        <v>401</v>
      </c>
      <c r="D644" s="5" t="s">
        <v>526</v>
      </c>
      <c r="E644" s="2"/>
      <c r="F644" s="3" t="s">
        <v>10</v>
      </c>
      <c r="G644" s="2" t="s">
        <v>11</v>
      </c>
      <c r="H644" s="2" t="s">
        <v>12</v>
      </c>
      <c r="I644" s="2" t="s">
        <v>13</v>
      </c>
      <c r="J644" s="2" t="s">
        <v>27</v>
      </c>
    </row>
    <row r="645" spans="1:10" x14ac:dyDescent="0.3">
      <c r="A645" s="2" t="str">
        <f>HYPERLINK("https://hsdes.intel.com/resource/16014434357","16014434357")</f>
        <v>16014434357</v>
      </c>
      <c r="B645" s="2" t="s">
        <v>1330</v>
      </c>
      <c r="C645" s="2" t="s">
        <v>100</v>
      </c>
      <c r="D645" s="5" t="s">
        <v>526</v>
      </c>
      <c r="E645" s="2"/>
      <c r="F645" s="3" t="s">
        <v>10</v>
      </c>
      <c r="G645" s="2" t="s">
        <v>11</v>
      </c>
      <c r="H645" s="2" t="s">
        <v>12</v>
      </c>
      <c r="I645" s="2" t="s">
        <v>13</v>
      </c>
      <c r="J645" s="2" t="s">
        <v>14</v>
      </c>
    </row>
    <row r="646" spans="1:10" x14ac:dyDescent="0.3">
      <c r="A646" s="2" t="str">
        <f>HYPERLINK("https://hsdes.intel.com/resource/16014434758","16014434758")</f>
        <v>16014434758</v>
      </c>
      <c r="B646" s="2" t="s">
        <v>1331</v>
      </c>
      <c r="C646" s="2" t="s">
        <v>100</v>
      </c>
      <c r="D646" s="5" t="s">
        <v>526</v>
      </c>
      <c r="E646" s="2"/>
      <c r="F646" s="3" t="s">
        <v>10</v>
      </c>
      <c r="G646" s="2" t="s">
        <v>11</v>
      </c>
      <c r="H646" s="2" t="s">
        <v>12</v>
      </c>
      <c r="I646" s="2" t="s">
        <v>13</v>
      </c>
      <c r="J646" s="2" t="s">
        <v>14</v>
      </c>
    </row>
    <row r="647" spans="1:10" x14ac:dyDescent="0.3">
      <c r="A647" s="2" t="str">
        <f>HYPERLINK("https://hsdes.intel.com/resource/16014452298","16014452298")</f>
        <v>16014452298</v>
      </c>
      <c r="B647" s="2" t="s">
        <v>1332</v>
      </c>
      <c r="C647" s="2" t="s">
        <v>546</v>
      </c>
      <c r="D647" s="5" t="s">
        <v>526</v>
      </c>
      <c r="E647" s="2"/>
      <c r="F647" s="3" t="s">
        <v>10</v>
      </c>
      <c r="G647" s="2" t="s">
        <v>11</v>
      </c>
      <c r="H647" s="2" t="s">
        <v>12</v>
      </c>
      <c r="I647" s="2" t="s">
        <v>13</v>
      </c>
      <c r="J647" s="2" t="s">
        <v>14</v>
      </c>
    </row>
    <row r="648" spans="1:10" x14ac:dyDescent="0.3">
      <c r="A648" s="2" t="str">
        <f>HYPERLINK("https://hsdes.intel.com/resource/16014452382","16014452382")</f>
        <v>16014452382</v>
      </c>
      <c r="B648" s="2" t="s">
        <v>1333</v>
      </c>
      <c r="C648" s="2" t="s">
        <v>548</v>
      </c>
      <c r="D648" s="5" t="s">
        <v>526</v>
      </c>
      <c r="E648" s="2"/>
      <c r="F648" s="3" t="s">
        <v>10</v>
      </c>
      <c r="G648" s="2" t="s">
        <v>11</v>
      </c>
      <c r="H648" s="2" t="s">
        <v>12</v>
      </c>
      <c r="I648" s="2" t="s">
        <v>13</v>
      </c>
      <c r="J648" s="2" t="s">
        <v>27</v>
      </c>
    </row>
    <row r="649" spans="1:10" x14ac:dyDescent="0.3">
      <c r="A649" s="2" t="str">
        <f>HYPERLINK("https://hsdes.intel.com/resource/16014452525","16014452525")</f>
        <v>16014452525</v>
      </c>
      <c r="B649" s="2" t="s">
        <v>1334</v>
      </c>
      <c r="C649" s="2" t="s">
        <v>602</v>
      </c>
      <c r="D649" s="5" t="s">
        <v>526</v>
      </c>
      <c r="E649" s="2"/>
      <c r="F649" s="3" t="s">
        <v>10</v>
      </c>
      <c r="G649" s="2" t="s">
        <v>11</v>
      </c>
      <c r="H649" s="2" t="s">
        <v>12</v>
      </c>
      <c r="I649" s="2" t="s">
        <v>13</v>
      </c>
      <c r="J649" s="2" t="s">
        <v>14</v>
      </c>
    </row>
    <row r="650" spans="1:10" x14ac:dyDescent="0.3">
      <c r="A650" s="2" t="str">
        <f>HYPERLINK("https://hsdes.intel.com/resource/16014459216","16014459216")</f>
        <v>16014459216</v>
      </c>
      <c r="B650" s="2" t="s">
        <v>1335</v>
      </c>
      <c r="C650" s="2" t="s">
        <v>582</v>
      </c>
      <c r="D650" s="5" t="s">
        <v>526</v>
      </c>
      <c r="E650" s="2"/>
      <c r="F650" s="3" t="s">
        <v>10</v>
      </c>
      <c r="G650" s="2" t="s">
        <v>11</v>
      </c>
      <c r="H650" s="2" t="s">
        <v>12</v>
      </c>
      <c r="I650" s="2" t="s">
        <v>13</v>
      </c>
      <c r="J650" s="2" t="s">
        <v>14</v>
      </c>
    </row>
    <row r="651" spans="1:10" x14ac:dyDescent="0.3">
      <c r="A651" s="2" t="str">
        <f>HYPERLINK("https://hsdes.intel.com/resource/16014459496","16014459496")</f>
        <v>16014459496</v>
      </c>
      <c r="B651" s="2" t="s">
        <v>1336</v>
      </c>
      <c r="C651" s="2" t="s">
        <v>616</v>
      </c>
      <c r="D651" s="5" t="s">
        <v>526</v>
      </c>
      <c r="E651" s="2"/>
      <c r="F651" s="3" t="s">
        <v>10</v>
      </c>
      <c r="G651" s="2" t="s">
        <v>124</v>
      </c>
      <c r="H651" s="2" t="s">
        <v>12</v>
      </c>
      <c r="I651" s="2" t="s">
        <v>13</v>
      </c>
      <c r="J651" s="2" t="s">
        <v>14</v>
      </c>
    </row>
    <row r="652" spans="1:10" x14ac:dyDescent="0.3">
      <c r="A652" s="2" t="str">
        <f>HYPERLINK("https://hsdes.intel.com/resource/16014842310","16014842310")</f>
        <v>16014842310</v>
      </c>
      <c r="B652" s="2" t="s">
        <v>1337</v>
      </c>
      <c r="C652" s="2" t="s">
        <v>1239</v>
      </c>
      <c r="D652" s="5" t="s">
        <v>526</v>
      </c>
      <c r="E652" s="2"/>
      <c r="F652" s="3" t="s">
        <v>10</v>
      </c>
      <c r="G652" s="2" t="s">
        <v>124</v>
      </c>
      <c r="H652" s="2" t="s">
        <v>85</v>
      </c>
      <c r="I652" s="2" t="s">
        <v>86</v>
      </c>
      <c r="J652" s="2" t="s">
        <v>32</v>
      </c>
    </row>
    <row r="653" spans="1:10" x14ac:dyDescent="0.3">
      <c r="A653" s="2" t="str">
        <f>HYPERLINK("https://hsdes.intel.com/resource/16014848255","16014848255")</f>
        <v>16014848255</v>
      </c>
      <c r="B653" s="2" t="s">
        <v>1338</v>
      </c>
      <c r="C653" s="2" t="s">
        <v>1339</v>
      </c>
      <c r="D653" s="5" t="s">
        <v>526</v>
      </c>
      <c r="E653" s="2"/>
      <c r="F653" s="3" t="s">
        <v>10</v>
      </c>
      <c r="G653" s="2" t="s">
        <v>11</v>
      </c>
      <c r="H653" s="2" t="s">
        <v>85</v>
      </c>
      <c r="I653" s="2" t="s">
        <v>50</v>
      </c>
      <c r="J653" s="2" t="s">
        <v>32</v>
      </c>
    </row>
    <row r="654" spans="1:10" x14ac:dyDescent="0.3">
      <c r="A654" s="2" t="str">
        <f>HYPERLINK("https://hsdes.intel.com/resource/16014869116","16014869116")</f>
        <v>16014869116</v>
      </c>
      <c r="B654" s="2" t="s">
        <v>1340</v>
      </c>
      <c r="C654" s="2" t="s">
        <v>685</v>
      </c>
      <c r="D654" s="5" t="s">
        <v>526</v>
      </c>
      <c r="E654" s="2"/>
      <c r="F654" s="3" t="s">
        <v>10</v>
      </c>
      <c r="G654" s="2" t="s">
        <v>124</v>
      </c>
      <c r="H654" s="2" t="s">
        <v>85</v>
      </c>
      <c r="I654" s="2" t="s">
        <v>86</v>
      </c>
      <c r="J654" s="2" t="s">
        <v>32</v>
      </c>
    </row>
    <row r="655" spans="1:10" x14ac:dyDescent="0.3">
      <c r="A655" s="2" t="str">
        <f>HYPERLINK("https://hsdes.intel.com/resource/16014869753","16014869753")</f>
        <v>16014869753</v>
      </c>
      <c r="B655" s="2" t="s">
        <v>1341</v>
      </c>
      <c r="C655" s="2" t="s">
        <v>238</v>
      </c>
      <c r="D655" s="5" t="s">
        <v>526</v>
      </c>
      <c r="E655" s="2"/>
      <c r="F655" s="3" t="s">
        <v>10</v>
      </c>
      <c r="G655" s="2" t="s">
        <v>124</v>
      </c>
      <c r="H655" s="2" t="s">
        <v>85</v>
      </c>
      <c r="I655" s="2" t="s">
        <v>86</v>
      </c>
      <c r="J655" s="2" t="s">
        <v>32</v>
      </c>
    </row>
    <row r="656" spans="1:10" x14ac:dyDescent="0.3">
      <c r="A656" s="2" t="str">
        <f>HYPERLINK("https://hsdes.intel.com/resource/16014913066","16014913066")</f>
        <v>16014913066</v>
      </c>
      <c r="B656" s="2" t="s">
        <v>1342</v>
      </c>
      <c r="C656" s="2" t="s">
        <v>670</v>
      </c>
      <c r="D656" s="5" t="s">
        <v>526</v>
      </c>
      <c r="E656" s="2"/>
      <c r="F656" s="3" t="s">
        <v>10</v>
      </c>
      <c r="G656" s="2" t="s">
        <v>124</v>
      </c>
      <c r="H656" s="2" t="s">
        <v>85</v>
      </c>
      <c r="I656" s="2" t="s">
        <v>86</v>
      </c>
      <c r="J656" s="2" t="s">
        <v>32</v>
      </c>
    </row>
    <row r="657" spans="1:10" x14ac:dyDescent="0.3">
      <c r="A657" s="2" t="str">
        <f>HYPERLINK("https://hsdes.intel.com/resource/16014919863","16014919863")</f>
        <v>16014919863</v>
      </c>
      <c r="B657" s="2" t="s">
        <v>1343</v>
      </c>
      <c r="C657" s="2" t="s">
        <v>1344</v>
      </c>
      <c r="D657" s="5" t="s">
        <v>526</v>
      </c>
      <c r="E657" s="2"/>
      <c r="F657" s="3" t="s">
        <v>10</v>
      </c>
      <c r="G657" s="2" t="s">
        <v>124</v>
      </c>
      <c r="H657" s="2" t="s">
        <v>85</v>
      </c>
      <c r="I657" s="2" t="s">
        <v>86</v>
      </c>
      <c r="J657" s="2" t="s">
        <v>32</v>
      </c>
    </row>
    <row r="658" spans="1:10" x14ac:dyDescent="0.3">
      <c r="A658" s="2" t="str">
        <f>HYPERLINK("https://hsdes.intel.com/resource/16014929115","16014929115")</f>
        <v>16014929115</v>
      </c>
      <c r="B658" s="2" t="s">
        <v>1345</v>
      </c>
      <c r="C658" s="2" t="s">
        <v>1346</v>
      </c>
      <c r="D658" s="5" t="s">
        <v>526</v>
      </c>
      <c r="E658" s="2"/>
      <c r="F658" s="3" t="s">
        <v>10</v>
      </c>
      <c r="G658" s="2" t="s">
        <v>124</v>
      </c>
      <c r="H658" s="2" t="s">
        <v>85</v>
      </c>
      <c r="I658" s="2" t="s">
        <v>86</v>
      </c>
      <c r="J658" s="2" t="s">
        <v>32</v>
      </c>
    </row>
    <row r="659" spans="1:10" x14ac:dyDescent="0.3">
      <c r="A659" s="2" t="str">
        <f>HYPERLINK("https://hsdes.intel.com/resource/16014929167","16014929167")</f>
        <v>16014929167</v>
      </c>
      <c r="B659" s="2" t="s">
        <v>1347</v>
      </c>
      <c r="C659" s="2" t="s">
        <v>246</v>
      </c>
      <c r="D659" s="5" t="s">
        <v>526</v>
      </c>
      <c r="E659" s="2"/>
      <c r="F659" s="3" t="s">
        <v>10</v>
      </c>
      <c r="G659" s="2" t="s">
        <v>124</v>
      </c>
      <c r="H659" s="2" t="s">
        <v>159</v>
      </c>
      <c r="I659" s="2" t="s">
        <v>210</v>
      </c>
      <c r="J659" s="2" t="s">
        <v>32</v>
      </c>
    </row>
    <row r="660" spans="1:10" x14ac:dyDescent="0.3">
      <c r="A660" s="2" t="str">
        <f>HYPERLINK("https://hsdes.intel.com/resource/16014934303","16014934303")</f>
        <v>16014934303</v>
      </c>
      <c r="B660" s="2" t="s">
        <v>1348</v>
      </c>
      <c r="C660" s="2" t="s">
        <v>670</v>
      </c>
      <c r="D660" s="5" t="s">
        <v>526</v>
      </c>
      <c r="E660" s="2"/>
      <c r="F660" s="3" t="s">
        <v>10</v>
      </c>
      <c r="G660" s="2" t="s">
        <v>11</v>
      </c>
      <c r="H660" s="2" t="s">
        <v>85</v>
      </c>
      <c r="I660" s="2" t="s">
        <v>86</v>
      </c>
      <c r="J660" s="2" t="s">
        <v>32</v>
      </c>
    </row>
    <row r="661" spans="1:10" x14ac:dyDescent="0.3">
      <c r="A661" s="2" t="str">
        <f>HYPERLINK("https://hsdes.intel.com/resource/16015008992","16015008992")</f>
        <v>16015008992</v>
      </c>
      <c r="B661" s="2" t="s">
        <v>1349</v>
      </c>
      <c r="C661" s="2"/>
      <c r="D661" s="5" t="s">
        <v>526</v>
      </c>
      <c r="E661" s="2"/>
      <c r="F661" s="3" t="s">
        <v>10</v>
      </c>
      <c r="G661" s="2" t="s">
        <v>124</v>
      </c>
      <c r="H661" s="2" t="s">
        <v>85</v>
      </c>
      <c r="I661" s="2" t="s">
        <v>86</v>
      </c>
      <c r="J661" s="2" t="s">
        <v>32</v>
      </c>
    </row>
    <row r="662" spans="1:10" x14ac:dyDescent="0.3">
      <c r="A662" s="2" t="str">
        <f>HYPERLINK("https://hsdes.intel.com/resource/16015014979","16015014979")</f>
        <v>16015014979</v>
      </c>
      <c r="B662" s="2" t="s">
        <v>1350</v>
      </c>
      <c r="C662" s="2"/>
      <c r="D662" s="5" t="s">
        <v>526</v>
      </c>
      <c r="E662" s="2"/>
      <c r="F662" s="3" t="s">
        <v>10</v>
      </c>
      <c r="G662" s="2" t="s">
        <v>11</v>
      </c>
      <c r="H662" s="2" t="s">
        <v>1351</v>
      </c>
      <c r="I662" s="2" t="s">
        <v>41</v>
      </c>
      <c r="J662" s="2" t="s">
        <v>32</v>
      </c>
    </row>
    <row r="663" spans="1:10" x14ac:dyDescent="0.3">
      <c r="A663" s="2" t="str">
        <f>HYPERLINK("https://hsdes.intel.com/resource/16015018246","16015018246")</f>
        <v>16015018246</v>
      </c>
      <c r="B663" s="2" t="s">
        <v>1352</v>
      </c>
      <c r="C663" s="2" t="s">
        <v>84</v>
      </c>
      <c r="D663" s="5" t="s">
        <v>526</v>
      </c>
      <c r="E663" s="2"/>
      <c r="F663" s="3" t="s">
        <v>10</v>
      </c>
      <c r="G663" s="2" t="s">
        <v>124</v>
      </c>
      <c r="H663" s="2" t="s">
        <v>85</v>
      </c>
      <c r="I663" s="2" t="s">
        <v>86</v>
      </c>
      <c r="J663" s="2" t="s">
        <v>32</v>
      </c>
    </row>
    <row r="664" spans="1:10" x14ac:dyDescent="0.3">
      <c r="A664" s="2" t="str">
        <f>HYPERLINK("https://hsdes.intel.com/resource/16015055073","16015055073")</f>
        <v>16015055073</v>
      </c>
      <c r="B664" s="2" t="s">
        <v>1353</v>
      </c>
      <c r="C664" s="2"/>
      <c r="D664" s="7" t="s">
        <v>369</v>
      </c>
      <c r="E664" s="2" t="s">
        <v>1354</v>
      </c>
      <c r="F664" s="3" t="s">
        <v>10</v>
      </c>
      <c r="G664" s="2" t="s">
        <v>124</v>
      </c>
      <c r="H664" s="2" t="s">
        <v>127</v>
      </c>
      <c r="I664" s="2" t="s">
        <v>41</v>
      </c>
      <c r="J664" s="2" t="s">
        <v>32</v>
      </c>
    </row>
    <row r="665" spans="1:10" x14ac:dyDescent="0.3">
      <c r="A665" s="2" t="str">
        <f>HYPERLINK("https://hsdes.intel.com/resource/22011834241","22011834241")</f>
        <v>22011834241</v>
      </c>
      <c r="B665" s="2" t="s">
        <v>1355</v>
      </c>
      <c r="C665" s="2" t="s">
        <v>1356</v>
      </c>
      <c r="D665" s="5" t="s">
        <v>526</v>
      </c>
      <c r="E665" s="2"/>
      <c r="F665" s="3" t="s">
        <v>10</v>
      </c>
      <c r="G665" s="2" t="s">
        <v>11</v>
      </c>
      <c r="H665" s="2" t="s">
        <v>105</v>
      </c>
      <c r="I665" s="2" t="s">
        <v>210</v>
      </c>
      <c r="J665" s="2" t="s">
        <v>14</v>
      </c>
    </row>
    <row r="666" spans="1:10" x14ac:dyDescent="0.3">
      <c r="A666" s="2" t="str">
        <f>HYPERLINK("https://hsdes.intel.com/resource/22011834247","22011834247")</f>
        <v>22011834247</v>
      </c>
      <c r="B666" s="2" t="s">
        <v>1357</v>
      </c>
      <c r="C666" s="2" t="s">
        <v>1358</v>
      </c>
      <c r="D666" s="5" t="s">
        <v>526</v>
      </c>
      <c r="E666" s="2"/>
      <c r="F666" s="3" t="s">
        <v>10</v>
      </c>
      <c r="G666" s="2" t="s">
        <v>11</v>
      </c>
      <c r="H666" s="2" t="s">
        <v>12</v>
      </c>
      <c r="I666" s="2" t="s">
        <v>13</v>
      </c>
      <c r="J666" s="2" t="s">
        <v>27</v>
      </c>
    </row>
    <row r="667" spans="1:10" x14ac:dyDescent="0.3">
      <c r="A667" s="2" t="str">
        <f>HYPERLINK("https://hsdes.intel.com/resource/22011834254","22011834254")</f>
        <v>22011834254</v>
      </c>
      <c r="B667" s="2" t="s">
        <v>1359</v>
      </c>
      <c r="C667" s="2" t="s">
        <v>1360</v>
      </c>
      <c r="D667" s="5" t="s">
        <v>526</v>
      </c>
      <c r="E667" s="2"/>
      <c r="F667" s="3" t="s">
        <v>10</v>
      </c>
      <c r="G667" s="2" t="s">
        <v>11</v>
      </c>
      <c r="H667" s="2" t="s">
        <v>12</v>
      </c>
      <c r="I667" s="2" t="s">
        <v>13</v>
      </c>
      <c r="J667" s="2" t="s">
        <v>27</v>
      </c>
    </row>
    <row r="668" spans="1:10" x14ac:dyDescent="0.3">
      <c r="A668" s="2" t="str">
        <f>HYPERLINK("https://hsdes.intel.com/resource/22011834261","22011834261")</f>
        <v>22011834261</v>
      </c>
      <c r="B668" s="2" t="s">
        <v>1361</v>
      </c>
      <c r="C668" s="2" t="s">
        <v>1362</v>
      </c>
      <c r="D668" s="5" t="s">
        <v>526</v>
      </c>
      <c r="E668" s="2"/>
      <c r="F668" s="3" t="s">
        <v>10</v>
      </c>
      <c r="G668" s="2" t="s">
        <v>11</v>
      </c>
      <c r="H668" s="2" t="s">
        <v>12</v>
      </c>
      <c r="I668" s="2" t="s">
        <v>13</v>
      </c>
      <c r="J668" s="2" t="s">
        <v>27</v>
      </c>
    </row>
    <row r="669" spans="1:10" x14ac:dyDescent="0.3">
      <c r="A669" s="2" t="str">
        <f>HYPERLINK("https://hsdes.intel.com/resource/22011834267","22011834267")</f>
        <v>22011834267</v>
      </c>
      <c r="B669" s="2" t="s">
        <v>1363</v>
      </c>
      <c r="C669" s="2" t="s">
        <v>1364</v>
      </c>
      <c r="D669" s="5" t="s">
        <v>526</v>
      </c>
      <c r="E669" s="2"/>
      <c r="F669" s="3" t="s">
        <v>10</v>
      </c>
      <c r="G669" s="2" t="s">
        <v>11</v>
      </c>
      <c r="H669" s="2" t="s">
        <v>12</v>
      </c>
      <c r="I669" s="2" t="s">
        <v>13</v>
      </c>
      <c r="J669" s="2" t="s">
        <v>27</v>
      </c>
    </row>
    <row r="670" spans="1:10" x14ac:dyDescent="0.3">
      <c r="A670" s="2" t="str">
        <f>HYPERLINK("https://hsdes.intel.com/resource/22011834277","22011834277")</f>
        <v>22011834277</v>
      </c>
      <c r="B670" s="2" t="s">
        <v>1365</v>
      </c>
      <c r="C670" s="2" t="s">
        <v>1366</v>
      </c>
      <c r="D670" s="5" t="s">
        <v>526</v>
      </c>
      <c r="E670" s="2"/>
      <c r="F670" s="3" t="s">
        <v>10</v>
      </c>
      <c r="G670" s="2" t="s">
        <v>11</v>
      </c>
      <c r="H670" s="2" t="s">
        <v>12</v>
      </c>
      <c r="I670" s="2" t="s">
        <v>13</v>
      </c>
      <c r="J670" s="2" t="s">
        <v>27</v>
      </c>
    </row>
    <row r="671" spans="1:10" x14ac:dyDescent="0.3">
      <c r="A671" s="2" t="str">
        <f>HYPERLINK("https://hsdes.intel.com/resource/22011834363","22011834363")</f>
        <v>22011834363</v>
      </c>
      <c r="B671" s="2" t="s">
        <v>1367</v>
      </c>
      <c r="C671" s="2" t="s">
        <v>1368</v>
      </c>
      <c r="D671" s="5" t="s">
        <v>526</v>
      </c>
      <c r="E671" s="2"/>
      <c r="F671" s="3" t="s">
        <v>10</v>
      </c>
      <c r="G671" s="2" t="s">
        <v>39</v>
      </c>
      <c r="H671" s="2" t="s">
        <v>12</v>
      </c>
      <c r="I671" s="2" t="s">
        <v>13</v>
      </c>
      <c r="J671" s="2" t="s">
        <v>14</v>
      </c>
    </row>
    <row r="672" spans="1:10" x14ac:dyDescent="0.3">
      <c r="A672" s="2" t="str">
        <f>HYPERLINK("https://hsdes.intel.com/resource/22011834371","22011834371")</f>
        <v>22011834371</v>
      </c>
      <c r="B672" s="2" t="s">
        <v>1369</v>
      </c>
      <c r="C672" s="2" t="s">
        <v>1370</v>
      </c>
      <c r="D672" s="5" t="s">
        <v>526</v>
      </c>
      <c r="E672" s="2"/>
      <c r="F672" s="3" t="s">
        <v>10</v>
      </c>
      <c r="G672" s="2" t="s">
        <v>39</v>
      </c>
      <c r="H672" s="2" t="s">
        <v>12</v>
      </c>
      <c r="I672" s="2" t="s">
        <v>13</v>
      </c>
      <c r="J672" s="2" t="s">
        <v>14</v>
      </c>
    </row>
    <row r="673" spans="1:10" x14ac:dyDescent="0.3">
      <c r="A673" s="2" t="str">
        <f>HYPERLINK("https://hsdes.intel.com/resource/22011834384","22011834384")</f>
        <v>22011834384</v>
      </c>
      <c r="B673" s="2" t="s">
        <v>1371</v>
      </c>
      <c r="C673" s="2" t="s">
        <v>1372</v>
      </c>
      <c r="D673" s="5" t="s">
        <v>526</v>
      </c>
      <c r="E673" s="2"/>
      <c r="F673" s="3" t="s">
        <v>10</v>
      </c>
      <c r="G673" s="2" t="s">
        <v>39</v>
      </c>
      <c r="H673" s="2" t="s">
        <v>12</v>
      </c>
      <c r="I673" s="2" t="s">
        <v>13</v>
      </c>
      <c r="J673" s="2" t="s">
        <v>14</v>
      </c>
    </row>
    <row r="674" spans="1:10" x14ac:dyDescent="0.3">
      <c r="A674" s="2" t="str">
        <f>HYPERLINK("https://hsdes.intel.com/resource/22011834386","22011834386")</f>
        <v>22011834386</v>
      </c>
      <c r="B674" s="2" t="s">
        <v>1373</v>
      </c>
      <c r="C674" s="2" t="s">
        <v>1374</v>
      </c>
      <c r="D674" s="5" t="s">
        <v>526</v>
      </c>
      <c r="E674" s="2"/>
      <c r="F674" s="3" t="s">
        <v>10</v>
      </c>
      <c r="G674" s="2" t="s">
        <v>39</v>
      </c>
      <c r="H674" s="2" t="s">
        <v>12</v>
      </c>
      <c r="I674" s="2" t="s">
        <v>13</v>
      </c>
      <c r="J674" s="2" t="s">
        <v>14</v>
      </c>
    </row>
    <row r="675" spans="1:10" x14ac:dyDescent="0.3">
      <c r="A675" s="2" t="str">
        <f>HYPERLINK("https://hsdes.intel.com/resource/22011834390","22011834390")</f>
        <v>22011834390</v>
      </c>
      <c r="B675" s="2" t="s">
        <v>1375</v>
      </c>
      <c r="C675" s="2" t="s">
        <v>1376</v>
      </c>
      <c r="D675" s="5" t="s">
        <v>526</v>
      </c>
      <c r="E675" s="2"/>
      <c r="F675" s="3" t="s">
        <v>10</v>
      </c>
      <c r="G675" s="2" t="s">
        <v>39</v>
      </c>
      <c r="H675" s="2" t="s">
        <v>12</v>
      </c>
      <c r="I675" s="2" t="s">
        <v>13</v>
      </c>
      <c r="J675" s="2" t="s">
        <v>14</v>
      </c>
    </row>
    <row r="676" spans="1:10" x14ac:dyDescent="0.3">
      <c r="A676" s="2" t="str">
        <f>HYPERLINK("https://hsdes.intel.com/resource/22011834418","22011834418")</f>
        <v>22011834418</v>
      </c>
      <c r="B676" s="2" t="s">
        <v>1377</v>
      </c>
      <c r="C676" s="2" t="s">
        <v>1378</v>
      </c>
      <c r="D676" s="5" t="s">
        <v>526</v>
      </c>
      <c r="E676" s="2"/>
      <c r="F676" s="3" t="s">
        <v>10</v>
      </c>
      <c r="G676" s="2" t="s">
        <v>39</v>
      </c>
      <c r="H676" s="2" t="s">
        <v>12</v>
      </c>
      <c r="I676" s="2" t="s">
        <v>13</v>
      </c>
      <c r="J676" s="2" t="s">
        <v>14</v>
      </c>
    </row>
    <row r="677" spans="1:10" x14ac:dyDescent="0.3">
      <c r="A677" s="2" t="str">
        <f>HYPERLINK("https://hsdes.intel.com/resource/22011834422","22011834422")</f>
        <v>22011834422</v>
      </c>
      <c r="B677" s="2" t="s">
        <v>1379</v>
      </c>
      <c r="C677" s="2" t="s">
        <v>1380</v>
      </c>
      <c r="D677" s="5" t="s">
        <v>526</v>
      </c>
      <c r="E677" s="2"/>
      <c r="F677" s="3" t="s">
        <v>10</v>
      </c>
      <c r="G677" s="2" t="s">
        <v>39</v>
      </c>
      <c r="H677" s="2" t="s">
        <v>12</v>
      </c>
      <c r="I677" s="2" t="s">
        <v>13</v>
      </c>
      <c r="J677" s="2" t="s">
        <v>14</v>
      </c>
    </row>
    <row r="678" spans="1:10" x14ac:dyDescent="0.3">
      <c r="A678" s="2" t="str">
        <f>HYPERLINK("https://hsdes.intel.com/resource/22011834426","22011834426")</f>
        <v>22011834426</v>
      </c>
      <c r="B678" s="2" t="s">
        <v>1381</v>
      </c>
      <c r="C678" s="2" t="s">
        <v>1382</v>
      </c>
      <c r="D678" s="5" t="s">
        <v>526</v>
      </c>
      <c r="E678" s="2"/>
      <c r="F678" s="3" t="s">
        <v>10</v>
      </c>
      <c r="G678" s="2" t="s">
        <v>39</v>
      </c>
      <c r="H678" s="2" t="s">
        <v>12</v>
      </c>
      <c r="I678" s="2" t="s">
        <v>13</v>
      </c>
      <c r="J678" s="2" t="s">
        <v>14</v>
      </c>
    </row>
    <row r="679" spans="1:10" x14ac:dyDescent="0.3">
      <c r="A679" s="2" t="str">
        <f>HYPERLINK("https://hsdes.intel.com/resource/22011834428","22011834428")</f>
        <v>22011834428</v>
      </c>
      <c r="B679" s="2" t="s">
        <v>1383</v>
      </c>
      <c r="C679" s="2" t="s">
        <v>1384</v>
      </c>
      <c r="D679" s="5" t="s">
        <v>526</v>
      </c>
      <c r="E679" s="2"/>
      <c r="F679" s="3" t="s">
        <v>10</v>
      </c>
      <c r="G679" s="2" t="s">
        <v>39</v>
      </c>
      <c r="H679" s="2" t="s">
        <v>12</v>
      </c>
      <c r="I679" s="2" t="s">
        <v>13</v>
      </c>
      <c r="J679" s="2" t="s">
        <v>14</v>
      </c>
    </row>
    <row r="680" spans="1:10" x14ac:dyDescent="0.3">
      <c r="A680" s="2" t="str">
        <f>HYPERLINK("https://hsdes.intel.com/resource/22011834453","22011834453")</f>
        <v>22011834453</v>
      </c>
      <c r="B680" s="2" t="s">
        <v>1385</v>
      </c>
      <c r="C680" s="2" t="s">
        <v>1386</v>
      </c>
      <c r="D680" s="5" t="s">
        <v>526</v>
      </c>
      <c r="E680" s="2"/>
      <c r="F680" s="3" t="s">
        <v>10</v>
      </c>
      <c r="G680" s="2" t="s">
        <v>39</v>
      </c>
      <c r="H680" s="2" t="s">
        <v>12</v>
      </c>
      <c r="I680" s="2" t="s">
        <v>13</v>
      </c>
      <c r="J680" s="2" t="s">
        <v>14</v>
      </c>
    </row>
    <row r="681" spans="1:10" x14ac:dyDescent="0.3">
      <c r="A681" s="2" t="str">
        <f>HYPERLINK("https://hsdes.intel.com/resource/22011834456","22011834456")</f>
        <v>22011834456</v>
      </c>
      <c r="B681" s="2" t="s">
        <v>1387</v>
      </c>
      <c r="C681" s="2" t="s">
        <v>1388</v>
      </c>
      <c r="D681" s="5" t="s">
        <v>526</v>
      </c>
      <c r="E681" s="2"/>
      <c r="F681" s="3" t="s">
        <v>10</v>
      </c>
      <c r="G681" s="2" t="s">
        <v>39</v>
      </c>
      <c r="H681" s="2" t="s">
        <v>12</v>
      </c>
      <c r="I681" s="2" t="s">
        <v>13</v>
      </c>
      <c r="J681" s="2" t="s">
        <v>27</v>
      </c>
    </row>
    <row r="682" spans="1:10" x14ac:dyDescent="0.3">
      <c r="A682" s="2" t="str">
        <f>HYPERLINK("https://hsdes.intel.com/resource/22011834460","22011834460")</f>
        <v>22011834460</v>
      </c>
      <c r="B682" s="2" t="s">
        <v>1389</v>
      </c>
      <c r="C682" s="2" t="s">
        <v>1390</v>
      </c>
      <c r="D682" s="5" t="s">
        <v>526</v>
      </c>
      <c r="E682" s="2"/>
      <c r="F682" s="3" t="s">
        <v>10</v>
      </c>
      <c r="G682" s="2" t="s">
        <v>39</v>
      </c>
      <c r="H682" s="2" t="s">
        <v>12</v>
      </c>
      <c r="I682" s="2" t="s">
        <v>13</v>
      </c>
      <c r="J682" s="2" t="s">
        <v>27</v>
      </c>
    </row>
    <row r="683" spans="1:10" x14ac:dyDescent="0.3">
      <c r="A683" s="2" t="str">
        <f>HYPERLINK("https://hsdes.intel.com/resource/22011834465","22011834465")</f>
        <v>22011834465</v>
      </c>
      <c r="B683" s="2" t="s">
        <v>1391</v>
      </c>
      <c r="C683" s="2" t="s">
        <v>1392</v>
      </c>
      <c r="D683" s="5" t="s">
        <v>526</v>
      </c>
      <c r="E683" s="2"/>
      <c r="F683" s="3" t="s">
        <v>10</v>
      </c>
      <c r="G683" s="2" t="s">
        <v>39</v>
      </c>
      <c r="H683" s="2" t="s">
        <v>12</v>
      </c>
      <c r="I683" s="2" t="s">
        <v>13</v>
      </c>
      <c r="J683" s="2" t="s">
        <v>27</v>
      </c>
    </row>
    <row r="684" spans="1:10" x14ac:dyDescent="0.3">
      <c r="A684" s="2" t="str">
        <f>HYPERLINK("https://hsdes.intel.com/resource/22011834529","22011834529")</f>
        <v>22011834529</v>
      </c>
      <c r="B684" s="2" t="s">
        <v>1393</v>
      </c>
      <c r="C684" s="2" t="s">
        <v>1320</v>
      </c>
      <c r="D684" s="5" t="s">
        <v>526</v>
      </c>
      <c r="E684" s="2"/>
      <c r="F684" s="3" t="s">
        <v>10</v>
      </c>
      <c r="G684" s="2" t="s">
        <v>11</v>
      </c>
      <c r="H684" s="2" t="s">
        <v>12</v>
      </c>
      <c r="I684" s="2" t="s">
        <v>13</v>
      </c>
      <c r="J684" s="2" t="s">
        <v>27</v>
      </c>
    </row>
    <row r="685" spans="1:10" x14ac:dyDescent="0.3">
      <c r="A685" s="2" t="str">
        <f>HYPERLINK("https://hsdes.intel.com/resource/22011834531","22011834531")</f>
        <v>22011834531</v>
      </c>
      <c r="B685" s="2" t="s">
        <v>1394</v>
      </c>
      <c r="C685" s="2" t="s">
        <v>1395</v>
      </c>
      <c r="D685" s="7" t="s">
        <v>369</v>
      </c>
      <c r="E685" s="2" t="s">
        <v>48</v>
      </c>
      <c r="F685" s="3" t="s">
        <v>10</v>
      </c>
      <c r="G685" s="2" t="s">
        <v>11</v>
      </c>
      <c r="H685" s="2" t="s">
        <v>12</v>
      </c>
      <c r="I685" s="2" t="s">
        <v>13</v>
      </c>
      <c r="J685" s="2" t="s">
        <v>27</v>
      </c>
    </row>
    <row r="686" spans="1:10" x14ac:dyDescent="0.3">
      <c r="A686" s="2" t="str">
        <f>HYPERLINK("https://hsdes.intel.com/resource/22011834561","22011834561")</f>
        <v>22011834561</v>
      </c>
      <c r="B686" s="2" t="s">
        <v>1396</v>
      </c>
      <c r="C686" s="2" t="s">
        <v>1397</v>
      </c>
      <c r="D686" s="5" t="s">
        <v>526</v>
      </c>
      <c r="E686" s="2"/>
      <c r="F686" s="3" t="s">
        <v>10</v>
      </c>
      <c r="G686" s="2" t="s">
        <v>39</v>
      </c>
      <c r="H686" s="2" t="s">
        <v>12</v>
      </c>
      <c r="I686" s="2" t="s">
        <v>13</v>
      </c>
      <c r="J686" s="2" t="s">
        <v>27</v>
      </c>
    </row>
    <row r="687" spans="1:10" x14ac:dyDescent="0.3">
      <c r="A687" s="2" t="str">
        <f>HYPERLINK("https://hsdes.intel.com/resource/22011834584","22011834584")</f>
        <v>22011834584</v>
      </c>
      <c r="B687" s="2" t="s">
        <v>1398</v>
      </c>
      <c r="C687" s="2" t="s">
        <v>1399</v>
      </c>
      <c r="D687" s="5" t="s">
        <v>526</v>
      </c>
      <c r="E687" s="2"/>
      <c r="F687" s="3" t="s">
        <v>10</v>
      </c>
      <c r="G687" s="2" t="s">
        <v>39</v>
      </c>
      <c r="H687" s="2" t="s">
        <v>12</v>
      </c>
      <c r="I687" s="2" t="s">
        <v>13</v>
      </c>
      <c r="J687" s="2" t="s">
        <v>27</v>
      </c>
    </row>
    <row r="688" spans="1:10" x14ac:dyDescent="0.3">
      <c r="A688" s="2" t="str">
        <f>HYPERLINK("https://hsdes.intel.com/resource/22011834594","22011834594")</f>
        <v>22011834594</v>
      </c>
      <c r="B688" s="2" t="s">
        <v>1400</v>
      </c>
      <c r="C688" s="2" t="s">
        <v>1401</v>
      </c>
      <c r="D688" s="5" t="s">
        <v>526</v>
      </c>
      <c r="E688" s="2"/>
      <c r="F688" s="3" t="s">
        <v>10</v>
      </c>
      <c r="G688" s="2" t="s">
        <v>39</v>
      </c>
      <c r="H688" s="2" t="s">
        <v>12</v>
      </c>
      <c r="I688" s="2" t="s">
        <v>13</v>
      </c>
      <c r="J688" s="2" t="s">
        <v>27</v>
      </c>
    </row>
    <row r="689" spans="1:10" x14ac:dyDescent="0.3">
      <c r="A689" s="2" t="str">
        <f>HYPERLINK("https://hsdes.intel.com/resource/14013158903","14013158903")</f>
        <v>14013158903</v>
      </c>
      <c r="B689" s="2" t="s">
        <v>1402</v>
      </c>
      <c r="C689" s="2" t="s">
        <v>1403</v>
      </c>
      <c r="D689" s="6" t="s">
        <v>1481</v>
      </c>
      <c r="E689" s="2" t="s">
        <v>1482</v>
      </c>
      <c r="F689" s="3" t="s">
        <v>10</v>
      </c>
      <c r="G689" s="2" t="s">
        <v>11</v>
      </c>
      <c r="H689" s="2" t="s">
        <v>12</v>
      </c>
      <c r="I689" s="2" t="s">
        <v>13</v>
      </c>
      <c r="J689" s="2" t="s">
        <v>27</v>
      </c>
    </row>
    <row r="690" spans="1:10" x14ac:dyDescent="0.3">
      <c r="A690" s="2" t="str">
        <f>HYPERLINK("https://hsdes.intel.com/resource/14013158905","14013158905")</f>
        <v>14013158905</v>
      </c>
      <c r="B690" s="2" t="s">
        <v>1404</v>
      </c>
      <c r="C690" s="2" t="s">
        <v>1405</v>
      </c>
      <c r="D690" s="6" t="s">
        <v>1481</v>
      </c>
      <c r="E690" s="2" t="s">
        <v>1482</v>
      </c>
      <c r="F690" s="3" t="s">
        <v>10</v>
      </c>
      <c r="G690" s="2" t="s">
        <v>11</v>
      </c>
      <c r="H690" s="2" t="s">
        <v>12</v>
      </c>
      <c r="I690" s="2" t="s">
        <v>13</v>
      </c>
      <c r="J690" s="2" t="s">
        <v>27</v>
      </c>
    </row>
    <row r="691" spans="1:10" x14ac:dyDescent="0.3">
      <c r="A691" s="2" t="str">
        <f>HYPERLINK("https://hsdes.intel.com/resource/14013158906","14013158906")</f>
        <v>14013158906</v>
      </c>
      <c r="B691" s="2" t="s">
        <v>1406</v>
      </c>
      <c r="C691" s="2" t="s">
        <v>1407</v>
      </c>
      <c r="D691" s="6" t="s">
        <v>1481</v>
      </c>
      <c r="E691" s="2" t="s">
        <v>1482</v>
      </c>
      <c r="F691" s="3" t="s">
        <v>10</v>
      </c>
      <c r="G691" s="2" t="s">
        <v>11</v>
      </c>
      <c r="H691" s="2" t="s">
        <v>12</v>
      </c>
      <c r="I691" s="2" t="s">
        <v>13</v>
      </c>
      <c r="J691" s="2" t="s">
        <v>27</v>
      </c>
    </row>
    <row r="692" spans="1:10" x14ac:dyDescent="0.3">
      <c r="A692" s="2" t="str">
        <f>HYPERLINK("https://hsdes.intel.com/resource/14013158908","14013158908")</f>
        <v>14013158908</v>
      </c>
      <c r="B692" s="2" t="s">
        <v>1408</v>
      </c>
      <c r="C692" s="2" t="s">
        <v>1409</v>
      </c>
      <c r="D692" s="6" t="s">
        <v>1481</v>
      </c>
      <c r="E692" s="2" t="s">
        <v>1482</v>
      </c>
      <c r="F692" s="3" t="s">
        <v>10</v>
      </c>
      <c r="G692" s="2" t="s">
        <v>11</v>
      </c>
      <c r="H692" s="2" t="s">
        <v>12</v>
      </c>
      <c r="I692" s="2" t="s">
        <v>13</v>
      </c>
      <c r="J692" s="2" t="s">
        <v>27</v>
      </c>
    </row>
    <row r="693" spans="1:10" x14ac:dyDescent="0.3">
      <c r="A693" s="2" t="str">
        <f>HYPERLINK("https://hsdes.intel.com/resource/14013158922","14013158922")</f>
        <v>14013158922</v>
      </c>
      <c r="B693" s="2" t="s">
        <v>1410</v>
      </c>
      <c r="C693" s="2" t="s">
        <v>1411</v>
      </c>
      <c r="D693" s="6" t="s">
        <v>1481</v>
      </c>
      <c r="E693" s="2" t="s">
        <v>1482</v>
      </c>
      <c r="F693" s="3" t="s">
        <v>10</v>
      </c>
      <c r="G693" s="2" t="s">
        <v>11</v>
      </c>
      <c r="H693" s="2" t="s">
        <v>12</v>
      </c>
      <c r="I693" s="2" t="s">
        <v>13</v>
      </c>
      <c r="J693" s="2" t="s">
        <v>27</v>
      </c>
    </row>
    <row r="694" spans="1:10" x14ac:dyDescent="0.3">
      <c r="A694" s="2" t="str">
        <f>HYPERLINK("https://hsdes.intel.com/resource/14013158926","14013158926")</f>
        <v>14013158926</v>
      </c>
      <c r="B694" s="2" t="s">
        <v>1412</v>
      </c>
      <c r="C694" s="2" t="s">
        <v>1413</v>
      </c>
      <c r="D694" s="6" t="s">
        <v>1481</v>
      </c>
      <c r="E694" s="2" t="s">
        <v>1482</v>
      </c>
      <c r="F694" s="3" t="s">
        <v>10</v>
      </c>
      <c r="G694" s="2" t="s">
        <v>11</v>
      </c>
      <c r="H694" s="2" t="s">
        <v>12</v>
      </c>
      <c r="I694" s="2" t="s">
        <v>13</v>
      </c>
      <c r="J694" s="2" t="s">
        <v>27</v>
      </c>
    </row>
    <row r="695" spans="1:10" x14ac:dyDescent="0.3">
      <c r="A695" s="2" t="str">
        <f>HYPERLINK("https://hsdes.intel.com/resource/22011834598","22011834598")</f>
        <v>22011834598</v>
      </c>
      <c r="B695" s="2" t="s">
        <v>1414</v>
      </c>
      <c r="C695" s="2" t="s">
        <v>1415</v>
      </c>
      <c r="D695" s="5" t="s">
        <v>526</v>
      </c>
      <c r="E695" s="2"/>
      <c r="F695" s="3" t="s">
        <v>10</v>
      </c>
      <c r="G695" s="2" t="s">
        <v>11</v>
      </c>
      <c r="H695" s="2" t="s">
        <v>12</v>
      </c>
      <c r="I695" s="2" t="s">
        <v>13</v>
      </c>
      <c r="J695" s="2" t="s">
        <v>27</v>
      </c>
    </row>
    <row r="696" spans="1:10" x14ac:dyDescent="0.3">
      <c r="A696" s="2" t="str">
        <f>HYPERLINK("https://hsdes.intel.com/resource/14013117280","14013117280")</f>
        <v>14013117280</v>
      </c>
      <c r="B696" s="2" t="s">
        <v>1416</v>
      </c>
      <c r="C696" s="2" t="s">
        <v>1417</v>
      </c>
      <c r="D696" s="5" t="s">
        <v>526</v>
      </c>
      <c r="E696" s="2"/>
      <c r="F696" s="2" t="s">
        <v>1418</v>
      </c>
      <c r="G696" s="2" t="s">
        <v>11</v>
      </c>
      <c r="H696" s="2" t="s">
        <v>119</v>
      </c>
      <c r="I696" s="2" t="s">
        <v>26</v>
      </c>
      <c r="J696" s="2" t="s">
        <v>32</v>
      </c>
    </row>
    <row r="697" spans="1:10" x14ac:dyDescent="0.3">
      <c r="A697" s="2" t="str">
        <f>HYPERLINK("https://hsdes.intel.com/resource/14013119389","14013119389")</f>
        <v>14013119389</v>
      </c>
      <c r="B697" s="2" t="s">
        <v>1419</v>
      </c>
      <c r="C697" s="2" t="s">
        <v>1420</v>
      </c>
      <c r="D697" s="5" t="s">
        <v>526</v>
      </c>
      <c r="E697" s="2"/>
      <c r="F697" s="2" t="s">
        <v>1418</v>
      </c>
      <c r="G697" s="2" t="s">
        <v>11</v>
      </c>
      <c r="H697" s="2" t="s">
        <v>53</v>
      </c>
      <c r="I697" s="2" t="s">
        <v>50</v>
      </c>
      <c r="J697" s="2" t="s">
        <v>14</v>
      </c>
    </row>
    <row r="698" spans="1:10" x14ac:dyDescent="0.3">
      <c r="A698" s="2" t="str">
        <f>HYPERLINK("https://hsdes.intel.com/resource/14013119634","14013119634")</f>
        <v>14013119634</v>
      </c>
      <c r="B698" s="2" t="s">
        <v>1421</v>
      </c>
      <c r="C698" s="2" t="s">
        <v>1422</v>
      </c>
      <c r="D698" s="5" t="s">
        <v>526</v>
      </c>
      <c r="E698" s="2"/>
      <c r="F698" s="2" t="s">
        <v>1418</v>
      </c>
      <c r="G698" s="2" t="s">
        <v>11</v>
      </c>
      <c r="H698" s="2" t="s">
        <v>1423</v>
      </c>
      <c r="I698" s="2" t="s">
        <v>266</v>
      </c>
      <c r="J698" s="2" t="s">
        <v>32</v>
      </c>
    </row>
    <row r="699" spans="1:10" x14ac:dyDescent="0.3">
      <c r="A699" s="2" t="str">
        <f>HYPERLINK("https://hsdes.intel.com/resource/14013120050","14013120050")</f>
        <v>14013120050</v>
      </c>
      <c r="B699" s="2" t="s">
        <v>1424</v>
      </c>
      <c r="C699" s="2" t="s">
        <v>1425</v>
      </c>
      <c r="D699" s="5" t="s">
        <v>526</v>
      </c>
      <c r="E699" s="2"/>
      <c r="F699" s="2" t="s">
        <v>1418</v>
      </c>
      <c r="G699" s="2" t="s">
        <v>11</v>
      </c>
      <c r="H699" s="2" t="s">
        <v>30</v>
      </c>
      <c r="I699" s="2" t="s">
        <v>31</v>
      </c>
      <c r="J699" s="2" t="s">
        <v>32</v>
      </c>
    </row>
    <row r="700" spans="1:10" x14ac:dyDescent="0.3">
      <c r="A700" s="2" t="str">
        <f>HYPERLINK("https://hsdes.intel.com/resource/14013121015","14013121015")</f>
        <v>14013121015</v>
      </c>
      <c r="B700" s="2" t="s">
        <v>1426</v>
      </c>
      <c r="C700" s="2" t="s">
        <v>1427</v>
      </c>
      <c r="D700" s="5" t="s">
        <v>526</v>
      </c>
      <c r="E700" s="2"/>
      <c r="F700" s="2" t="s">
        <v>1418</v>
      </c>
      <c r="G700" s="2" t="s">
        <v>11</v>
      </c>
      <c r="H700" s="2" t="s">
        <v>30</v>
      </c>
      <c r="I700" s="2" t="s">
        <v>31</v>
      </c>
      <c r="J700" s="2" t="s">
        <v>32</v>
      </c>
    </row>
    <row r="701" spans="1:10" x14ac:dyDescent="0.3">
      <c r="A701" s="2" t="str">
        <f>HYPERLINK("https://hsdes.intel.com/resource/14013156979","14013156979")</f>
        <v>14013156979</v>
      </c>
      <c r="B701" s="2" t="s">
        <v>1428</v>
      </c>
      <c r="C701" s="2" t="s">
        <v>1429</v>
      </c>
      <c r="D701" s="5" t="s">
        <v>526</v>
      </c>
      <c r="E701" s="2"/>
      <c r="F701" s="2" t="s">
        <v>1418</v>
      </c>
      <c r="G701" s="2" t="s">
        <v>11</v>
      </c>
      <c r="H701" s="2" t="s">
        <v>30</v>
      </c>
      <c r="I701" s="2" t="s">
        <v>31</v>
      </c>
      <c r="J701" s="2" t="s">
        <v>32</v>
      </c>
    </row>
    <row r="702" spans="1:10" x14ac:dyDescent="0.3">
      <c r="A702" s="2" t="str">
        <f>HYPERLINK("https://hsdes.intel.com/resource/14013158728","14013158728")</f>
        <v>14013158728</v>
      </c>
      <c r="B702" s="2" t="s">
        <v>1430</v>
      </c>
      <c r="C702" s="2" t="s">
        <v>1431</v>
      </c>
      <c r="D702" s="5" t="s">
        <v>526</v>
      </c>
      <c r="E702" s="2"/>
      <c r="F702" s="2" t="s">
        <v>1418</v>
      </c>
      <c r="G702" s="2" t="s">
        <v>11</v>
      </c>
      <c r="H702" s="2" t="s">
        <v>265</v>
      </c>
      <c r="I702" s="2" t="s">
        <v>266</v>
      </c>
      <c r="J702" s="2" t="s">
        <v>32</v>
      </c>
    </row>
    <row r="703" spans="1:10" x14ac:dyDescent="0.3">
      <c r="A703" s="2" t="str">
        <f>HYPERLINK("https://hsdes.intel.com/resource/14013158949","14013158949")</f>
        <v>14013158949</v>
      </c>
      <c r="B703" s="2" t="s">
        <v>1432</v>
      </c>
      <c r="C703" s="2" t="s">
        <v>1433</v>
      </c>
      <c r="D703" s="5" t="s">
        <v>526</v>
      </c>
      <c r="E703" s="2"/>
      <c r="F703" s="2" t="s">
        <v>1418</v>
      </c>
      <c r="G703" s="2" t="s">
        <v>11</v>
      </c>
      <c r="H703" s="2" t="s">
        <v>265</v>
      </c>
      <c r="I703" s="2" t="s">
        <v>266</v>
      </c>
      <c r="J703" s="2" t="s">
        <v>32</v>
      </c>
    </row>
    <row r="704" spans="1:10" x14ac:dyDescent="0.3">
      <c r="A704" s="2" t="str">
        <f>HYPERLINK("https://hsdes.intel.com/resource/14013158951","14013158951")</f>
        <v>14013158951</v>
      </c>
      <c r="B704" s="2" t="s">
        <v>1434</v>
      </c>
      <c r="C704" s="2" t="s">
        <v>1435</v>
      </c>
      <c r="D704" s="5" t="s">
        <v>526</v>
      </c>
      <c r="E704" s="2"/>
      <c r="F704" s="2" t="s">
        <v>1418</v>
      </c>
      <c r="G704" s="2" t="s">
        <v>11</v>
      </c>
      <c r="H704" s="2" t="s">
        <v>265</v>
      </c>
      <c r="I704" s="2" t="s">
        <v>266</v>
      </c>
      <c r="J704" s="2" t="s">
        <v>32</v>
      </c>
    </row>
    <row r="705" spans="1:10" x14ac:dyDescent="0.3">
      <c r="A705" s="2" t="str">
        <f>HYPERLINK("https://hsdes.intel.com/resource/14013160089","14013160089")</f>
        <v>14013160089</v>
      </c>
      <c r="B705" s="2" t="s">
        <v>1436</v>
      </c>
      <c r="C705" s="2" t="s">
        <v>1437</v>
      </c>
      <c r="D705" s="5" t="s">
        <v>526</v>
      </c>
      <c r="E705" s="2"/>
      <c r="F705" s="2" t="s">
        <v>1418</v>
      </c>
      <c r="G705" s="2" t="s">
        <v>11</v>
      </c>
      <c r="H705" s="2" t="s">
        <v>265</v>
      </c>
      <c r="I705" s="2" t="s">
        <v>266</v>
      </c>
      <c r="J705" s="2" t="s">
        <v>32</v>
      </c>
    </row>
    <row r="706" spans="1:10" x14ac:dyDescent="0.3">
      <c r="A706" s="2" t="str">
        <f>HYPERLINK("https://hsdes.intel.com/resource/14013160246","14013160246")</f>
        <v>14013160246</v>
      </c>
      <c r="B706" s="2" t="s">
        <v>1438</v>
      </c>
      <c r="C706" s="2" t="s">
        <v>1439</v>
      </c>
      <c r="D706" s="5" t="s">
        <v>526</v>
      </c>
      <c r="E706" s="2"/>
      <c r="F706" s="2" t="s">
        <v>1418</v>
      </c>
      <c r="G706" s="2" t="s">
        <v>11</v>
      </c>
      <c r="H706" s="2" t="s">
        <v>109</v>
      </c>
      <c r="I706" s="2" t="s">
        <v>110</v>
      </c>
      <c r="J706" s="2" t="s">
        <v>14</v>
      </c>
    </row>
    <row r="707" spans="1:10" x14ac:dyDescent="0.3">
      <c r="A707" s="2" t="str">
        <f>HYPERLINK("https://hsdes.intel.com/resource/14013160873","14013160873")</f>
        <v>14013160873</v>
      </c>
      <c r="B707" s="2" t="s">
        <v>1440</v>
      </c>
      <c r="C707" s="2" t="s">
        <v>1441</v>
      </c>
      <c r="D707" s="5" t="s">
        <v>526</v>
      </c>
      <c r="E707" s="2"/>
      <c r="F707" s="2" t="s">
        <v>1418</v>
      </c>
      <c r="G707" s="2" t="s">
        <v>11</v>
      </c>
      <c r="H707" s="2" t="s">
        <v>30</v>
      </c>
      <c r="I707" s="2" t="s">
        <v>31</v>
      </c>
      <c r="J707" s="2" t="s">
        <v>32</v>
      </c>
    </row>
    <row r="708" spans="1:10" x14ac:dyDescent="0.3">
      <c r="A708" s="2" t="str">
        <f>HYPERLINK("https://hsdes.intel.com/resource/14013164066","14013164066")</f>
        <v>14013164066</v>
      </c>
      <c r="B708" s="2" t="s">
        <v>1442</v>
      </c>
      <c r="C708" s="2" t="s">
        <v>1443</v>
      </c>
      <c r="D708" s="5" t="s">
        <v>526</v>
      </c>
      <c r="E708" s="2"/>
      <c r="F708" s="2" t="s">
        <v>1418</v>
      </c>
      <c r="G708" s="2" t="s">
        <v>11</v>
      </c>
      <c r="H708" s="2" t="s">
        <v>265</v>
      </c>
      <c r="I708" s="2" t="s">
        <v>266</v>
      </c>
      <c r="J708" s="2" t="s">
        <v>32</v>
      </c>
    </row>
    <row r="709" spans="1:10" x14ac:dyDescent="0.3">
      <c r="A709" s="2" t="str">
        <f>HYPERLINK("https://hsdes.intel.com/resource/14013164103","14013164103")</f>
        <v>14013164103</v>
      </c>
      <c r="B709" s="2" t="s">
        <v>1444</v>
      </c>
      <c r="C709" s="2" t="s">
        <v>1445</v>
      </c>
      <c r="D709" s="5" t="s">
        <v>526</v>
      </c>
      <c r="E709" s="2"/>
      <c r="F709" s="2" t="s">
        <v>1418</v>
      </c>
      <c r="G709" s="2" t="s">
        <v>11</v>
      </c>
      <c r="H709" s="2" t="s">
        <v>265</v>
      </c>
      <c r="I709" s="2" t="s">
        <v>266</v>
      </c>
      <c r="J709" s="2" t="s">
        <v>32</v>
      </c>
    </row>
    <row r="710" spans="1:10" x14ac:dyDescent="0.3">
      <c r="A710" s="2" t="str">
        <f>HYPERLINK("https://hsdes.intel.com/resource/14013167052","14013167052")</f>
        <v>14013167052</v>
      </c>
      <c r="B710" s="2" t="s">
        <v>1446</v>
      </c>
      <c r="C710" s="2" t="s">
        <v>1447</v>
      </c>
      <c r="D710" s="5" t="s">
        <v>526</v>
      </c>
      <c r="E710" s="2"/>
      <c r="F710" s="2" t="s">
        <v>1418</v>
      </c>
      <c r="G710" s="2" t="s">
        <v>11</v>
      </c>
      <c r="H710" s="2" t="s">
        <v>17</v>
      </c>
      <c r="I710" s="2" t="s">
        <v>18</v>
      </c>
      <c r="J710" s="2" t="s">
        <v>32</v>
      </c>
    </row>
    <row r="711" spans="1:10" x14ac:dyDescent="0.3">
      <c r="A711" s="2" t="str">
        <f>HYPERLINK("https://hsdes.intel.com/resource/14013168404","14013168404")</f>
        <v>14013168404</v>
      </c>
      <c r="B711" s="2" t="s">
        <v>1448</v>
      </c>
      <c r="C711" s="2" t="s">
        <v>1449</v>
      </c>
      <c r="D711" s="5" t="s">
        <v>526</v>
      </c>
      <c r="E711" s="2"/>
      <c r="F711" s="2" t="s">
        <v>1418</v>
      </c>
      <c r="G711" s="2" t="s">
        <v>960</v>
      </c>
      <c r="H711" s="2" t="s">
        <v>71</v>
      </c>
      <c r="I711" s="2" t="s">
        <v>74</v>
      </c>
      <c r="J711" s="2" t="s">
        <v>32</v>
      </c>
    </row>
    <row r="712" spans="1:10" x14ac:dyDescent="0.3">
      <c r="A712" s="2" t="str">
        <f>HYPERLINK("https://hsdes.intel.com/resource/14013169130","14013169130")</f>
        <v>14013169130</v>
      </c>
      <c r="B712" s="2" t="s">
        <v>1450</v>
      </c>
      <c r="C712" s="2" t="s">
        <v>1451</v>
      </c>
      <c r="D712" s="5" t="s">
        <v>526</v>
      </c>
      <c r="E712" s="2"/>
      <c r="F712" s="2" t="s">
        <v>1418</v>
      </c>
      <c r="G712" s="2" t="s">
        <v>11</v>
      </c>
      <c r="H712" s="2" t="s">
        <v>71</v>
      </c>
      <c r="I712" s="2" t="s">
        <v>18</v>
      </c>
      <c r="J712" s="2" t="s">
        <v>14</v>
      </c>
    </row>
    <row r="713" spans="1:10" x14ac:dyDescent="0.3">
      <c r="A713" s="2" t="str">
        <f>HYPERLINK("https://hsdes.intel.com/resource/14013173954","14013173954")</f>
        <v>14013173954</v>
      </c>
      <c r="B713" s="2" t="s">
        <v>1452</v>
      </c>
      <c r="C713" s="2" t="s">
        <v>1453</v>
      </c>
      <c r="D713" s="5" t="s">
        <v>526</v>
      </c>
      <c r="E713" s="2"/>
      <c r="F713" s="2" t="s">
        <v>1418</v>
      </c>
      <c r="G713" s="2" t="s">
        <v>11</v>
      </c>
      <c r="H713" s="2" t="s">
        <v>947</v>
      </c>
      <c r="I713" s="2" t="s">
        <v>50</v>
      </c>
      <c r="J713" s="2" t="s">
        <v>32</v>
      </c>
    </row>
    <row r="714" spans="1:10" x14ac:dyDescent="0.3">
      <c r="A714" s="2" t="str">
        <f>HYPERLINK("https://hsdes.intel.com/resource/14013174240","14013174240")</f>
        <v>14013174240</v>
      </c>
      <c r="B714" s="2" t="s">
        <v>1454</v>
      </c>
      <c r="C714" s="2" t="s">
        <v>1455</v>
      </c>
      <c r="D714" s="5" t="s">
        <v>526</v>
      </c>
      <c r="E714" s="2"/>
      <c r="F714" s="2" t="s">
        <v>1418</v>
      </c>
      <c r="G714" s="2" t="s">
        <v>11</v>
      </c>
      <c r="H714" s="2" t="s">
        <v>947</v>
      </c>
      <c r="I714" s="2" t="s">
        <v>50</v>
      </c>
      <c r="J714" s="2" t="s">
        <v>27</v>
      </c>
    </row>
    <row r="715" spans="1:10" x14ac:dyDescent="0.3">
      <c r="A715" s="2" t="str">
        <f>HYPERLINK("https://hsdes.intel.com/resource/14013174758","14013174758")</f>
        <v>14013174758</v>
      </c>
      <c r="B715" s="2" t="s">
        <v>1456</v>
      </c>
      <c r="C715" s="2" t="s">
        <v>1457</v>
      </c>
      <c r="D715" s="5" t="s">
        <v>526</v>
      </c>
      <c r="E715" s="2"/>
      <c r="F715" s="2" t="s">
        <v>1418</v>
      </c>
      <c r="G715" s="2" t="s">
        <v>11</v>
      </c>
      <c r="H715" s="2" t="s">
        <v>60</v>
      </c>
      <c r="I715" s="2" t="s">
        <v>50</v>
      </c>
      <c r="J715" s="2" t="s">
        <v>32</v>
      </c>
    </row>
    <row r="716" spans="1:10" x14ac:dyDescent="0.3">
      <c r="A716" s="2" t="str">
        <f>HYPERLINK("https://hsdes.intel.com/resource/14013175263","14013175263")</f>
        <v>14013175263</v>
      </c>
      <c r="B716" s="2" t="s">
        <v>1458</v>
      </c>
      <c r="C716" s="2" t="s">
        <v>1459</v>
      </c>
      <c r="D716" s="5" t="s">
        <v>526</v>
      </c>
      <c r="E716" s="2"/>
      <c r="F716" s="2" t="s">
        <v>1418</v>
      </c>
      <c r="G716" s="2" t="s">
        <v>11</v>
      </c>
      <c r="H716" s="2" t="s">
        <v>947</v>
      </c>
      <c r="I716" s="2" t="s">
        <v>50</v>
      </c>
      <c r="J716" s="2" t="s">
        <v>32</v>
      </c>
    </row>
    <row r="717" spans="1:10" x14ac:dyDescent="0.3">
      <c r="A717" s="2" t="str">
        <f>HYPERLINK("https://hsdes.intel.com/resource/14013175430","14013175430")</f>
        <v>14013175430</v>
      </c>
      <c r="B717" s="2" t="s">
        <v>1460</v>
      </c>
      <c r="C717" s="2" t="s">
        <v>1461</v>
      </c>
      <c r="D717" s="5" t="s">
        <v>526</v>
      </c>
      <c r="E717" s="2"/>
      <c r="F717" s="2" t="s">
        <v>1418</v>
      </c>
      <c r="G717" s="2" t="s">
        <v>11</v>
      </c>
      <c r="H717" s="2" t="s">
        <v>947</v>
      </c>
      <c r="I717" s="2" t="s">
        <v>50</v>
      </c>
      <c r="J717" s="2" t="s">
        <v>14</v>
      </c>
    </row>
    <row r="718" spans="1:10" x14ac:dyDescent="0.3">
      <c r="A718" s="2" t="str">
        <f>HYPERLINK("https://hsdes.intel.com/resource/14013175838","14013175838")</f>
        <v>14013175838</v>
      </c>
      <c r="B718" s="2" t="s">
        <v>1462</v>
      </c>
      <c r="C718" s="2" t="s">
        <v>1463</v>
      </c>
      <c r="D718" s="5" t="s">
        <v>526</v>
      </c>
      <c r="E718" s="2"/>
      <c r="F718" s="2" t="s">
        <v>1418</v>
      </c>
      <c r="G718" s="2" t="s">
        <v>11</v>
      </c>
      <c r="H718" s="2" t="s">
        <v>265</v>
      </c>
      <c r="I718" s="2" t="s">
        <v>266</v>
      </c>
      <c r="J718" s="2" t="s">
        <v>32</v>
      </c>
    </row>
    <row r="719" spans="1:10" x14ac:dyDescent="0.3">
      <c r="A719" s="2" t="str">
        <f>HYPERLINK("https://hsdes.intel.com/resource/14013178933","14013178933")</f>
        <v>14013178933</v>
      </c>
      <c r="B719" s="2" t="s">
        <v>1464</v>
      </c>
      <c r="C719" s="2" t="s">
        <v>1465</v>
      </c>
      <c r="D719" s="5" t="s">
        <v>526</v>
      </c>
      <c r="E719" s="2"/>
      <c r="F719" s="2" t="s">
        <v>1418</v>
      </c>
      <c r="G719" s="2" t="s">
        <v>11</v>
      </c>
      <c r="H719" s="2" t="s">
        <v>60</v>
      </c>
      <c r="I719" s="2" t="s">
        <v>50</v>
      </c>
      <c r="J719" s="2" t="s">
        <v>14</v>
      </c>
    </row>
    <row r="720" spans="1:10" x14ac:dyDescent="0.3">
      <c r="A720" s="2" t="str">
        <f>HYPERLINK("https://hsdes.intel.com/resource/14013178938","14013178938")</f>
        <v>14013178938</v>
      </c>
      <c r="B720" s="2" t="s">
        <v>1466</v>
      </c>
      <c r="C720" s="2" t="s">
        <v>1467</v>
      </c>
      <c r="D720" s="5" t="s">
        <v>526</v>
      </c>
      <c r="E720" s="2"/>
      <c r="F720" s="2" t="s">
        <v>1418</v>
      </c>
      <c r="G720" s="2" t="s">
        <v>11</v>
      </c>
      <c r="H720" s="2" t="s">
        <v>60</v>
      </c>
      <c r="I720" s="2" t="s">
        <v>50</v>
      </c>
      <c r="J720" s="2" t="s">
        <v>32</v>
      </c>
    </row>
    <row r="721" spans="1:10" x14ac:dyDescent="0.3">
      <c r="A721" s="2" t="str">
        <f>HYPERLINK("https://hsdes.intel.com/resource/14013179120","14013179120")</f>
        <v>14013179120</v>
      </c>
      <c r="B721" s="2" t="s">
        <v>1468</v>
      </c>
      <c r="C721" s="2" t="s">
        <v>1469</v>
      </c>
      <c r="D721" s="5" t="s">
        <v>526</v>
      </c>
      <c r="E721" s="2"/>
      <c r="F721" s="2" t="s">
        <v>1418</v>
      </c>
      <c r="G721" s="2" t="s">
        <v>11</v>
      </c>
      <c r="H721" s="2" t="s">
        <v>265</v>
      </c>
      <c r="I721" s="2" t="s">
        <v>266</v>
      </c>
      <c r="J721" s="2" t="s">
        <v>27</v>
      </c>
    </row>
    <row r="722" spans="1:10" x14ac:dyDescent="0.3">
      <c r="A722" s="2" t="str">
        <f>HYPERLINK("https://hsdes.intel.com/resource/14013179137","14013179137")</f>
        <v>14013179137</v>
      </c>
      <c r="B722" s="2" t="s">
        <v>1470</v>
      </c>
      <c r="C722" s="2" t="s">
        <v>1471</v>
      </c>
      <c r="D722" s="5" t="s">
        <v>526</v>
      </c>
      <c r="E722" s="2"/>
      <c r="F722" s="2" t="s">
        <v>1418</v>
      </c>
      <c r="G722" s="2" t="s">
        <v>11</v>
      </c>
      <c r="H722" s="2" t="s">
        <v>60</v>
      </c>
      <c r="I722" s="2" t="s">
        <v>50</v>
      </c>
      <c r="J722" s="2" t="s">
        <v>32</v>
      </c>
    </row>
    <row r="723" spans="1:10" x14ac:dyDescent="0.3">
      <c r="A723" s="2" t="str">
        <f>HYPERLINK("https://hsdes.intel.com/resource/14013179301","14013179301")</f>
        <v>14013179301</v>
      </c>
      <c r="B723" s="2" t="s">
        <v>1472</v>
      </c>
      <c r="C723" s="2" t="s">
        <v>1473</v>
      </c>
      <c r="D723" s="5" t="s">
        <v>526</v>
      </c>
      <c r="E723" s="2"/>
      <c r="F723" s="2" t="s">
        <v>1418</v>
      </c>
      <c r="G723" s="2" t="s">
        <v>11</v>
      </c>
      <c r="H723" s="2" t="s">
        <v>265</v>
      </c>
      <c r="I723" s="2" t="s">
        <v>266</v>
      </c>
      <c r="J723" s="2" t="s">
        <v>32</v>
      </c>
    </row>
    <row r="724" spans="1:10" x14ac:dyDescent="0.3">
      <c r="A724" s="2" t="str">
        <f>HYPERLINK("https://hsdes.intel.com/resource/14013184376","14013184376")</f>
        <v>14013184376</v>
      </c>
      <c r="B724" s="2" t="s">
        <v>1474</v>
      </c>
      <c r="C724" s="2" t="s">
        <v>1475</v>
      </c>
      <c r="D724" s="5" t="s">
        <v>526</v>
      </c>
      <c r="E724" s="2"/>
      <c r="F724" s="2" t="s">
        <v>1418</v>
      </c>
      <c r="G724" s="2" t="s">
        <v>11</v>
      </c>
      <c r="H724" s="2" t="s">
        <v>265</v>
      </c>
      <c r="I724" s="2" t="s">
        <v>266</v>
      </c>
      <c r="J724" s="2" t="s">
        <v>32</v>
      </c>
    </row>
    <row r="725" spans="1:10" x14ac:dyDescent="0.3">
      <c r="A725" s="2" t="str">
        <f>HYPERLINK("https://hsdes.intel.com/resource/16014777355","16014777355")</f>
        <v>16014777355</v>
      </c>
      <c r="B725" s="2" t="s">
        <v>1476</v>
      </c>
      <c r="C725" s="2" t="s">
        <v>1477</v>
      </c>
      <c r="D725" s="5" t="s">
        <v>526</v>
      </c>
      <c r="E725" s="2"/>
      <c r="F725" s="2" t="s">
        <v>1418</v>
      </c>
      <c r="G725" s="2" t="s">
        <v>11</v>
      </c>
      <c r="H725" s="2" t="s">
        <v>60</v>
      </c>
      <c r="I725" s="2" t="s">
        <v>50</v>
      </c>
      <c r="J725" s="2" t="s">
        <v>32</v>
      </c>
    </row>
    <row r="726" spans="1:10" x14ac:dyDescent="0.3">
      <c r="A726" s="2" t="str">
        <f>HYPERLINK("https://hsdes.intel.com/resource/16015067899","16015067899")</f>
        <v>16015067899</v>
      </c>
      <c r="B726" s="2" t="s">
        <v>1478</v>
      </c>
      <c r="C726" s="2" t="s">
        <v>1477</v>
      </c>
      <c r="D726" s="5" t="s">
        <v>526</v>
      </c>
      <c r="E726" s="2"/>
      <c r="F726" s="2" t="s">
        <v>1418</v>
      </c>
      <c r="G726" s="2" t="s">
        <v>11</v>
      </c>
      <c r="H726" s="2" t="s">
        <v>60</v>
      </c>
      <c r="I726" s="2" t="s">
        <v>50</v>
      </c>
      <c r="J726" s="2" t="s">
        <v>32</v>
      </c>
    </row>
    <row r="727" spans="1:10" x14ac:dyDescent="0.3">
      <c r="A727" s="2" t="str">
        <f>HYPERLINK("https://hsdes.intel.com/resource/22011807682","22011807682")</f>
        <v>22011807682</v>
      </c>
      <c r="B727" s="2" t="s">
        <v>1479</v>
      </c>
      <c r="C727" s="2" t="s">
        <v>1480</v>
      </c>
      <c r="D727" s="5" t="s">
        <v>526</v>
      </c>
      <c r="E727" s="2"/>
      <c r="F727" s="2" t="s">
        <v>1418</v>
      </c>
      <c r="G727" s="2" t="s">
        <v>39</v>
      </c>
      <c r="H727" s="2" t="s">
        <v>265</v>
      </c>
      <c r="I727" s="2" t="s">
        <v>266</v>
      </c>
      <c r="J727" s="2" t="s">
        <v>32</v>
      </c>
    </row>
  </sheetData>
  <autoFilter ref="A1:J727" xr:uid="{00000000-0001-0000-0000-000000000000}"/>
  <conditionalFormatting sqref="A1:A688 A695">
    <cfRule type="duplicateValues" dxfId="2" priority="3"/>
  </conditionalFormatting>
  <conditionalFormatting sqref="A696:A727">
    <cfRule type="duplicateValues" dxfId="1" priority="2"/>
  </conditionalFormatting>
  <conditionalFormatting sqref="A689:A6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2022-11-11T18:33:19Z</dcterms:modified>
</cp:coreProperties>
</file>