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RPL-P BIOS Manual Reports\FV\"/>
    </mc:Choice>
  </mc:AlternateContent>
  <xr:revisionPtr revIDLastSave="0" documentId="13_ncr:1_{417ED021-1C88-4353-88BA-663E9DAD9D07}" xr6:coauthVersionLast="47" xr6:coauthVersionMax="47" xr10:uidLastSave="{00000000-0000-0000-0000-000000000000}"/>
  <bookViews>
    <workbookView xWindow="-108" yWindow="-108" windowWidth="23256" windowHeight="12576" xr2:uid="{FDB46069-A8FE-4A8F-8009-D110E0E1E4E2}"/>
  </bookViews>
  <sheets>
    <sheet name="Sheet1" sheetId="1" r:id="rId1"/>
  </sheets>
  <definedNames>
    <definedName name="_xlnm._FilterDatabase" localSheetId="0" hidden="1">Sheet1!$A$1:$M$1835</definedName>
    <definedName name="Z_8A79E363_24E9_4EA3_830A_2B98826C3F5D_.wvu.FilterData" localSheetId="0" hidden="1">Sheet1!$A$1:$M$1835</definedName>
  </definedNames>
  <calcPr calcId="191029"/>
  <customWorkbookViews>
    <customWorkbookView name="Kumar, Vasanth1X - Personal View" guid="{8A79E363-24E9-4EA3-830A-2B98826C3F5D}" mergeInterval="0" personalView="1" maximized="1" xWindow="-9" yWindow="-9" windowWidth="1938" windowHeight="104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27" i="1" l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 l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<sst xmlns="http://schemas.openxmlformats.org/spreadsheetml/2006/main" count="17126" uniqueCount="3472">
  <si>
    <t>Config</t>
  </si>
  <si>
    <t>jama_id</t>
  </si>
  <si>
    <t>Status</t>
  </si>
  <si>
    <t>Comments</t>
  </si>
  <si>
    <t>Executor</t>
  </si>
  <si>
    <t>Executor_Date</t>
  </si>
  <si>
    <t>owner</t>
  </si>
  <si>
    <t>domain</t>
  </si>
  <si>
    <t>automation</t>
  </si>
  <si>
    <t>jama_platform_feature_and_capability</t>
  </si>
  <si>
    <t>test_complexity</t>
  </si>
  <si>
    <t>Verify Type-C device functionality before/after S3 state when VCCST option is enabled/Disabled in BIOS</t>
  </si>
  <si>
    <t>GC</t>
  </si>
  <si>
    <t>CSS-IVE-119494</t>
  </si>
  <si>
    <t>passed</t>
  </si>
  <si>
    <t>Kalyani</t>
  </si>
  <si>
    <t>raghav3x</t>
  </si>
  <si>
    <t>io_usb.type_c_subsystem</t>
  </si>
  <si>
    <t>TCSS</t>
  </si>
  <si>
    <t>High</t>
  </si>
  <si>
    <t>Validate Type-C USB2.0 Host Mode (Type-C to A) functionality - after S3, device connected when SUT is in S3 state</t>
  </si>
  <si>
    <t>CSS-IVE-50863</t>
  </si>
  <si>
    <t>Medium</t>
  </si>
  <si>
    <t>Verify pop-up message on connect/disconnect devices and concurrent support of onboard audio and usb mass storage over Type-C port</t>
  </si>
  <si>
    <t>CSS-IVE-50868</t>
  </si>
  <si>
    <t>ver with usb headset</t>
  </si>
  <si>
    <t>Low</t>
  </si>
  <si>
    <t>Verify the functionality of USB 2.0, 3.0 devices connected to USB Type-A Port along with USB 3.0 device connected to Type-C port</t>
  </si>
  <si>
    <t>CSS-IVE-50870</t>
  </si>
  <si>
    <t>Verify that the CPU details listed in BIOS are present in the OS.</t>
  </si>
  <si>
    <t>CSS-IVE-50876</t>
  </si>
  <si>
    <t>Kalyani PM</t>
  </si>
  <si>
    <t>chassanx</t>
  </si>
  <si>
    <t>processor_core</t>
  </si>
  <si>
    <t>Platform Config and Board BOM</t>
  </si>
  <si>
    <t>Verify Hardware Pre-Fetcher reflection via MISC_FEATURE_CONTROL MSR</t>
  </si>
  <si>
    <t>CSS-IVE-50877</t>
  </si>
  <si>
    <t>Vaahith</t>
  </si>
  <si>
    <t>reddyv5x</t>
  </si>
  <si>
    <t>thermal_management</t>
  </si>
  <si>
    <t>Thermal Management</t>
  </si>
  <si>
    <t>Verify "Disable Prochot# Output signal" is enabled by default in Bios.</t>
  </si>
  <si>
    <t>CSS-IVE-50881</t>
  </si>
  <si>
    <t>Ambika Rathod</t>
  </si>
  <si>
    <t>Verify fast boot functionality and BIOS setup options</t>
  </si>
  <si>
    <t>CSS-IVE-50906</t>
  </si>
  <si>
    <t>debug</t>
  </si>
  <si>
    <t>AFZA</t>
  </si>
  <si>
    <t>sumith2x</t>
  </si>
  <si>
    <t>power_and_perf</t>
  </si>
  <si>
    <t>Performance and Responsiveness</t>
  </si>
  <si>
    <t>Verify RTIT feature is Enabled if CPU is detected</t>
  </si>
  <si>
    <t>CSS-IVE-50911</t>
  </si>
  <si>
    <t>itp debug</t>
  </si>
  <si>
    <t>Flex I/O and Internal Buses</t>
  </si>
  <si>
    <t>Verify that SUT boots to OS with BIST option Enabled/Disable in BIOS setup and debug prints in logs</t>
  </si>
  <si>
    <t>CSS-IVE-50912</t>
  </si>
  <si>
    <t>Hussian, Mohammed</t>
  </si>
  <si>
    <t>Verify USB 3.0 device functionality over Type-C port after resume from C-MoS when device is plugged in when SUT is in C-MoS</t>
  </si>
  <si>
    <t>CSS-IVE-50918</t>
  </si>
  <si>
    <t>s</t>
  </si>
  <si>
    <t>Verify USB 3.0 bootable thumb-drive detect in BIOS and initializes</t>
  </si>
  <si>
    <t>CSS-IVE-50928</t>
  </si>
  <si>
    <t>Tamilarasan Prasanth</t>
  </si>
  <si>
    <t>anaray5x</t>
  </si>
  <si>
    <t>io_usb</t>
  </si>
  <si>
    <t>Internal and External Storage</t>
  </si>
  <si>
    <t>Verify booting support through USB 3.0 (SS mass storage) connected over USB Type-A port</t>
  </si>
  <si>
    <t>CSS-IVE-50967</t>
  </si>
  <si>
    <t>Vasanth</t>
  </si>
  <si>
    <t>Verify if system boots in Fast Boot mode from Cold Boot with system hardware configuration unchanged</t>
  </si>
  <si>
    <t>CSS-IVE-50972</t>
  </si>
  <si>
    <t>Anil Kumar, Anju</t>
  </si>
  <si>
    <t>Verify concurrent support of USB2.0/3.0 mass storage and USB keyboard/mouse device functionality check over USB Type-A port across Sx (S3,S4,S5)
 cycles</t>
  </si>
  <si>
    <t>CSS-IVE-50978</t>
  </si>
  <si>
    <t>Verify device manager post sleep cycling with system in AC mode</t>
  </si>
  <si>
    <t>CSS-IVE-50980</t>
  </si>
  <si>
    <t>power_management</t>
  </si>
  <si>
    <t>Power Management</t>
  </si>
  <si>
    <t>Verify BIOS Setup entry (UEFI Firmware Settings) from Windows</t>
  </si>
  <si>
    <t>CSS-IVE-50982</t>
  </si>
  <si>
    <t>Swetha</t>
  </si>
  <si>
    <t>reset</t>
  </si>
  <si>
    <t>Verify system resumes from S4 with FastBoot mode enabled</t>
  </si>
  <si>
    <t>CSS-IVE-50985</t>
  </si>
  <si>
    <t>performance bios</t>
  </si>
  <si>
    <t>Dhanya</t>
  </si>
  <si>
    <t>Verify system enumerates PS2/USB keyboard appropriately with fast boot enabled and PS/2 Console selected as input console</t>
  </si>
  <si>
    <t>CSS-IVE-50992</t>
  </si>
  <si>
    <t>Sha muhammed</t>
  </si>
  <si>
    <t>Verify proper screen is displayed when any non-predefined keys/predefined keys is pressed with fastboot enabled.</t>
  </si>
  <si>
    <t>CSS-IVE-51084</t>
  </si>
  <si>
    <t>Verify Boot priority change when USB bootable device connected over USB Type-A port</t>
  </si>
  <si>
    <t>CSS-IVE-51141</t>
  </si>
  <si>
    <t>SATA</t>
  </si>
  <si>
    <t>Verify Splash screen and USB device enumeration are skipped when system fast boots to OS.</t>
  </si>
  <si>
    <t>CSS-IVE-51143</t>
  </si>
  <si>
    <t>Inprogress</t>
  </si>
  <si>
    <t>CLID- 9337</t>
  </si>
  <si>
    <t>Prasanth</t>
  </si>
  <si>
    <t>Validate cold-plug USB keyboard functionality check in OS over USB Type-A port</t>
  </si>
  <si>
    <t>CSS-IVE-51165</t>
  </si>
  <si>
    <t>Verify availability of USB Devices when USB 2.0/3.0 options are disabled at the USB Configuration page (AIO/DT/HALO)</t>
  </si>
  <si>
    <t>CSS-IVE-51213</t>
  </si>
  <si>
    <t>Verification of P2SB device Hiding</t>
  </si>
  <si>
    <t>CSS-IVE-51214</t>
  </si>
  <si>
    <t>io_pcie</t>
  </si>
  <si>
    <t>Verify Windows boot options menu can be initiated on restart, overriding Fast Boot settings</t>
  </si>
  <si>
    <t>CSS-IVE-51226</t>
  </si>
  <si>
    <t>Verify that Storage OROM, Network OROM, driver displays correct handle in BIOS shell(UEFI), when UEFI Option is selected</t>
  </si>
  <si>
    <t>CSS-IVE-51251</t>
  </si>
  <si>
    <t>Rajanna,Manasa</t>
  </si>
  <si>
    <t>storage</t>
  </si>
  <si>
    <t>Verify BIOS options to hide LPSS devices from OS</t>
  </si>
  <si>
    <t>CSS-IVE-51254</t>
  </si>
  <si>
    <t>system</t>
  </si>
  <si>
    <t>Verify Fast Boot and Full Boot timings and compare both</t>
  </si>
  <si>
    <t>CSS-IVE-51264</t>
  </si>
  <si>
    <t>Serial IO configuration options check for default, enable and disable in BIOS</t>
  </si>
  <si>
    <t>CSS-IVE-51374</t>
  </si>
  <si>
    <t>NA</t>
  </si>
  <si>
    <t>HDMI</t>
  </si>
  <si>
    <t>io_general</t>
  </si>
  <si>
    <t>Verify SUT can boot to EFI Shell and SUT resets on Ctrl+Alt+Del</t>
  </si>
  <si>
    <t>CSS-IVE-52371</t>
  </si>
  <si>
    <t>System Firmware Builds and bringup</t>
  </si>
  <si>
    <t>Verify BIOS ID follows the standard format</t>
  </si>
  <si>
    <t>CSS-IVE-52374</t>
  </si>
  <si>
    <t>Verify BIOS detects and boots properly from second boot entry if first device fails to boot</t>
  </si>
  <si>
    <t>CSS-IVE-52376</t>
  </si>
  <si>
    <t>Verify that UEFI Shell works in 64/32 bit Mode while booting a x64/x32 Bit OS</t>
  </si>
  <si>
    <t>CSS-IVE-52378</t>
  </si>
  <si>
    <t>vhebbarx</t>
  </si>
  <si>
    <t>Industry Specs and Open source initiatives</t>
  </si>
  <si>
    <t>Verify that Intel test menu option is enabled by updating Test Menu enabled BIOS</t>
  </si>
  <si>
    <t>CSS-IVE-52381</t>
  </si>
  <si>
    <t>Validate if BIOS settings are getting saved or rolled back as per user selection</t>
  </si>
  <si>
    <t>CSS-IVE-52383</t>
  </si>
  <si>
    <t>Verify working WinRE image must be present on all Win10 Client Systems</t>
  </si>
  <si>
    <t>CSS-IVE-52385</t>
  </si>
  <si>
    <t>Verify Sx functionality post generating BSOD</t>
  </si>
  <si>
    <t>CSS-IVE-52489</t>
  </si>
  <si>
    <t>Verify that the changes made in BIOS settings can be retained without the coin battery support</t>
  </si>
  <si>
    <t>CSS-IVE-52495</t>
  </si>
  <si>
    <t>Verify Subsystem IDs programmed by BIOS for all the native devices using self test tool</t>
  </si>
  <si>
    <t>CSS-IVE-52541</t>
  </si>
  <si>
    <t>CLID=8557</t>
  </si>
  <si>
    <t>Display, Graphics, Video and Audio</t>
  </si>
  <si>
    <t>Verify wakeup event using Touch sensor is successful for multiple iterations(Touch Pad)</t>
  </si>
  <si>
    <t>CSS-IVE-52738</t>
  </si>
  <si>
    <t>wake from Touchpad</t>
  </si>
  <si>
    <t>display</t>
  </si>
  <si>
    <t>Touch &amp; Sensing</t>
  </si>
  <si>
    <t>Verify the functionality of devices after 10 S3/S0i3 and S4 Cycle in AC and DC</t>
  </si>
  <si>
    <t>CSS-IVE-52841</t>
  </si>
  <si>
    <t>Verify that when either charger or battery is connected, the "Power Saver" profile can be changed &amp; implemented in the SUT.</t>
  </si>
  <si>
    <t>CSS-IVE-53739</t>
  </si>
  <si>
    <t>Embedded controller and Power sources</t>
  </si>
  <si>
    <t>Verify video playback post sleep cycling</t>
  </si>
  <si>
    <t>CSS-IVE-53879</t>
  </si>
  <si>
    <t>soundwire</t>
  </si>
  <si>
    <t>Verify xHCI device detection and USB port configuration</t>
  </si>
  <si>
    <t>CSS-IVE-53883</t>
  </si>
  <si>
    <t>Verify audio playback post Sleep cycling in AC mode</t>
  </si>
  <si>
    <t>CSS-IVE-53890</t>
  </si>
  <si>
    <t>Verify DMIC Array works with Intel Wake on Voice enabled in BIOS</t>
  </si>
  <si>
    <t>CSS-IVE-53969</t>
  </si>
  <si>
    <t>pke</t>
  </si>
  <si>
    <t>audio</t>
  </si>
  <si>
    <t>Verify Analog Microphone functionality when Audio DSP enabled/disabled in BIOS</t>
  </si>
  <si>
    <t>CSS-IVE-53971</t>
  </si>
  <si>
    <t>Validate cold-plug USB keyboard functionality check in BIOS over USB Type-A port</t>
  </si>
  <si>
    <t>CSS-IVE-54025</t>
  </si>
  <si>
    <t>Verify Windows OS presents the Boot repair options on 2 consecutive boot failures</t>
  </si>
  <si>
    <t>CSS-IVE-54042</t>
  </si>
  <si>
    <t>Verifying XHCI Debug Port exposed via ACPI DBGP Table</t>
  </si>
  <si>
    <t>CSS-IVE-54043</t>
  </si>
  <si>
    <t>Debug Interfaces and Traces</t>
  </si>
  <si>
    <t>Verifying ACPI device enumeration for non PCIe devices</t>
  </si>
  <si>
    <t>CSS-IVE-54046</t>
  </si>
  <si>
    <t>touchpanel</t>
  </si>
  <si>
    <t>Verifying functionality of GPIO Pins/INT with Volume Up/Volume Down/Home/ Wireless ON/OFF buttons</t>
  </si>
  <si>
    <t>CSS-IVE-54056</t>
  </si>
  <si>
    <t>io_general.lsio_gpio</t>
  </si>
  <si>
    <t>Verify PAVPC Register programming</t>
  </si>
  <si>
    <t>CSS-IVE-54075</t>
  </si>
  <si>
    <t>graphics</t>
  </si>
  <si>
    <t>Verify whether the operation of Windows in safe mode is supported</t>
  </si>
  <si>
    <t>CSS-IVE-54155</t>
  </si>
  <si>
    <t>Verify system boots with maximum memory populated on channel 1</t>
  </si>
  <si>
    <t>CSS-IVE-54160</t>
  </si>
  <si>
    <t>memory</t>
  </si>
  <si>
    <t>Memory Technologies and Topologies</t>
  </si>
  <si>
    <t>Verify that system boot with maximum memory populated on Channel 0</t>
  </si>
  <si>
    <t>CSS-IVE-54161</t>
  </si>
  <si>
    <t>Verify Memory details displayed in BIOS Setup Menu is reflecting in the OS</t>
  </si>
  <si>
    <t>CSS-IVE-54162</t>
  </si>
  <si>
    <t>Verify the correct MRC version is displayed in the BIOS setup menu.</t>
  </si>
  <si>
    <t>CSS-IVE-54164</t>
  </si>
  <si>
    <t>Verify that the system boots with minimum memory on channel 0</t>
  </si>
  <si>
    <t>CSS-IVE-54165</t>
  </si>
  <si>
    <t>Verify that the system boots with minimum memory on the low ordered slot/dimm</t>
  </si>
  <si>
    <t>CSS-IVE-54166</t>
  </si>
  <si>
    <t>Verify system boots with minimum supported memory populated on both the channels</t>
  </si>
  <si>
    <t>CSS-IVE-54167</t>
  </si>
  <si>
    <t>Verify system boots with maximum supported memory populated on both the channels.</t>
  </si>
  <si>
    <t>CSS-IVE-54168</t>
  </si>
  <si>
    <t>Verify System goes to S3 (standby)/ S4(hibernate) with single channel maximum memory(8GB)</t>
  </si>
  <si>
    <t>CSS-IVE-54169</t>
  </si>
  <si>
    <t>Verify System goes to S3 (standby)/ S4(hibernate) with dual channel maximum memory</t>
  </si>
  <si>
    <t>CSS-IVE-54170</t>
  </si>
  <si>
    <t>Verify System goes to S3 (standby) / S4(hibernate) with single channel minimum memory</t>
  </si>
  <si>
    <t>CSS-IVE-54171</t>
  </si>
  <si>
    <t>Verify System goes to S3 (standby) / S4 (hibernate) with dual channel minimum memory</t>
  </si>
  <si>
    <t>CSS-IVE-54172</t>
  </si>
  <si>
    <t>Verify the Memory map table given to OS for S4 Boot shall be same from cold boot</t>
  </si>
  <si>
    <t>CSS-IVE-54173</t>
  </si>
  <si>
    <t>Verify that MRC training is not repeated after the fast boot and force repeated post cold boot.</t>
  </si>
  <si>
    <t>CSS-IVE-54174</t>
  </si>
  <si>
    <t>Verify that system doesn"t boot if memory DIMMS are not properly inserted on board.</t>
  </si>
  <si>
    <t>CSS-IVE-54175</t>
  </si>
  <si>
    <t>dc2</t>
  </si>
  <si>
    <t>Verify correct memory capacity is displayed in EFI shell.</t>
  </si>
  <si>
    <t>CSS-IVE-54177</t>
  </si>
  <si>
    <t>ver with available memory size</t>
  </si>
  <si>
    <t>Validate CPU and Memory are stable during 10 minutes execution of Stability Test App</t>
  </si>
  <si>
    <t>CSS-IVE-54180</t>
  </si>
  <si>
    <t>Verify the memory information in Task Manager</t>
  </si>
  <si>
    <t>CSS-IVE-54185</t>
  </si>
  <si>
    <t>Verify that Stolen memory for GFX check</t>
  </si>
  <si>
    <t>CSS-IVE-54186</t>
  </si>
  <si>
    <t>Verify that BIOS reports PCI MMIO information to OS</t>
  </si>
  <si>
    <t>CSS-IVE-54187</t>
  </si>
  <si>
    <t>Verify SUT boots fine with all combination of Memory DIMMS</t>
  </si>
  <si>
    <t>CSS-IVE-54189</t>
  </si>
  <si>
    <t>Verify that the BIOS MRC has an option to set "Memory Frequency".</t>
  </si>
  <si>
    <t>CSS-IVE-54190</t>
  </si>
  <si>
    <t>Verify if two memory populated are of different frequency, higher frequency memory should downgrade to the maximum frequency supported.</t>
  </si>
  <si>
    <t>CSS-IVE-54191</t>
  </si>
  <si>
    <t>Verify default value of PL3 is reported Via MSR 615h</t>
  </si>
  <si>
    <t>CSS-IVE-54204</t>
  </si>
  <si>
    <t>Verify Platform PL1 and PL2 status reflection as part of MSR_PLATFORM_POWER_LIMIT MSR</t>
  </si>
  <si>
    <t>CSS-IVE-54205</t>
  </si>
  <si>
    <t>Verify Power limit 3 override via PL3_CONTROL MSR</t>
  </si>
  <si>
    <t>CSS-IVE-54206</t>
  </si>
  <si>
    <t>Verify PL1 Maximum Power Limit , Minimum Power Limit and Maximum Time Window</t>
  </si>
  <si>
    <t>CSS-IVE-54207</t>
  </si>
  <si>
    <t>Verify RTIT(Run Time Instruction Trace) feature for Processor Trace</t>
  </si>
  <si>
    <t>CSS-IVE-54212</t>
  </si>
  <si>
    <t>Verify options provided for PCI Express Configuration in BIOS</t>
  </si>
  <si>
    <t>CSS-IVE-54250</t>
  </si>
  <si>
    <t>Verify system stability post Warm and Cold reset cycles from EFI shell</t>
  </si>
  <si>
    <t>CSS-IVE-54317</t>
  </si>
  <si>
    <t>Validate Type-C USB2.0 Host Mode (Type-C to A) functionality - after S5 and G3 Cycles</t>
  </si>
  <si>
    <t>CSS-IVE-61672</t>
  </si>
  <si>
    <t>Validate Type-C USB2.0 Host Mode (Type-C to A) functionality - before and after CS Cycles</t>
  </si>
  <si>
    <t>CSS-IVE-61673</t>
  </si>
  <si>
    <t>Validate Type-C USB3.0 Host Mode (Type-C to A) functionality - hot plug device before and in Sx state</t>
  </si>
  <si>
    <t>CSS-IVE-61674</t>
  </si>
  <si>
    <t>Validate Type-C USB3.0 Host Mode (Type-C to A) functionality - after S5 and G3 Cycles</t>
  </si>
  <si>
    <t>CSS-IVE-61675</t>
  </si>
  <si>
    <t>Validate Type-C USB3.0 Host Mode (Type-C to A) functionality - after CS, S4, S5, G3 Cycles</t>
  </si>
  <si>
    <t>CSS-IVE-61676</t>
  </si>
  <si>
    <t>Verify DP-display and Keyboard functionality over USB Type-C port before and after S4,S5 and G3 state</t>
  </si>
  <si>
    <t>CSS-IVE-61679</t>
  </si>
  <si>
    <t>Verify concurrent use of USB device functionality over USB Type A and Type-C Port</t>
  </si>
  <si>
    <t>CSS-IVE-61680</t>
  </si>
  <si>
    <t>Verify SUT can power up with power button after shut down from OS (S0-S5-S0 transition)</t>
  </si>
  <si>
    <t>CSS-IVE-61819</t>
  </si>
  <si>
    <t>Verify Idle Timeout value can be set under MEBx menu in BIOS</t>
  </si>
  <si>
    <t>CSS-IVE-145644</t>
  </si>
  <si>
    <t>manageability</t>
  </si>
  <si>
    <t>Manageability Support</t>
  </si>
  <si>
    <t>Verify if user can edit Network Name under MEBx menu in BIOS</t>
  </si>
  <si>
    <t>CSS-IVE-145645</t>
  </si>
  <si>
    <t>Verify BIOS shall display an option to Enable or Disable Remote Configuration under MEBx menu</t>
  </si>
  <si>
    <t>CSS-IVE-145635</t>
  </si>
  <si>
    <t>Verify "Opt-in Configurable from Remote IT" option can be successfully enabled/disabled in BIOS under MEBx menu</t>
  </si>
  <si>
    <t>CSS-IVE-145650</t>
  </si>
  <si>
    <t>Verify that the Active Management Technology (AMT) reflects correct state of Enabled or Disabled depending upon MEBX in BIOS</t>
  </si>
  <si>
    <t>CSS-IVE-145659</t>
  </si>
  <si>
    <t>Verify if SUT reboots after user enters incorrect MEBx password under BIOS for 3 consecutive tries</t>
  </si>
  <si>
    <t>CSS-IVE-145643</t>
  </si>
  <si>
    <t>Verify Storage Redirection session cannot be established through Wireless LAN With Storage Redirection disabled under MEBX in BIOS</t>
  </si>
  <si>
    <t>CSS-IVE-145828</t>
  </si>
  <si>
    <t>[Vpro] BKM for AMT Configuration (MEBx) in BIOS</t>
  </si>
  <si>
    <t>CSS-IVE-145871</t>
  </si>
  <si>
    <t>Verify Provisioning AMT over wireless LAN from BIOS setup options using Static IP and check for KVM connectivity</t>
  </si>
  <si>
    <t>CSS-IVE-145874</t>
  </si>
  <si>
    <t>Verify Provisioning AMT over TBT-VPRO DOCK from BIOS setup options using static IP and check for KVM connectivity</t>
  </si>
  <si>
    <t>CSS-IVE-145876</t>
  </si>
  <si>
    <t>Verify _DSD method for D3 with NVMe connected to M.2 CPU slot  in AHCI mode</t>
  </si>
  <si>
    <t>CSS-IVE-145820</t>
  </si>
  <si>
    <t>Verify Package C states with USB Devices connected during 8 hours in S0 state.</t>
  </si>
  <si>
    <t>CSS-IVE-147211</t>
  </si>
  <si>
    <t>Verify Socket Information in SMBIOS Type4 Table</t>
  </si>
  <si>
    <t>CSS-IVE-147224</t>
  </si>
  <si>
    <t>Verify BIOS supports Virtual SPI over USB Device</t>
  </si>
  <si>
    <t>CSS-IVE-147236</t>
  </si>
  <si>
    <t>io_general.spi</t>
  </si>
  <si>
    <t>Verify Telemetry MMCFG space is enabled by default in Bios setup</t>
  </si>
  <si>
    <t>CSS-IVE-133917</t>
  </si>
  <si>
    <t>Verify PMC send IPC command to collect Crash Log on every reset</t>
  </si>
  <si>
    <t>CSS-IVE-133794</t>
  </si>
  <si>
    <t>Verify CPU Frequency throttle when core temperature exceeds passive trip point with DPTF Enabled in BIOS</t>
  </si>
  <si>
    <t>CSS-IVE-118601</t>
  </si>
  <si>
    <t>Verify ACPI CPPC objects from SSDT and DSDT</t>
  </si>
  <si>
    <t>CSS-IVE-50726</t>
  </si>
  <si>
    <t>Verify CPU Frequency throttle when core temperature exceeds passive trip point with DTS SMM enabled and DPTF Enabled in BIOS after Sx( S4/S5)</t>
  </si>
  <si>
    <t>CSS-IVE-118602</t>
  </si>
  <si>
    <t>Verify participant and policies wont load when DPTF option is disabled in BIOS.</t>
  </si>
  <si>
    <t>CSS-IVE-50805</t>
  </si>
  <si>
    <t>Verify CPU FAN rotate when core temperature exceeds Active trip point with DTS SMM enabled and DPTF Enabled in BIOS</t>
  </si>
  <si>
    <t>CSS-IVE-118603</t>
  </si>
  <si>
    <t>Verify P-State transitions of CPU based on Turbo mode</t>
  </si>
  <si>
    <t>CSS-IVE-50809</t>
  </si>
  <si>
    <t>Verify CPU FAN rotate when core temperature exceeds Active trip point with DTS SMM enabled and DPTF Enabled in BIOS after Sx (S4/S5)</t>
  </si>
  <si>
    <t>CSS-IVE-118604</t>
  </si>
  <si>
    <t>Verify Power Limit 3 Lock status via PL3_CONTROL MSR based on Value set in BIOS setup option</t>
  </si>
  <si>
    <t>CSS-IVE-50811</t>
  </si>
  <si>
    <t>Verify System shutdown when core temperature exceeds Critical trip point with DTS SMM enabled and DPTF Enabled in BIOS</t>
  </si>
  <si>
    <t>CSS-IVE-118605</t>
  </si>
  <si>
    <t>Verify DPTF driver cannot be installed when DPTF option is disabled in Bios setup</t>
  </si>
  <si>
    <t>CSS-IVE-50812</t>
  </si>
  <si>
    <t>power_and_perf.monitor</t>
  </si>
  <si>
    <t>Verify System shutdown when core temperature exceeds Critical trip point with DTS SMM enabled and DPTF Enabled in BIOS after Sx (S4/S5)</t>
  </si>
  <si>
    <t>CSS-IVE-118606</t>
  </si>
  <si>
    <t>Verify "Intel(R) Speed Shift Technology" reflection via IA32_PM_ENABLE MSR</t>
  </si>
  <si>
    <t>CSS-IVE-50815</t>
  </si>
  <si>
    <t>Verify Critical/Active/Passive trip point with DTS SMM enabled and DPTF Enabled in BIOS after S3</t>
  </si>
  <si>
    <t>CSS-IVE-118607</t>
  </si>
  <si>
    <t>Verify Platform supports " Intel(R) Speed Shift Technology" via MISC_PWR_MGMT MSR</t>
  </si>
  <si>
    <t>CSS-IVE-50816</t>
  </si>
  <si>
    <t>Verify number of P states and ratio that can be set as part of Custom P - State table</t>
  </si>
  <si>
    <t>CSS-IVE-50832</t>
  </si>
  <si>
    <t>Validate "Power Limit 2" BIOS options</t>
  </si>
  <si>
    <t>CSS-IVE-64117</t>
  </si>
  <si>
    <t>Verify CPU Turbo feature via IA32_MISC_ENABLE MSR</t>
  </si>
  <si>
    <t>CSS-IVE-44264</t>
  </si>
  <si>
    <t>Validate Intel Speed Step functionality</t>
  </si>
  <si>
    <t>CSS-IVE-44268</t>
  </si>
  <si>
    <t>Validate Processor Brand String under Bios Page and OS</t>
  </si>
  <si>
    <t>CSS-IVE-44278</t>
  </si>
  <si>
    <t>Validate Processor Frequency Under Bios page and OS (Turbo Mode Enable)</t>
  </si>
  <si>
    <t>CSS-IVE-44281</t>
  </si>
  <si>
    <t>Verify package C-states support with system in AC mode</t>
  </si>
  <si>
    <t>CSS-IVE-44355</t>
  </si>
  <si>
    <t>workload</t>
  </si>
  <si>
    <t>Verify "C-states" is enabled by default in BIOS</t>
  </si>
  <si>
    <t>CSS-IVE-44356</t>
  </si>
  <si>
    <t>socwatch</t>
  </si>
  <si>
    <t>Verify "Enhanced C_State" is enabled by default in BIOS</t>
  </si>
  <si>
    <t>CSS-IVE-44360</t>
  </si>
  <si>
    <t>Verify user cant override Flex ratio when Flex ratio indication bit is cleared</t>
  </si>
  <si>
    <t>CSS-IVE-65803</t>
  </si>
  <si>
    <t>Verify system support of Monitor/MWait extensions with Enabled / Disabled</t>
  </si>
  <si>
    <t>CSS-IVE-46084</t>
  </si>
  <si>
    <t>Set different memory size for processor trace from range between(4KB-128MB)</t>
  </si>
  <si>
    <t>CSS-IVE-65805</t>
  </si>
  <si>
    <t>Verify the Intel(R) Speed Shift Technology performance via IA32_HWP_REQUEST MSR</t>
  </si>
  <si>
    <t>CSS-IVE-50830</t>
  </si>
  <si>
    <t xml:space="preserve">CLID- 9311 </t>
  </si>
  <si>
    <t>Verify BIOS control of Intel(R) Speed Shift Technology (HWP) via MISC_PWR_MGMT MSR</t>
  </si>
  <si>
    <t>CSS-IVE-65799</t>
  </si>
  <si>
    <t>Verify C8 residency pre and post  hibernate state with USB 3.0 Mass Storage device connected to system</t>
  </si>
  <si>
    <t>CSS-IVE-65794</t>
  </si>
  <si>
    <t>Verify that BIOS has an option to configure C-State "Auto Demotion" and C-State "Un-demotion".</t>
  </si>
  <si>
    <t>CSS-IVE-50721</t>
  </si>
  <si>
    <t>Verify Intel(R) Speed Shift Technology Capabilities via IA32_HWP_CAPABILITIES MSR</t>
  </si>
  <si>
    <t>CSS-IVE-50718</t>
  </si>
  <si>
    <t>Verify Platform supports "autonomous out of band OS Control" in case of HW P-states</t>
  </si>
  <si>
    <t>CSS-IVE-50833</t>
  </si>
  <si>
    <t>Verify C1E should get disabled on disabling C-states</t>
  </si>
  <si>
    <t>CSS-IVE-50701</t>
  </si>
  <si>
    <t>Verify package C-state won"t be available on disabling C-states in Bios</t>
  </si>
  <si>
    <t>CSS-IVE-47419</t>
  </si>
  <si>
    <t>Verify the CPU reaches its rated turbo speed when all cores are active.</t>
  </si>
  <si>
    <t>CSS-IVE-50712</t>
  </si>
  <si>
    <t>Verify Bios gives an option to change CPU Custom critical trip point below TjMax and to set TCC Activation offSet</t>
  </si>
  <si>
    <t>CSS-IVE-50696</t>
  </si>
  <si>
    <t>Verify All DPTF participants are loaded in DPTF Monitor</t>
  </si>
  <si>
    <t>CSS-IVE-50814</t>
  </si>
  <si>
    <t>Verify Tcc Activation offset should be set and  Critical Trip Point should be functional</t>
  </si>
  <si>
    <t>CSS-IVE-50828</t>
  </si>
  <si>
    <t>Verify status of Turbo mode on disabling EIST(Enhanced Intel Speed Step) via IA32_MISC_ENABLE MSR</t>
  </si>
  <si>
    <t>CSS-IVE-50709</t>
  </si>
  <si>
    <t>Verify TURBO_POWER_LIMIT via PACKAGE_RAPL_LIMIT MSR</t>
  </si>
  <si>
    <t>CSS-IVE-50708</t>
  </si>
  <si>
    <t>Verify core C6 residency with system in S0 state</t>
  </si>
  <si>
    <t>CSS-IVE-64415</t>
  </si>
  <si>
    <t>Verify Intel(R) Speed Shift Technology Interrupt Notification status via MISC_PWR_MGMT MSR</t>
  </si>
  <si>
    <t>CSS-IVE-50717</t>
  </si>
  <si>
    <t>Verify that Package PL2 value is 1.25 times higher than PL1 value</t>
  </si>
  <si>
    <t>CSS-IVE-70925</t>
  </si>
  <si>
    <t>Verify PL4 lock via VR_CURRENT_CONFIG MSR</t>
  </si>
  <si>
    <t>CSS-IVE-70932</t>
  </si>
  <si>
    <t>Verify Intel Config TDP feature support</t>
  </si>
  <si>
    <t>CSS-IVE-70943</t>
  </si>
  <si>
    <t>Verify the CPPC Version support based on Operating system</t>
  </si>
  <si>
    <t>CSS-IVE-71015</t>
  </si>
  <si>
    <t>Verify TCC clamp via TEMPERATURE_TARGET MSR</t>
  </si>
  <si>
    <t>CSS-IVE-71017</t>
  </si>
  <si>
    <t>Verify "TCC offset time window" configuration in Bios</t>
  </si>
  <si>
    <t>CSS-IVE-71089</t>
  </si>
  <si>
    <t>Verify Package Power Limit 1 Time window</t>
  </si>
  <si>
    <t>CSS-IVE-71141</t>
  </si>
  <si>
    <t>Power Limit 1 Override option is Not Available in BIOS</t>
  </si>
  <si>
    <t>Verify Package PL1 and PL2 enablement from CPU</t>
  </si>
  <si>
    <t>CSS-IVE-71150</t>
  </si>
  <si>
    <t>Verify CPU Flex Ratio Override setup option</t>
  </si>
  <si>
    <t>CSS-IVE-71156</t>
  </si>
  <si>
    <t>Verify CPU supports for PSYS feature</t>
  </si>
  <si>
    <t>CSS-IVE-71186</t>
  </si>
  <si>
    <t>Verify core ratio limit overrides reverts back to default values correctly on loading Bios defaults</t>
  </si>
  <si>
    <t>CSS-IVE-80837</t>
  </si>
  <si>
    <t>step 2,3,4,5 options is not available in BIOS page</t>
  </si>
  <si>
    <t>Verify Power Limit 3 via PL3_CONTROL MSR</t>
  </si>
  <si>
    <t>CSS-IVE-80989</t>
  </si>
  <si>
    <t>Verify Bios has an option to change the PL3 Time window Value</t>
  </si>
  <si>
    <t>CSS-IVE-81018</t>
  </si>
  <si>
    <t>Verify config TDP levels supported via CONFIG_TDP_CONTROL MSR</t>
  </si>
  <si>
    <t>CSS-IVE-84556</t>
  </si>
  <si>
    <t>Verify TURBO Activation Ratio Lock and Max non-turbo ratio via TURBO_ACTIVATION_RATIO MSR pre and post Sx cycles</t>
  </si>
  <si>
    <t>CSS-IVE-84570</t>
  </si>
  <si>
    <t>Verify ConfigTDP MAX_NON_TURBO_RATIO can be configured from BIOS</t>
  </si>
  <si>
    <t>CSS-IVE-84573</t>
  </si>
  <si>
    <t>Validate "Configurable TDP Lock" feature</t>
  </si>
  <si>
    <t>CSS-IVE-84575</t>
  </si>
  <si>
    <t>Verify default bios option for "Package C State Limit"</t>
  </si>
  <si>
    <t>CSS-IVE-80329</t>
  </si>
  <si>
    <t>Verify T-state enablement and disablement as part of Setup</t>
  </si>
  <si>
    <t>CSS-IVE-75912</t>
  </si>
  <si>
    <t>Verify user should be able to read the maximum temperature that the processor can function in OS</t>
  </si>
  <si>
    <t>CSS-IVE-75360</t>
  </si>
  <si>
    <t>Verify platform information via PLATFORM_INFO MSR</t>
  </si>
  <si>
    <t>CSS-IVE-92959</t>
  </si>
  <si>
    <t>Polling Period for Power/Battery participant should be by default in interrupt mode</t>
  </si>
  <si>
    <t>CSS-IVE-98894</t>
  </si>
  <si>
    <t>Anwar</t>
  </si>
  <si>
    <t>power_management.battery</t>
  </si>
  <si>
    <t>Dynamic Thermal Platform framework should allow upto 6 OEM variables to be defined in order to support Power Boss policy</t>
  </si>
  <si>
    <t>CSS-IVE-98897</t>
  </si>
  <si>
    <t>LPM Policy should not be present under DPTF policies in BIOS</t>
  </si>
  <si>
    <t>CSS-IVE-99279</t>
  </si>
  <si>
    <t>Cooling Mode Policy should not be present under DPTF policies in BIOS</t>
  </si>
  <si>
    <t>CSS-IVE-99280</t>
  </si>
  <si>
    <t>Hardware Duty Cycling Policy should not be present under DPTF policies in BIOS</t>
  </si>
  <si>
    <t>CSS-IVE-99282</t>
  </si>
  <si>
    <t>Set Cooling policy (_SCP and DSCP) methods should not be get enumerated in OS</t>
  </si>
  <si>
    <t>CSS-IVE-99302</t>
  </si>
  <si>
    <t>Verify CPU MMIO turbo values should not get cleared or changed post S3 cycle</t>
  </si>
  <si>
    <t>CSS-IVE-99350</t>
  </si>
  <si>
    <t>Verify Timed MWait status via PKG_CST_CONFIG_CONTROL MSR</t>
  </si>
  <si>
    <t>CSS-IVE-99968</t>
  </si>
  <si>
    <t>Verify Platform support "Timed MWait" Feature via PLATFORM_INFO MSR</t>
  </si>
  <si>
    <t>CSS-IVE-100039</t>
  </si>
  <si>
    <t>Verify C-state (C10) residency when Active processor cores are disabled</t>
  </si>
  <si>
    <t>CSS-IVE-101308</t>
  </si>
  <si>
    <t>Verify P-state Cycling when Active processor cores are disabled</t>
  </si>
  <si>
    <t>CSS-IVE-101309</t>
  </si>
  <si>
    <t>Verify DPTF Processor participant does not get enumerated in device manager when it is disabled in BIOS</t>
  </si>
  <si>
    <t>CSS-IVE-102222</t>
  </si>
  <si>
    <t>Validate PTYP (Participant Device Type) method is defined for Display and Fan participants</t>
  </si>
  <si>
    <t>CSS-IVE-102235</t>
  </si>
  <si>
    <t>Validate PBOK method is defined for Power Participant</t>
  </si>
  <si>
    <t>CSS-IVE-102265</t>
  </si>
  <si>
    <t>power_management.consumption</t>
  </si>
  <si>
    <t>Verify CPU support for Intel Turbo Boost Max Technology 3.0</t>
  </si>
  <si>
    <t>CSS-IVE-100080</t>
  </si>
  <si>
    <t>BIOS should have option to enable or disable graphics turbo technology</t>
  </si>
  <si>
    <t>CSS-IVE-92936</t>
  </si>
  <si>
    <t>Verify Bios an option to enable/disable "CPU 3-strike counter "in BIOS.</t>
  </si>
  <si>
    <t>CSS-IVE-105537</t>
  </si>
  <si>
    <t>Verify CPU operates at LFM/HFM/TFM based on Power mode set to Power Saver/Balanced/High performance respectively post different power state transitions</t>
  </si>
  <si>
    <t>CSS-IVE-105541</t>
  </si>
  <si>
    <t>Validate Active trip points for DPTF CPU participant</t>
  </si>
  <si>
    <t>CSS-IVE-105595</t>
  </si>
  <si>
    <t>Verify Platform supports SoC crash by checking ACPI BERT table</t>
  </si>
  <si>
    <t>CSS-IVE-100152</t>
  </si>
  <si>
    <t>Validate ACPI methods required by DPTF to notify BIOS regarding the current DPTF status</t>
  </si>
  <si>
    <t>CSS-IVE-111656</t>
  </si>
  <si>
    <t>Validate DPTF support for PCH FIVR participant</t>
  </si>
  <si>
    <t>CSS-IVE-100086</t>
  </si>
  <si>
    <t>power_management.fivr</t>
  </si>
  <si>
    <t>Verify Intel Turbo Boost Max Technology 3.0 functionality</t>
  </si>
  <si>
    <t>CSS-IVE-100083</t>
  </si>
  <si>
    <t>Validate methods required by Fan device participant are enumerated as part of ACPI DPTF table</t>
  </si>
  <si>
    <t>CSS-IVE-114278</t>
  </si>
  <si>
    <t>Verify willowcove CPU core capabilities.</t>
  </si>
  <si>
    <t>CSS-IVE-115313</t>
  </si>
  <si>
    <t>Verify hetero core enumeration</t>
  </si>
  <si>
    <t>CSS-IVE-115732</t>
  </si>
  <si>
    <t>Verify CPU interrupt storm routine(ISR) check</t>
  </si>
  <si>
    <t>CSS-IVE-115822</t>
  </si>
  <si>
    <t>Verify Turbo ratio limit for all Big cores via MSR_TURBO_RATIO_LIMIT MSR</t>
  </si>
  <si>
    <t>CSS-IVE-117778</t>
  </si>
  <si>
    <t>Verify platform support "Energy Efficient Turbo" using MSR 1FC [19]</t>
  </si>
  <si>
    <t>CSS-IVE-117779</t>
  </si>
  <si>
    <t xml:space="preserve"> ver with non zero</t>
  </si>
  <si>
    <t>Nominal frequency of SNC core should be 1.4 times of max bus ratio ( HFM )</t>
  </si>
  <si>
    <t>CSS-IVE-117807</t>
  </si>
  <si>
    <t>Verify PL4 values via VR_CURRENT_CONFIG MSR</t>
  </si>
  <si>
    <t>CSS-IVE-117833</t>
  </si>
  <si>
    <t>Verify PL3 can be configured irrespective of Intel SpeedStep(tm) status</t>
  </si>
  <si>
    <t>CSS-IVE-117907</t>
  </si>
  <si>
    <t>Verify DPTF Power &amp; Processor participants in ACPI dump</t>
  </si>
  <si>
    <t>CSS-IVE-117076</t>
  </si>
  <si>
    <t>step 12 Return INTC10A4</t>
  </si>
  <si>
    <t>Verify Bios gives an option to configure energy efficient P-states and energy efficient turbo</t>
  </si>
  <si>
    <t>CSS-IVE-114909</t>
  </si>
  <si>
    <t>Verify Bios displays all the fused frequencies of CPU cores ( P0, P1,P2.. Pn)</t>
  </si>
  <si>
    <t>CSS-IVE-115905</t>
  </si>
  <si>
    <t>Verify TDC values gets displayed as part of Setup and it is configured correctly based on form factor</t>
  </si>
  <si>
    <t>CSS-IVE-114911</t>
  </si>
  <si>
    <t>Verify Bios displays current IMON Slope/Offset default value being used by SKU</t>
  </si>
  <si>
    <t>CSS-IVE-118056</t>
  </si>
  <si>
    <t>Verify the platform PL1/PL2 value using TAT</t>
  </si>
  <si>
    <t>CSS-IVE-118233</t>
  </si>
  <si>
    <t>Verify platform"s PL1,PL2 and Tau registers value matches as part of MSR and MMIO post Sx</t>
  </si>
  <si>
    <t>CSS-IVE-118234</t>
  </si>
  <si>
    <t>Verify default fused values for PL1,PL2,PL3 and PL4</t>
  </si>
  <si>
    <t>CSS-IVE-118448</t>
  </si>
  <si>
    <t>Validate DPTF support for Battery participant</t>
  </si>
  <si>
    <t>CSS-IVE-118598</t>
  </si>
  <si>
    <t>Validate DPTF support for Charger participant</t>
  </si>
  <si>
    <t>CSS-IVE-118599</t>
  </si>
  <si>
    <t>Validate DPTF Battery participant functionality</t>
  </si>
  <si>
    <t>CSS-IVE-118609</t>
  </si>
  <si>
    <t>Verified with step 33&amp;35 Zero</t>
  </si>
  <si>
    <t>Verify DPTF IETM _OSC ACPI method handle dynamic policies properly</t>
  </si>
  <si>
    <t>CSS-IVE-118654</t>
  </si>
  <si>
    <t>Verify BIOS does not program C-State Latency control MSRs</t>
  </si>
  <si>
    <t>CSS-IVE-119285</t>
  </si>
  <si>
    <t>Verify IPCS method gets exposed as part of ACPI dump</t>
  </si>
  <si>
    <t>CSS-IVE-119294</t>
  </si>
  <si>
    <t>Verify Iccmax gets displayed as part of Setup and it is configured correctly based on form factor</t>
  </si>
  <si>
    <t>CSS-IVE-119488</t>
  </si>
  <si>
    <t>Verify VR voltage limit gets displayed as part of Setup and it is configured correctly based on form factor</t>
  </si>
  <si>
    <t>CSS-IVE-120144</t>
  </si>
  <si>
    <t>Verified in Core/IA VR settigs</t>
  </si>
  <si>
    <t>Verify Power Limit 1 and Power Limit 2 values gets displayed as part of Setup and it is configured correctly based on form factor</t>
  </si>
  <si>
    <t>CSS-IVE-120149</t>
  </si>
  <si>
    <t>Verify non POR options have been removed as part of Acoustic Noise Settings</t>
  </si>
  <si>
    <t>CSS-IVE-120302</t>
  </si>
  <si>
    <t>Verify power state settings are configured correctly</t>
  </si>
  <si>
    <t>CSS-IVE-120304</t>
  </si>
  <si>
    <t>Validate GET ACPI methods in PCH ACPI device for DPTF PCH FIVR participant</t>
  </si>
  <si>
    <t>CSS-IVE-132617</t>
  </si>
  <si>
    <t>BIOS Shall support one _PSD object per core type (one for BIG Core, one for Atom Core)</t>
  </si>
  <si>
    <t>CSS-IVE-133043</t>
  </si>
  <si>
    <t xml:space="preserve">Verified with CO  _.PSD </t>
  </si>
  <si>
    <t>Verify HWP Lock Bit status via MISC_PWR_MGMT MSR</t>
  </si>
  <si>
    <t>CSS-IVE-133048</t>
  </si>
  <si>
    <t>Verify Turbo ratio limit for all Atom(Small) cores via MSR_TURBO_RATIO_LIMIT MSR</t>
  </si>
  <si>
    <t>CSS-IVE-133093</t>
  </si>
  <si>
    <t>Verify Platform's PL1,PL2 and Tau registers value matches as part of MSR and MMIO pre and post Sx When Dual Tau option Disabled in Bios</t>
  </si>
  <si>
    <t>CSS-IVE-132940</t>
  </si>
  <si>
    <t>Verify CPUID and FMS  For DT/mobile SKU</t>
  </si>
  <si>
    <t>CSS-IVE-135500</t>
  </si>
  <si>
    <t>ver with b06a2</t>
  </si>
  <si>
    <t>Verify hetero core enumeration Before and after S3 cycles</t>
  </si>
  <si>
    <t>CSS-IVE-135565</t>
  </si>
  <si>
    <t>Verify BIOS Enable External Bypass VR by default and update defaults for voltage, current and timing for power rails</t>
  </si>
  <si>
    <t>CSS-IVE-136291</t>
  </si>
  <si>
    <t>Verify BIOS Support for TDC Current Limit</t>
  </si>
  <si>
    <t>CSS-IVE-133822</t>
  </si>
  <si>
    <t>Verify hetero core enumeration Before and after S4 , S5 , warm and cold reboot cycles</t>
  </si>
  <si>
    <t>CSS-IVE-145234</t>
  </si>
  <si>
    <t>Verify Re-arm command before and after disabling Re-arm BIOS knob</t>
  </si>
  <si>
    <t>CSS-IVE-145806</t>
  </si>
  <si>
    <t>Verify BIOS support for new Device PMAX</t>
  </si>
  <si>
    <t>CSS-IVE-145808</t>
  </si>
  <si>
    <t>Verify Bios programs MAX_CPUMSG_LTR register correctly</t>
  </si>
  <si>
    <t>CSS-IVE-145816</t>
  </si>
  <si>
    <t>Verify Bios programs CPPM_CG_POL1B.TNTE_FORCE_ON register correctly</t>
  </si>
  <si>
    <t>CSS-IVE-145817</t>
  </si>
  <si>
    <t>Verify Bios programs power management configuration registers correctly</t>
  </si>
  <si>
    <t>CSS-IVE-145818</t>
  </si>
  <si>
    <t xml:space="preserve">steps will be modified from co </t>
  </si>
  <si>
    <t>Verify Bios sends IPC1 command to check for errors in the IPC1 interface during CPU strap overrides</t>
  </si>
  <si>
    <t>CSS-IVE-145869</t>
  </si>
  <si>
    <t>Verify S0ix address passed to OS as part of LPIT table is programmed correctly</t>
  </si>
  <si>
    <t>CSS-IVE-145870</t>
  </si>
  <si>
    <t>Verify Global reset happens with security level enabled in BIOS</t>
  </si>
  <si>
    <t>CSS-IVE-145814</t>
  </si>
  <si>
    <t>Verify Bios provide an option to update Vsys Critical and change corresponding settings</t>
  </si>
  <si>
    <t>CSS-IVE-145973</t>
  </si>
  <si>
    <t>ver vysys critical</t>
  </si>
  <si>
    <t>Verify BIOS support the Dynamic Periodicity Alteration (DPA) tuning feature when Acoustic Noise Mitigation is enabled</t>
  </si>
  <si>
    <t>CSS-IVE-145815</t>
  </si>
  <si>
    <t>Verify Delay between PME_TO_ACK message and PERST# Assertion</t>
  </si>
  <si>
    <t>CSS-IVE-135875</t>
  </si>
  <si>
    <t xml:space="preserve"> CLID- 9313</t>
  </si>
  <si>
    <t>Verify Keylocker when Hybrid Core is Enabled</t>
  </si>
  <si>
    <t>CSS-IVE-147121</t>
  </si>
  <si>
    <t>CSS-IVE-147205</t>
  </si>
  <si>
    <t>Verify GOP initialization in debug log using Legacy UART / LPSS UART</t>
  </si>
  <si>
    <t>CSS-IVE-108406</t>
  </si>
  <si>
    <t>Validate network functionality post Sx cycles</t>
  </si>
  <si>
    <t>CSS-IVE-65924</t>
  </si>
  <si>
    <t>Verify system stability post Sx cycles with Keyboard as wake source</t>
  </si>
  <si>
    <t>CSS-IVE-65923</t>
  </si>
  <si>
    <t>Verify system stability post Sx cycles with Lid Switch as wake source</t>
  </si>
  <si>
    <t>CSS-IVE-65921</t>
  </si>
  <si>
    <t>Verify System stability on staying in idle state for 12 hours with Display ON</t>
  </si>
  <si>
    <t>CSS-IVE-50608</t>
  </si>
  <si>
    <t>Verify that GPIO devices are enumerated properly on the SUT</t>
  </si>
  <si>
    <t>CSS-IVE-50609</t>
  </si>
  <si>
    <t>Stress S5-G3-S5 and verify that there is no break in functionality</t>
  </si>
  <si>
    <t>CSS-IVE-65920</t>
  </si>
  <si>
    <t>Verify WWAN (4G) Functionality</t>
  </si>
  <si>
    <t>CSS-IVE-65968</t>
  </si>
  <si>
    <t>Inventory Block</t>
  </si>
  <si>
    <t xml:space="preserve">WWAN </t>
  </si>
  <si>
    <t>connectivity</t>
  </si>
  <si>
    <t>Networking and Connectivity</t>
  </si>
  <si>
    <t>Validate Type-C USB2.0 Host Mode (Type-C to A) functionality - after CMS, device connected when SUT is in CMS state</t>
  </si>
  <si>
    <t>CSS-IVE-66055</t>
  </si>
  <si>
    <t>soc</t>
  </si>
  <si>
    <t>Validate Type-C USB2.0 Host Mode (Type-C to A) functionality - after Sx, device connected when SUT is in S3,S4 state</t>
  </si>
  <si>
    <t>CSS-IVE-66059</t>
  </si>
  <si>
    <t>Validate Type-C USB3.0 Host Mode (Type-C to A) functionality - before and after Sx cycles</t>
  </si>
  <si>
    <t>CSS-IVE-66060</t>
  </si>
  <si>
    <t>[Type-c]Verify RTD3 support for USB3.0 device (Pendrive)</t>
  </si>
  <si>
    <t>CSS-IVE-66100</t>
  </si>
  <si>
    <t>Verify RTD3 support for USB2.0 Device</t>
  </si>
  <si>
    <t>CSS-IVE-66099</t>
  </si>
  <si>
    <t>CLID- 9312</t>
  </si>
  <si>
    <t>Verify Type C - Analog audio accessory mode functionality</t>
  </si>
  <si>
    <t>CSS-IVE-66096</t>
  </si>
  <si>
    <t>Verify all BKC drivers gets installed successfully via command line Installation</t>
  </si>
  <si>
    <t>CSS-IVE-67697</t>
  </si>
  <si>
    <t>ver with available drivers</t>
  </si>
  <si>
    <t>Verify UART function test on OS - Debug logs generation</t>
  </si>
  <si>
    <t>CSS-IVE-69495</t>
  </si>
  <si>
    <t>Verify whether system is able to complete S5 (Shutdown) cycles after disabling fast boot in Performance BIOS</t>
  </si>
  <si>
    <t>CSS-IVE-69897</t>
  </si>
  <si>
    <t>Verify hot-plug functionality of TBT device between S3 and resume phases</t>
  </si>
  <si>
    <t>CSS-IVE-70929</t>
  </si>
  <si>
    <t>Verify that ACPI tables have proper revision ID"s as per the ACPI spec.</t>
  </si>
  <si>
    <t>CSS-IVE-70961</t>
  </si>
  <si>
    <t>Verify that WWAN enter D3 when SUT is in CMS</t>
  </si>
  <si>
    <t>CSS-IVE-70970</t>
  </si>
  <si>
    <t>Verify devices (M.2 SATA SSD, WiFi, BT, Camera, Touch Panel) are entering to RTD3 cold state</t>
  </si>
  <si>
    <t>CSS-IVE-70971</t>
  </si>
  <si>
    <t>Touchpanel</t>
  </si>
  <si>
    <t>Verify SUT wakes from Connected Standby using Touchpad</t>
  </si>
  <si>
    <t>CSS-IVE-16697</t>
  </si>
  <si>
    <t>as per CO confirm wake on touch pad is NA</t>
  </si>
  <si>
    <t>Verify TBT (thunderbolt) device other than Display does not work in Display Port only security level</t>
  </si>
  <si>
    <t>CSS-IVE-71083</t>
  </si>
  <si>
    <t>Verify TBT functionality after disabling and enabling the TBT Controller in device manager</t>
  </si>
  <si>
    <t>CSS-IVE-71088</t>
  </si>
  <si>
    <t>ver with tbt ssd1</t>
  </si>
  <si>
    <t>Verify TBT Boot to OS functionality using Type-C USB device over TBT port</t>
  </si>
  <si>
    <t>CSS-IVE-71121</t>
  </si>
  <si>
    <t>Verify system enters S5 state irrespective of fast startup option in OS with system in AC mode</t>
  </si>
  <si>
    <t>CSS-IVE-72694</t>
  </si>
  <si>
    <t>Verify XHCI OS Handoff after S3/S0iX Cycling</t>
  </si>
  <si>
    <t>CSS-IVE-80009</t>
  </si>
  <si>
    <t>Verify PCIe device enumeration before/after Sx-cycles</t>
  </si>
  <si>
    <t>CSS-IVE-80338</t>
  </si>
  <si>
    <t>GFX CARD</t>
  </si>
  <si>
    <t>Verify concurrent functionality of USB-C PD and USB-C Data Transfer ports for dual port RVP</t>
  </si>
  <si>
    <t>CSS-IVE-84963</t>
  </si>
  <si>
    <t>Validate system wakes up from Sx states via USB devices</t>
  </si>
  <si>
    <t>CSS-IVE-80238</t>
  </si>
  <si>
    <t>Bios shall support maximum allocation of 130 MB memory for EFI Boot Services Data</t>
  </si>
  <si>
    <t>CSS-IVE-84959</t>
  </si>
  <si>
    <t>Verify RTD3/ACPI D3cold Support can be enabled/disabled from Setup and SUT remains intact across Sx cycles</t>
  </si>
  <si>
    <t>CSS-IVE-80982</t>
  </si>
  <si>
    <t>Verify RTD3 residency for SATA HDD during S0(Idle) and DMS states</t>
  </si>
  <si>
    <t>CSS-IVE-79966</t>
  </si>
  <si>
    <t>Verify that the TCO watchdog is Disabled by Default</t>
  </si>
  <si>
    <t>CSS-IVE-80847</t>
  </si>
  <si>
    <t>Verify different power states (Active/IDLE, partial and slumber) for SATA Phy layer</t>
  </si>
  <si>
    <t>CSS-IVE-88927</t>
  </si>
  <si>
    <t>Verify that ACPI supports Low Power Idle Table (LPIT) to support Modern Standby</t>
  </si>
  <si>
    <t>CSS-IVE-78644</t>
  </si>
  <si>
    <t>Verify system stability on performing 3 cycles of Warm and Cold boot cycles</t>
  </si>
  <si>
    <t>CSS-IVE-92240</t>
  </si>
  <si>
    <t>Validate system resume from Sx post long duration with system in AC mode</t>
  </si>
  <si>
    <t>CSS-IVE-92246</t>
  </si>
  <si>
    <t>Verify PEP device (_STA) method to support Modern Standby</t>
  </si>
  <si>
    <t>CSS-IVE-78764</t>
  </si>
  <si>
    <t>power_management.modern_standby</t>
  </si>
  <si>
    <t>Verify system stability post Connected Modern Standby cycling</t>
  </si>
  <si>
    <t>CSS-IVE-92265</t>
  </si>
  <si>
    <t>Verify System trace Via BSSB interface over Type-C port</t>
  </si>
  <si>
    <t>CSS-IVE-76118</t>
  </si>
  <si>
    <t>cca type c</t>
  </si>
  <si>
    <t>Verify System stays in S5 when power button is pressed while in Bios page (Negative Test )</t>
  </si>
  <si>
    <t>CSS-IVE-92277</t>
  </si>
  <si>
    <t>Validate Type-C USB2.0 Host Mode (Type-C to A) functionality after Deep S5, Cable connected at Deep S5 State</t>
  </si>
  <si>
    <t>CSS-IVE-92311</t>
  </si>
  <si>
    <t>deepsx</t>
  </si>
  <si>
    <t>Validate Type-C USB3.0 Host Mode (Type-C to A) functionality after Deep S5, Cable connected at Deep S5 State</t>
  </si>
  <si>
    <t>CSS-IVE-92312</t>
  </si>
  <si>
    <t>[TBT]Verify DMAR Table is populated on Enabling VT-D</t>
  </si>
  <si>
    <t>CSS-IVE-119130</t>
  </si>
  <si>
    <t>Verify TBT RTD3 entry and exit in a Daisy chain</t>
  </si>
  <si>
    <t>CSS-IVE-118924</t>
  </si>
  <si>
    <t>CLID-8282</t>
  </si>
  <si>
    <t>Validate HDMI Display functionality over Type-C port in Pre/Post Sx and reboot cycles</t>
  </si>
  <si>
    <t>CSS-IVE-92747</t>
  </si>
  <si>
    <t>[TBT] Verify Reservation of PCIe Bus numbers for Thunderbolt</t>
  </si>
  <si>
    <t>CSS-IVE-92914</t>
  </si>
  <si>
    <t>Verify TBT device enumeration under Thunderbolt controller in device manager</t>
  </si>
  <si>
    <t>CSS-IVE-77157</t>
  </si>
  <si>
    <t>Verify PEP should load with Compatible ID EISAID ("PNP0D80")</t>
  </si>
  <si>
    <t>CSS-IVE-78763</t>
  </si>
  <si>
    <t>Verify Hardware Identifiers of DPTF participant devices in device manager</t>
  </si>
  <si>
    <t>CSS-IVE-92964</t>
  </si>
  <si>
    <t>Validate DPTF ACPI objects required for DPTF Manager device are getting enumerated in ACPI dump</t>
  </si>
  <si>
    <t>CSS-IVE-92987</t>
  </si>
  <si>
    <t>Validate Thermal objects required for DPTF Participant devices are getting enumerated in ACPI dump</t>
  </si>
  <si>
    <t>CSS-IVE-93070</t>
  </si>
  <si>
    <t>Validate Power objects required for DPTF Participant devices are getting enumerated in ACPI dump</t>
  </si>
  <si>
    <t>CSS-IVE-93071</t>
  </si>
  <si>
    <t>[TBT] Verify TBT-External Graphics functionality with Discrete graphics after Sx and reboot cycles</t>
  </si>
  <si>
    <t>CSS-IVE-94002</t>
  </si>
  <si>
    <t>Verify USB3.1 Gen2 device functionality with pre and post Sx (S3,S4,S5) cycles over Type-C port</t>
  </si>
  <si>
    <t>CSS-IVE-94312</t>
  </si>
  <si>
    <t>Verify USB3.1 gen2 device functionality before/after C-MoS state over Type-C port</t>
  </si>
  <si>
    <t>CSS-IVE-94315</t>
  </si>
  <si>
    <t>Verify USB Camera functionality over Type-C port with pre and post Sx (S3,S4,S5) cycles</t>
  </si>
  <si>
    <t>CSS-IVE-94316</t>
  </si>
  <si>
    <t>Verify Install OS and Booting from Type-C USB 3.1 gen2 device</t>
  </si>
  <si>
    <t>CSS-IVE-94317</t>
  </si>
  <si>
    <t>Verify OS debug support using Windbg debugging over Type-C port</t>
  </si>
  <si>
    <t>CSS-IVE-94318</t>
  </si>
  <si>
    <t>CLID-8634</t>
  </si>
  <si>
    <t>Verify Type-C Docking with 2XLANE DP and Super Speed functionality before/after Sx Cycles(S3,S4,S5)</t>
  </si>
  <si>
    <t>CSS-IVE-94320</t>
  </si>
  <si>
    <t>Verify Type-C Docking hot plug functionality with 2XLANE DP and USB 3.1 devices</t>
  </si>
  <si>
    <t>CSS-IVE-94321</t>
  </si>
  <si>
    <t>Verify Type-C Docking with 4XLANE DP and High Speed functionality before/after Sx (S3,S4,S5) Cycles</t>
  </si>
  <si>
    <t>CSS-IVE-94322</t>
  </si>
  <si>
    <t>Verify Type-C Docking hot plug functionality with 4XLANE DP and USB2.0 devices</t>
  </si>
  <si>
    <t>CSS-IVE-94323</t>
  </si>
  <si>
    <t>Verify Type-C Docking with 2XLANE DP and Super Speed functionality before/after Sx(S3,S4,S5) Cycles</t>
  </si>
  <si>
    <t>CSS-IVE-94324</t>
  </si>
  <si>
    <t>Verify Type-C Docking hot plug functionality with 2XLANE DP and USB 3.0 devices</t>
  </si>
  <si>
    <t>CSS-IVE-94325</t>
  </si>
  <si>
    <t>Verify Type-C multi port - USB only functionality before/after Sx Cycle</t>
  </si>
  <si>
    <t>CSS-IVE-94330</t>
  </si>
  <si>
    <t>Verify Type-C multi port - USB only functionality before/after CMS state</t>
  </si>
  <si>
    <t>CSS-IVE-94331</t>
  </si>
  <si>
    <t>Verify Type-C multi port functionality - Display and USB</t>
  </si>
  <si>
    <t>CSS-IVE-94337</t>
  </si>
  <si>
    <t>Verify Type-C multi port functionality - Display and USB before/after Sx Cycles</t>
  </si>
  <si>
    <t>CSS-IVE-94338</t>
  </si>
  <si>
    <t>Verify Type-C multi port functionality - Display and USB before/after CMS state</t>
  </si>
  <si>
    <t>CSS-IVE-94339</t>
  </si>
  <si>
    <t>Verify Sx/S0ix cycle"s with ODD connected to System</t>
  </si>
  <si>
    <t>CSS-IVE-95195</t>
  </si>
  <si>
    <t>port not available in SUT</t>
  </si>
  <si>
    <t>Verify Type-C multi port functionality - Display, USB debug and TBT dock</t>
  </si>
  <si>
    <t>CSS-IVE-95251</t>
  </si>
  <si>
    <t>CLID-8266</t>
  </si>
  <si>
    <t>Verify Type-C multi port functionality - Display, USB debug and TBT dock after G3 and reboot cycles</t>
  </si>
  <si>
    <t>CSS-IVE-95252</t>
  </si>
  <si>
    <t>Verify Type-C multi port functionality - Consumer, Digital Audio and USB3.1 Gen2 SSD after G3 and reboot cycle</t>
  </si>
  <si>
    <t>CSS-IVE-95254</t>
  </si>
  <si>
    <t>Verify Type-C multi port functionality - Consumer, Digital Audio and USB3.1 Gen2 SSD after Sx Cycles</t>
  </si>
  <si>
    <t>CSS-IVE-95255</t>
  </si>
  <si>
    <t>Verify Type-C multi port functionality - Consumer, Digital Audio and USB3.1 Gen2 SSD after Connected MOS state</t>
  </si>
  <si>
    <t>CSS-IVE-95257</t>
  </si>
  <si>
    <t>Verify Type-C multi port functionality - Provider, HDMI and USB Camera</t>
  </si>
  <si>
    <t>CSS-IVE-95262</t>
  </si>
  <si>
    <t>inventory blocked(Smart phone)</t>
  </si>
  <si>
    <t>Verify Type-C multi port functionality - Provider, HDMI and USB Camera after Sx and reboot cycle</t>
  </si>
  <si>
    <t>CSS-IVE-95263</t>
  </si>
  <si>
    <t>Verify Type-C multi port functionality - Provider, HDMI and USB Camera after Deep Sx cycle</t>
  </si>
  <si>
    <t>CSS-IVE-95264</t>
  </si>
  <si>
    <t>Verify Type-C multi port functionality - Provider, HDMI and USB Camera after Connected MOS state</t>
  </si>
  <si>
    <t>CSS-IVE-95265</t>
  </si>
  <si>
    <t>Verify Type-C multi port functionality - PR Swap, USB3.1 and TBT-Display</t>
  </si>
  <si>
    <t>CSS-IVE-95266</t>
  </si>
  <si>
    <t>failed</t>
  </si>
  <si>
    <t>Verify Type-C multi port functionality - Type-C dock, Provider, TBT eGFX</t>
  </si>
  <si>
    <t>CSS-IVE-95272</t>
  </si>
  <si>
    <t>Verify Type-C multi port functionality - Type-C dock, Provider, TBT eGFX after Sx and reboot cycles</t>
  </si>
  <si>
    <t>CSS-IVE-95273</t>
  </si>
  <si>
    <t>[TBT] Verify connection Swap during S3 with all Type-C ports - DP, HDMI and USB</t>
  </si>
  <si>
    <t>CSS-IVE-95283</t>
  </si>
  <si>
    <t>[TBT] Verify connection Swap during S3 with all Type-C ports - USB3.1 Gen2, USB3.0 Hub and USB2.0</t>
  </si>
  <si>
    <t>CSS-IVE-95390</t>
  </si>
  <si>
    <t>Verify RTD3 residency for SATA SSD during CS and Idle states</t>
  </si>
  <si>
    <t>CSS-IVE-95782</t>
  </si>
  <si>
    <t>Verify no errors gets registered as part of configuration registers post Sx cycles</t>
  </si>
  <si>
    <t>CSS-IVE-97229</t>
  </si>
  <si>
    <t>Verify System won"t wake from S3 when HDMI display hot plug-in and hot plug-out</t>
  </si>
  <si>
    <t>CSS-IVE-98898</t>
  </si>
  <si>
    <t>Verify PC10 Residency with system in CMS mode with AHCI/NVMe PCIe device is connected</t>
  </si>
  <si>
    <t>CSS-IVE-86890</t>
  </si>
  <si>
    <t>Verify state after G3 functionality based on BIOS options (S0 state, S5 state)</t>
  </si>
  <si>
    <t>CSS-IVE-99275</t>
  </si>
  <si>
    <t>Validate USB3.1 Gen2 device functionality with pre and post Sx cycles over USB3.0 Type-A port</t>
  </si>
  <si>
    <t>CSS-IVE-99296</t>
  </si>
  <si>
    <t>Verify USB3.1 gen2 device enumeration as SuperSpeed+ device over USB3.0 Type-A port</t>
  </si>
  <si>
    <t>CSS-IVE-99297</t>
  </si>
  <si>
    <t>Validate USB3.1 gen2 device functionality before/after C-MoS state over USB3.1 Type-A port</t>
  </si>
  <si>
    <t>CSS-IVE-99298</t>
  </si>
  <si>
    <t>Verify System trace via BSSB interface over Type-A port</t>
  </si>
  <si>
    <t>CSS-IVE-99314</t>
  </si>
  <si>
    <t>[TBT] Verify Reservation of memory resources for Thunderbolt Support</t>
  </si>
  <si>
    <t>CSS-IVE-99395</t>
  </si>
  <si>
    <t>ambika</t>
  </si>
  <si>
    <t>Verify system stability on performing Sx cycles with "Driver Verifier Options" enabled in OS</t>
  </si>
  <si>
    <t>CSS-IVE-99403</t>
  </si>
  <si>
    <t>Jeffy</t>
  </si>
  <si>
    <t>Verify USB Host - SCSI Protocol (UASP) Support</t>
  </si>
  <si>
    <t>CSS-IVE-99494</t>
  </si>
  <si>
    <t>Verify SUT wake from S3,S4 using Type-C dock connected over Discrete Type-C port</t>
  </si>
  <si>
    <t>CSS-IVE-99963</t>
  </si>
  <si>
    <t>Verify display turns off post reaching RTC time limit</t>
  </si>
  <si>
    <t>CSS-IVE-99965</t>
  </si>
  <si>
    <t>Verify IO Mwait Redirection status via PKG_CST_CONFIG_CONTROL MSR</t>
  </si>
  <si>
    <t>CSS-IVE-99967</t>
  </si>
  <si>
    <t>Verify "Thermal Monitor" Enable/Disable via MSR 1A0 [3]</t>
  </si>
  <si>
    <t>CSS-IVE-99969</t>
  </si>
  <si>
    <t>Verify TBT3 enumeration of storage and display devices after warm boot</t>
  </si>
  <si>
    <t>CSS-IVE-84581</t>
  </si>
  <si>
    <t>[TBT] Verify SUT wake from S3/S4 using USB Mouse over TBT connector</t>
  </si>
  <si>
    <t>CSS-IVE-84622</t>
  </si>
  <si>
    <t>[TBT] Verify functionality of TBT device after power interrupts (Reset / G3)</t>
  </si>
  <si>
    <t>CSS-IVE-86559</t>
  </si>
  <si>
    <t>[TBT] Verify the presence of TBT System Tray Icon when TBT device is connected</t>
  </si>
  <si>
    <t>CSS-IVE-86591</t>
  </si>
  <si>
    <t>Verify USB 3.1 Device functionality in End Point, before/after Sx Cycles over TBT Dock</t>
  </si>
  <si>
    <t>CSS-IVE-86872</t>
  </si>
  <si>
    <t>Verify TBT Peer to Peer functionality before/after Sx and reboot cycles</t>
  </si>
  <si>
    <t>CSS-IVE-86874</t>
  </si>
  <si>
    <t>Verify TBT-External Graphics functionality with integrated graphics after Sx and reboot cycles</t>
  </si>
  <si>
    <t>CSS-IVE-86990</t>
  </si>
  <si>
    <t>Verify TBT3 enumeration for Storage and display after cold boot</t>
  </si>
  <si>
    <t>CSS-IVE-84580</t>
  </si>
  <si>
    <t>Verify basic TBT options available in BIOS setup</t>
  </si>
  <si>
    <t>CSS-IVE-84760</t>
  </si>
  <si>
    <t>Verify TBT Peer to Peer hot-plug functionality and Connector reversibility</t>
  </si>
  <si>
    <t>CSS-IVE-86876</t>
  </si>
  <si>
    <t>Verify TBT Peer to Peer functionality (Connected via TBT devices) before/after Sx and reboot cycles</t>
  </si>
  <si>
    <t>CSS-IVE-86877</t>
  </si>
  <si>
    <t>Verify TBT Display functionality with Stress and along with non-TBT devices Cross Concurrency</t>
  </si>
  <si>
    <t>CSS-IVE-86879</t>
  </si>
  <si>
    <t>skipped step 4</t>
  </si>
  <si>
    <t>Verify TBT Daisy chain functionality along with non-TBT devices Cross Concurrency</t>
  </si>
  <si>
    <t>CSS-IVE-86980</t>
  </si>
  <si>
    <t>skip 3,0 sd card</t>
  </si>
  <si>
    <t>kalyani</t>
  </si>
  <si>
    <t>[TBT] Verify TBT-Dock hot-plug functionality (Connected with non-TBT devices)</t>
  </si>
  <si>
    <t>CSS-IVE-86986</t>
  </si>
  <si>
    <t>Verify TBT-External Graphics functionality with Integrated Graphics along with non-TBT devices Cross Concurrency</t>
  </si>
  <si>
    <t>CSS-IVE-86993</t>
  </si>
  <si>
    <t>Verify flashing TBT firmware image on TBT controller through TenLira</t>
  </si>
  <si>
    <t>CSS-IVE-83054</t>
  </si>
  <si>
    <t>tenlira</t>
  </si>
  <si>
    <t>Verify hot-plug functionality of TBT device between S4 and resume phases</t>
  </si>
  <si>
    <t>CSS-IVE-84578</t>
  </si>
  <si>
    <t>Verify USB 3.0 Device functionality in Host Router before/after Sx Cycles</t>
  </si>
  <si>
    <t>CSS-IVE-84735</t>
  </si>
  <si>
    <t>[TBT] Verify USB 2.0 Device functionality in End Point, before/after Sx cycles</t>
  </si>
  <si>
    <t>CSS-IVE-86870</t>
  </si>
  <si>
    <t>Verify TBT Peer to Peer hot-plug functionality (Connected via TBT devices)</t>
  </si>
  <si>
    <t>CSS-IVE-86878</t>
  </si>
  <si>
    <t>Verify TBT Daisy chain functionality after Sx and reboot cycles</t>
  </si>
  <si>
    <t>CSS-IVE-86979</t>
  </si>
  <si>
    <t>verified with 3 TBT SSD</t>
  </si>
  <si>
    <t>Verify TBT-Dock functionality after S4,S5 and reboot cycles (Connected with multiple TBT devices)</t>
  </si>
  <si>
    <t>CSS-IVE-86984</t>
  </si>
  <si>
    <t>[TBT] Verify functionality of TBT-display / TBT-SSD in all security levels</t>
  </si>
  <si>
    <t>CSS-IVE-84586</t>
  </si>
  <si>
    <t>Verify TBT Daisy chain functionality with 5 Storage</t>
  </si>
  <si>
    <t>CSS-IVE-86884</t>
  </si>
  <si>
    <t>[TBT] Verify TBT-Dock functionality after Sx (S3,S4,S5) and reboot cycle (Connected with non-TBT devices)</t>
  </si>
  <si>
    <t>CSS-IVE-86987</t>
  </si>
  <si>
    <t>[TBT] Verify TBT Tree functionality connected with 2 TBT port after Sx and reboot cycle</t>
  </si>
  <si>
    <t>CSS-IVE-87032</t>
  </si>
  <si>
    <t>[TBT] Verify TBT Display functionality in Tunnel Mode and at boot menu with GOP</t>
  </si>
  <si>
    <t>CSS-IVE-86869</t>
  </si>
  <si>
    <t>verified with DP Display</t>
  </si>
  <si>
    <t>[TBT] Verify USB 3.0 Device functionality in End point, before/after Sx Cycles</t>
  </si>
  <si>
    <t>CSS-IVE-86871</t>
  </si>
  <si>
    <t>[TBT] Verify TBT Storage functionality with Stress and along with non-TBT devices Cross Concurrency</t>
  </si>
  <si>
    <t>CSS-IVE-86880</t>
  </si>
  <si>
    <t>skip 3.0 sd card and verified</t>
  </si>
  <si>
    <t>[TBT] Verify TBT Daisy chain functionality with 4 Storage and 1 Display</t>
  </si>
  <si>
    <t>CSS-IVE-86888</t>
  </si>
  <si>
    <t>ver with 2 tbt sd</t>
  </si>
  <si>
    <t>[TBT] Verify TBT-Dock functionality after cold boot</t>
  </si>
  <si>
    <t>CSS-IVE-100038</t>
  </si>
  <si>
    <t>[TBT] Verify Multiple TBT3 data transfer operation with hot plugs</t>
  </si>
  <si>
    <t>CSS-IVE-100047</t>
  </si>
  <si>
    <t>expected behaviour</t>
  </si>
  <si>
    <t>[TBT] Verify Multiple TBT3 data transfer operation after cold boot</t>
  </si>
  <si>
    <t>CSS-IVE-100048</t>
  </si>
  <si>
    <t>Verify Multiple TBT3 data transfer operation on hot-plug after S4,S5 and warm boot</t>
  </si>
  <si>
    <t>CSS-IVE-100049</t>
  </si>
  <si>
    <t>Verify data transfer operation between multiple TBT3 storages, before/after S4,S5 and warm boot</t>
  </si>
  <si>
    <t>CSS-IVE-100050</t>
  </si>
  <si>
    <t>[TBT] Verify Type-C multi port functionality on Cold/hot-plug - Consumer, TBT Daisy and TBT Dock</t>
  </si>
  <si>
    <t>CSS-IVE-100060</t>
  </si>
  <si>
    <t>[TBT] Verify Type-C multi port functionality - Consumer, TBT Daisy and TBT Dock with before/after Sx and reboot cycles</t>
  </si>
  <si>
    <t>CSS-IVE-100062</t>
  </si>
  <si>
    <t>[TBT] Verify combination of TBT Peer to Peer and TBT Tree configuration on 1 SUT with Cold/Hot Plug</t>
  </si>
  <si>
    <t>CSS-IVE-100071</t>
  </si>
  <si>
    <t>[TBT] Verify combination of TBT Peer to Peer and TBT Tree configuration on 1 SUT with before/After Sx and reboot cycles</t>
  </si>
  <si>
    <t>CSS-IVE-100072</t>
  </si>
  <si>
    <t>[TBT] Verify combination of TBT Peer to Peer and TBT Tree configuration on both SUT with Cold/Hot Plug</t>
  </si>
  <si>
    <t>CSS-IVE-100093</t>
  </si>
  <si>
    <t>[TBT] Verify combination of TBT Peer to Peer and TBT Tree configuration on both SUT with before/after Sx and reboot cycles</t>
  </si>
  <si>
    <t>CSS-IVE-100094</t>
  </si>
  <si>
    <t>Verify Concurrent functionality of Legacy USB and DP Display over Type-C and device connected when SUT is in Sx (S3,S4,S5)_x000D_
 state</t>
  </si>
  <si>
    <t>CSS-IVE-100961</t>
  </si>
  <si>
    <t>Verify Concurrent functionality of Legacy USB and HDMI Display over Type-C and device connected when SUT is in Sx (S3,S4,S5)_x000D_
 state</t>
  </si>
  <si>
    <t>CSS-IVE-100962</t>
  </si>
  <si>
    <t>Verify Concurrent functionality of Legacy USB and Type-C to Type-C Display and device connected when SUT is in Sx (S3,S4,S5) state</t>
  </si>
  <si>
    <t>CSS-IVE-100964</t>
  </si>
  <si>
    <t>Verify Type-C Display functionality in Pre/Post S3,S4,S5 and reboot cycles</t>
  </si>
  <si>
    <t>CSS-IVE-100969</t>
  </si>
  <si>
    <t>CC</t>
  </si>
  <si>
    <t>Validate system performs S4 and S5 cycles with "10Sec power button OVR" enabled in Bios with system in AC mode</t>
  </si>
  <si>
    <t>CSS-IVE-100993</t>
  </si>
  <si>
    <t>option is removed confirmed with co</t>
  </si>
  <si>
    <t>Verify system performs Sx cycle successfully irrespective of EC Low power mode option in Bios</t>
  </si>
  <si>
    <t>CSS-IVE-100997</t>
  </si>
  <si>
    <t>Verify Sx(S3, S4 and S5) Cycle with C-state disable in bios</t>
  </si>
  <si>
    <t>CSS-IVE-101023</t>
  </si>
  <si>
    <t>Verify S3 and S4 Cycle with Keyboard and mouse connected to USB external HUB in AC mode</t>
  </si>
  <si>
    <t>CSS-IVE-101027</t>
  </si>
  <si>
    <t>Verify Type-C Concurrent support of Consumer, HDMI Display and USB2, device connected when SUT is in Connected Modern Standby states</t>
  </si>
  <si>
    <t>CSS-IVE-101136</t>
  </si>
  <si>
    <t>Verify Type-C Concurrent support of x2 DP and USB3 on hot-plug after Connected Modern Standby states</t>
  </si>
  <si>
    <t>CSS-IVE-101069</t>
  </si>
  <si>
    <t>Verify Type-C Concurrent support of Consumer, x4 DP and High Speed on hot-plug after Connected Modern Standby states</t>
  </si>
  <si>
    <t>CSS-IVE-101089</t>
  </si>
  <si>
    <t>Verify Type-C Concurrent support of HDMI Display and USB2, device connected when SUT is in Connected Modern Standby states</t>
  </si>
  <si>
    <t>CSS-IVE-101106</t>
  </si>
  <si>
    <t>Verify Type-C Concurrent support of x4 DP and High Speed before/after Sx and Reboot Cycles(S3,S4,S5)</t>
  </si>
  <si>
    <t>CSS-IVE-101051</t>
  </si>
  <si>
    <t>Verify Type-C Concurrent support of x2 DP and Super Speed Functionality on Clod-plug</t>
  </si>
  <si>
    <t>CSS-IVE-101062</t>
  </si>
  <si>
    <t>Verify Type-C Concurrent support of Consumer,x4 DP and High Speed  device Functionality connected when SUT is in Sx (S3,S4,S5) State</t>
  </si>
  <si>
    <t>CSS-IVE-101086</t>
  </si>
  <si>
    <t>Verify Type-C Concurrent support of Consumer, HDMI Display, USB3 on Clod-plug</t>
  </si>
  <si>
    <t>CSS-IVE-101118</t>
  </si>
  <si>
    <t>Verify Type-C Concurrent support of Consumer,HDMI Display and USB2, device connected when SUT is in Sx (S3,S4,S5) state</t>
  </si>
  <si>
    <t>CSS-IVE-101132</t>
  </si>
  <si>
    <t>Verify Type-C Concurrent support of HDMI Display and USB3, device connected when SUT is in Deep Sx state</t>
  </si>
  <si>
    <t>CSS-IVE-101113</t>
  </si>
  <si>
    <t>deepSx</t>
  </si>
  <si>
    <t>Verify Type-C Concurrent support of x4 DP and High Speed Device Functionality before and after Connected Modern Standby states</t>
  </si>
  <si>
    <t>CSS-IVE-101056</t>
  </si>
  <si>
    <t>Verify Type-C Concurrent support of x2 DP and USB3 before and after Connected Modern Standby states</t>
  </si>
  <si>
    <t>CSS-IVE-101068</t>
  </si>
  <si>
    <t>Verify Type-C Concurrent support of x2 DP and USB3, device connected when SUT is in Connected Modern Standby states</t>
  </si>
  <si>
    <t>CSS-IVE-101070</t>
  </si>
  <si>
    <t>Verify Type-C Concurrent support of Consumer, x4 DP and High Speed device connected when SUT is in Connected Modern Standby states</t>
  </si>
  <si>
    <t>CSS-IVE-101090</t>
  </si>
  <si>
    <t>Verify Type-C Concurrent support of HDMI Display and USB3 before and after Connected Modern Standby states</t>
  </si>
  <si>
    <t>CSS-IVE-101114</t>
  </si>
  <si>
    <t>Verify Type-C Concurrent support of Consumer, HDMI Display and USB3, device connected when SUT is in Connected Modern Standby states</t>
  </si>
  <si>
    <t>CSS-IVE-101126</t>
  </si>
  <si>
    <t>Verify x4 DP display over Type-C on multiple hot plugs + secondary screen mode</t>
  </si>
  <si>
    <t>CSS-IVE-101045</t>
  </si>
  <si>
    <t>Verify Type-C Concurrent support of x2 DP and USB3 before/after Sx (S3,S4,S5) and Reboot Cycles</t>
  </si>
  <si>
    <t>CSS-IVE-101063</t>
  </si>
  <si>
    <t>Verify Type-C Concurrent support of Consumer, x2 DP and USB3 on Hot-Plug device after Sx (S3,S4,S5) and Reboot Cycles</t>
  </si>
  <si>
    <t>CSS-IVE-101075</t>
  </si>
  <si>
    <t>Verify Type-C HDMI Display multiple hot plugs + secondary screen mode</t>
  </si>
  <si>
    <t>CSS-IVE-101095</t>
  </si>
  <si>
    <t>Verify Type-C Concurrent support of HDMI Display and USB2, device connected when SUT is in Sx (S3,S4,S5) state</t>
  </si>
  <si>
    <t>CSS-IVE-101102</t>
  </si>
  <si>
    <t>Verify Type-C Concurrent support of HDMI Display and USB3 before/after Sx (S3,S4,S5) and Reboot Cycles</t>
  </si>
  <si>
    <t>CSS-IVE-101109</t>
  </si>
  <si>
    <t>Verify Type-C Concurrent support of HDMI Display and USB2 before and after Connected Modern Standby states</t>
  </si>
  <si>
    <t>CSS-IVE-101104</t>
  </si>
  <si>
    <t>Verify Type-C Concurrent support of HDMI Display and USB3, device connected when SUT is in Connected Modern Standby states</t>
  </si>
  <si>
    <t>CSS-IVE-101116</t>
  </si>
  <si>
    <t>Verify Type-C Concurrent support of Consumer, HDMI Display and USB2 before and after Connected Modern Standby states</t>
  </si>
  <si>
    <t>CSS-IVE-101134</t>
  </si>
  <si>
    <t>Verify Type-C Concurrent support of x4 DP and High Speed device connected when SUT is in Connected Modern Standby states</t>
  </si>
  <si>
    <t>CSS-IVE-101058</t>
  </si>
  <si>
    <t>Verify x4 DP display over Type-C in clone/duplicate mode after cold and warm boot</t>
  </si>
  <si>
    <t>CSS-IVE-101042</t>
  </si>
  <si>
    <t>Verify Type-C Concurrent support of x4 DP ( clone mode ) and High Speed on Hot-plug</t>
  </si>
  <si>
    <t>CSS-IVE-101047</t>
  </si>
  <si>
    <t>Verify Type-C Concurrent support of x4 DP and High Speed on Hot-Plug device after Sx (S3,S4,S5) and Reboot Cycles</t>
  </si>
  <si>
    <t>CSS-IVE-101053</t>
  </si>
  <si>
    <t>Verify Type-C Concurrent support of x2 DP ( Extended Mode ) and USB3 on Hot-plug</t>
  </si>
  <si>
    <t>CSS-IVE-101060</t>
  </si>
  <si>
    <t>Verify Type-C Concurrent support of x2 DP and Super Speed Device Functionality on Hot-Plug device after Sx (S3,S4,S5) and Reboot Cycles</t>
  </si>
  <si>
    <t>CSS-IVE-101065</t>
  </si>
  <si>
    <t>Verify Type-C Concurrent support of Consumer, x2 DP, USB3 on Clod-plug</t>
  </si>
  <si>
    <t>CSS-IVE-101072</t>
  </si>
  <si>
    <t>Verify Type-C Concurrent support of HDMI Display and USB2 before/after Sx (S3,S4,S5)
 and Reboot Cycles</t>
  </si>
  <si>
    <t>CSS-IVE-101099</t>
  </si>
  <si>
    <t>Verify Type-C Concurrent support of Consumer, HDMI Display, USB2 on Clod-plug</t>
  </si>
  <si>
    <t>CSS-IVE-101128</t>
  </si>
  <si>
    <t>Verify Type-C Concurrent support of x4 DP and High Speed on hot-plug after Connected Modern Standby states</t>
  </si>
  <si>
    <t>CSS-IVE-101057</t>
  </si>
  <si>
    <t>Verify Type-C Concurrent support of Consumer, x4 DP and High Speed Device Functionality before and after Connected Modern Standby states</t>
  </si>
  <si>
    <t>CSS-IVE-101088</t>
  </si>
  <si>
    <t>Verify Type-C Concurrent support of x4 DP and High Speed Device functionality before/after Deep Sx and Reboot Cycles</t>
  </si>
  <si>
    <t>CSS-IVE-101052</t>
  </si>
  <si>
    <t>Verify Type-C Concurrent support of x2 DP and USB3 before/after Deep Sx and Reboot Cycles</t>
  </si>
  <si>
    <t>CSS-IVE-101064</t>
  </si>
  <si>
    <t>update from CO</t>
  </si>
  <si>
    <t>Verify Type-C Concurrent support of HDMI Display and USB2, device connected when SUT is in Deep Sx state</t>
  </si>
  <si>
    <t>CSS-IVE-101103</t>
  </si>
  <si>
    <t>Verify Type-C Concurrent support of HDMI Display and USB3 before/after Deep Sx and Reboot Cycles</t>
  </si>
  <si>
    <t>CSS-IVE-101110</t>
  </si>
  <si>
    <t>Verify x4 DP display over Type-C on multiple hot plugs + clone/duplicate mode</t>
  </si>
  <si>
    <t>CSS-IVE-101041</t>
  </si>
  <si>
    <t>Verify x4 DP display over Type-C in secondary screen mode after cold and warm boot</t>
  </si>
  <si>
    <t>CSS-IVE-101046</t>
  </si>
  <si>
    <t>Verify Type-C Concurrent support of x2 DP ( clone mode ) and USB3 on Hot-plug</t>
  </si>
  <si>
    <t>CSS-IVE-101059</t>
  </si>
  <si>
    <t>Verify Type-C Concurrent support of Consumer, x2 DP, USB3 on Hot-plug</t>
  </si>
  <si>
    <t>CSS-IVE-101071</t>
  </si>
  <si>
    <t>Verify Type-C Concurrent support of Consumer, x4 DP and High Speed Device Functionality before/after Sx (S3,S4,S5) and Reboot Cycles</t>
  </si>
  <si>
    <t>CSS-IVE-101083</t>
  </si>
  <si>
    <t>Verify Type-C Concurrent support of HDMI Display and USB3 on Clod-plug</t>
  </si>
  <si>
    <t>CSS-IVE-101108</t>
  </si>
  <si>
    <t>Verify Type-C Concurrent support of Consumer,HDMI Display and USB3, device connected when SUT is in Sx (S3,S4,S5)
 state</t>
  </si>
  <si>
    <t>CSS-IVE-101122</t>
  </si>
  <si>
    <t>Verify Type-C Concurrent support of Consumer, HDMI Display and USB2 before/after Sx (S3,S4,S5)_x000D_
 and Reboot Cycles</t>
  </si>
  <si>
    <t>CSS-IVE-101129</t>
  </si>
  <si>
    <t>Verify Type-C Concurrent support of Consumer, x2 DP and USB3 before and after Connected Modern Standby states</t>
  </si>
  <si>
    <t>CSS-IVE-101078</t>
  </si>
  <si>
    <t>Verify Type-C Concurrent support of Consumer, x2 DP and USB3, device connected when SUT is in Connected Modern Standby states</t>
  </si>
  <si>
    <t>CSS-IVE-101080</t>
  </si>
  <si>
    <t>Verify Type-C Concurrent support of Consumer, HDMI Display and USB3 before and after Connected Modern Standby states</t>
  </si>
  <si>
    <t>CSS-IVE-101124</t>
  </si>
  <si>
    <t>Verify Type-C Concurrent support of HDMI Display and USB2 before/after Deep Sx and Reboot Cycles</t>
  </si>
  <si>
    <t>CSS-IVE-101100</t>
  </si>
  <si>
    <t xml:space="preserve">DeepSx not applicable </t>
  </si>
  <si>
    <t>Verify x4 DP display over Type-C on multiple hot plugs + extended mode</t>
  </si>
  <si>
    <t>CSS-IVE-101043</t>
  </si>
  <si>
    <t>Verify Type-C Concurrent support of x4 DP ( Extended Mode ) and USB2 on Hot-plug</t>
  </si>
  <si>
    <t>CSS-IVE-101048</t>
  </si>
  <si>
    <t>Verify Type-C Concurrent support of x4 DP and High Speed device Functionality on Clod-plug</t>
  </si>
  <si>
    <t>CSS-IVE-101050</t>
  </si>
  <si>
    <t>Verify Type-C Concurrent support of x4 DP and High Speed Device Functionality connected when SUT is in Sx (S3,S4,S5 ) state</t>
  </si>
  <si>
    <t>CSS-IVE-101054</t>
  </si>
  <si>
    <t>Verify Type-C Concurrent support of x2 DP ( Secondary Screen only Mode ) and USB3 on Hot-plug</t>
  </si>
  <si>
    <t>CSS-IVE-101061</t>
  </si>
  <si>
    <t>Verify Type-C Concurrent support of x2 DP and High Speed device Functionality connected when SUT is in Sx (S3,S4,S5) state</t>
  </si>
  <si>
    <t>CSS-IVE-101066</t>
  </si>
  <si>
    <t>Verify Type-C Concurrent support of Consumer, x2 DP and USB3 before/after Sx (S3,S4,S5) and Reboot Cycles</t>
  </si>
  <si>
    <t>CSS-IVE-101073</t>
  </si>
  <si>
    <t>Verify Type-C Concurrent support of Consumer, x4 DP and High Speed on Hot-Plug device after Sx (S3,S4,S5) and Reboot Cycles</t>
  </si>
  <si>
    <t>CSS-IVE-101085</t>
  </si>
  <si>
    <t>Verify Type-C Concurrent support of HDMI Display and USB2 on Clod-plug</t>
  </si>
  <si>
    <t>CSS-IVE-101098</t>
  </si>
  <si>
    <t>Verify Type-C Concurrent support of Consumer, HDMI Display and USB3 before/after Sx (S3,S4,S5) and Reboot Cycles</t>
  </si>
  <si>
    <t>CSS-IVE-101119</t>
  </si>
  <si>
    <t>Verify Dual Controller Support - TBT3 Storage functionality after cold boot</t>
  </si>
  <si>
    <t>CSS-IVE-101261</t>
  </si>
  <si>
    <t>Verify Dual Controller Support - TBT3 Storage functionality on Hot-Plug</t>
  </si>
  <si>
    <t>CSS-IVE-101262</t>
  </si>
  <si>
    <t>Verify Dual Controller Support - TBT3 Storage functionality after S4, S5 and reboot cycles</t>
  </si>
  <si>
    <t>CSS-IVE-101263</t>
  </si>
  <si>
    <t>[TBT] Verify Boot to OS functionality on different TBT controller using TBT storage</t>
  </si>
  <si>
    <t>CSS-IVE-101264</t>
  </si>
  <si>
    <t>[TBT] Verify Boot to OS functionality on different TBT controller using legacy USB2.0 device</t>
  </si>
  <si>
    <t>CSS-IVE-101265</t>
  </si>
  <si>
    <t>Verify AET trace log capture through NPK</t>
  </si>
  <si>
    <t>CSS-IVE-101301</t>
  </si>
  <si>
    <t>Verify Package C10 Residency post Hibernation</t>
  </si>
  <si>
    <t>CSS-IVE-101379</t>
  </si>
  <si>
    <t>Verify multiple display output functionality over different Type-C/TBT Port on Cold plug - 2 TBT Displays</t>
  </si>
  <si>
    <t>CSS-IVE-101408</t>
  </si>
  <si>
    <t>ver withtbt display1</t>
  </si>
  <si>
    <t>Verify multiple display output functionality over different Type-C/TBT port on Cold plug - TBT, Type-C Display</t>
  </si>
  <si>
    <t>CSS-IVE-101420</t>
  </si>
  <si>
    <t>Verify multiple display output functionality over different Type-C/TBT port after Sx and reboot cycles - DP, HDMI display</t>
  </si>
  <si>
    <t>CSS-IVE-101427</t>
  </si>
  <si>
    <t>[TBT] Verify multiple display output when displays connected with 2nd TBT controller / different TBT Port on Hot plug - TBT, HDMI Display</t>
  </si>
  <si>
    <t>CSS-IVE-101439</t>
  </si>
  <si>
    <t>[TBT] Verify multiple display output when displays connected with 2nd TBT controller / different TBT Port after Sx and reboot cycles - TBT, Type-C Display</t>
  </si>
  <si>
    <t>CSS-IVE-101451</t>
  </si>
  <si>
    <t>[TBT] Verify multiple display output when displays connected with dual TBT controller after S4, S5 and reboot cycles - TBT, DP display</t>
  </si>
  <si>
    <t>CSS-IVE-101466</t>
  </si>
  <si>
    <t>[TBT] Verify multiple display output when displays connected with dual TBT controller after S4, S5 and reboot cycles - DP, HDMI display</t>
  </si>
  <si>
    <t>CSS-IVE-101471</t>
  </si>
  <si>
    <t>Verify Dual Controller Support - USB2.0 Disk functionality after cold boot</t>
  </si>
  <si>
    <t>CSS-IVE-101369</t>
  </si>
  <si>
    <t>Verify Dual Controller Support - USB2.0 Disk functionality on Hot-Plug</t>
  </si>
  <si>
    <t>CSS-IVE-101371</t>
  </si>
  <si>
    <t>Verify Dual Controller Support - USB3.1 Gen2 storage functionality after Sx and reboot cycles</t>
  </si>
  <si>
    <t>CSS-IVE-101376</t>
  </si>
  <si>
    <t>Verify Type-C multi port functionality - WinDBG,TBT-Display,TBT-SSD, TBT-Dock before/after Sx (S3,S4,S5) and reboot state</t>
  </si>
  <si>
    <t>CSS-IVE-101387</t>
  </si>
  <si>
    <t>vasanth</t>
  </si>
  <si>
    <t>Verify Type-C multi port functionality - Consumer,P2P, Provider,TBT-Display on Hot Plug</t>
  </si>
  <si>
    <t>CSS-IVE-101389</t>
  </si>
  <si>
    <t>inventory block Smartohone</t>
  </si>
  <si>
    <t>Verify Dual Controller Support - USB3.0/USB3.1 Gen1 storage functionality on Hot-Plug</t>
  </si>
  <si>
    <t>CSS-IVE-101374</t>
  </si>
  <si>
    <t>Verify Type-C multi port functionality - WinDBG,TBT-Display,TBT-SSD, TBT-Dock on Cold Plug</t>
  </si>
  <si>
    <t>CSS-IVE-101385</t>
  </si>
  <si>
    <t>3.0 debug cable</t>
  </si>
  <si>
    <t>Verify multiple display output functionality over different Type-C/TBT port on Cold plug - TBT, HDMI Display</t>
  </si>
  <si>
    <t>CSS-IVE-101406</t>
  </si>
  <si>
    <t>Verify multiple display output functionality over same Type-C/TBT port on Cold plug - Dual HDMI display</t>
  </si>
  <si>
    <t>CSS-IVE-101411</t>
  </si>
  <si>
    <t>Verify multiple display output functionality over same Type-C/TBT port on Hot plug - Dual DP display</t>
  </si>
  <si>
    <t>CSS-IVE-101418</t>
  </si>
  <si>
    <t>Verify multiple display output functionality over different Type-C/TBT port after Sx and reboot cycles - TBT, VGA Display</t>
  </si>
  <si>
    <t>CSS-IVE-101425</t>
  </si>
  <si>
    <t xml:space="preserve">verified with VGA Display Video </t>
  </si>
  <si>
    <t>Verify multiple display output functionality over different Type-C/TBT port after Sx and reboot cycles - TBT, Type-C Display</t>
  </si>
  <si>
    <t>CSS-IVE-101430</t>
  </si>
  <si>
    <t>Verify multiple display output when displays connected with 2nd TBT controller / different TBT Port on Hot plug - TBT, DP display</t>
  </si>
  <si>
    <t>CSS-IVE-101437</t>
  </si>
  <si>
    <t>Verify multiple display output when displays connected with 2nd TBT controller / different TBT Port on Hot plug - DP, HDMI display</t>
  </si>
  <si>
    <t>CSS-IVE-101442</t>
  </si>
  <si>
    <t>Verify multiple display output when displays connected with 2nd TBT controller / different TBT Port on Hot plug - TBT, Type-C Display</t>
  </si>
  <si>
    <t>CSS-IVE-101444</t>
  </si>
  <si>
    <t>Verify multiple display output when displays connected with 2nd TBT controller / different TBT Port after S4, S5 and warm reboot cycles - 2 TBT Displays</t>
  </si>
  <si>
    <t>CSS-IVE-101449</t>
  </si>
  <si>
    <t>Verify multiple display output when displays connected with dual TBT controller on Cold plug - 2 TBT Displays</t>
  </si>
  <si>
    <t>CSS-IVE-101456</t>
  </si>
  <si>
    <t>Verify USB2 DbC Functionality in low power state</t>
  </si>
  <si>
    <t>CSS-IVE-101317</t>
  </si>
  <si>
    <t>2dbc</t>
  </si>
  <si>
    <t>Verify Dual Controller Support - USB3.0/USB3.1 Gen1 storage functionality after cold boot</t>
  </si>
  <si>
    <t>CSS-IVE-101372</t>
  </si>
  <si>
    <t>Verify Dual Controller Support - USB3.1 Gen2 storage functionality on Hot-Plug</t>
  </si>
  <si>
    <t>CSS-IVE-101377</t>
  </si>
  <si>
    <t>Verify Type-C multi port functionality - Consumer,P2P, Provider,TBT-Display on Cold Plug</t>
  </si>
  <si>
    <t>CSS-IVE-101388</t>
  </si>
  <si>
    <t>inventory block Smartphone</t>
  </si>
  <si>
    <t>Verify Type-C multi port functionality - Consumer,P2P, Provider,TBT-Display before/after Sx and reboot state</t>
  </si>
  <si>
    <t>CSS-IVE-101390</t>
  </si>
  <si>
    <t>inventory block smartphone</t>
  </si>
  <si>
    <t>Verify multiple display output functionality over different Type-C/TBT port on Cold plug - TBT, DP display</t>
  </si>
  <si>
    <t>CSS-IVE-101404</t>
  </si>
  <si>
    <t>Verify multiple display output functionality over different Type-C/TBT port on Cold plug - DP, HDMI display</t>
  </si>
  <si>
    <t>CSS-IVE-101409</t>
  </si>
  <si>
    <t>Verify multiple display output functionality over different Type-C/TBT port on Hot plug - 2 TBT Displays</t>
  </si>
  <si>
    <t>CSS-IVE-101416</t>
  </si>
  <si>
    <t>Verify multiple display output functionality over different Type-C/TBT port on Hot plug - TBT, Type-C Display</t>
  </si>
  <si>
    <t>CSS-IVE-101421</t>
  </si>
  <si>
    <t>Verify multiple display output functionality over same Type-C/TBT port after Sx and reboot cycles - Dual DP display</t>
  </si>
  <si>
    <t>CSS-IVE-101428</t>
  </si>
  <si>
    <t>Verify multiple display output when displays connected with 2nd TBT controller / different TBT Port on Cold plug - 2 TBT Displays</t>
  </si>
  <si>
    <t>CSS-IVE-101435</t>
  </si>
  <si>
    <t>Verify multiple display output when displays connected with 2nd TBT controller / different TBT Port after Sx and reboot cycles - TBT, HDMI Display</t>
  </si>
  <si>
    <t>CSS-IVE-101447</t>
  </si>
  <si>
    <t>Verify multiple display output when displays connected with dual TBT controller after S4, S5 and reboot cycles - TBT, Type-C Display</t>
  </si>
  <si>
    <t>CSS-IVE-101472</t>
  </si>
  <si>
    <t>Verify Dual Controller Support - USB3.0/USB3.1 Gen1 storage functionality after Sx and reboot cycles</t>
  </si>
  <si>
    <t>CSS-IVE-101373</t>
  </si>
  <si>
    <t>Verify Type-C multi port functionality - USB Hub, HDMI,TBT eGFx,Consumer on Cold Plug</t>
  </si>
  <si>
    <t>CSS-IVE-101391</t>
  </si>
  <si>
    <t>Verify multiple display output functionality over same Type-C/TBT port on Cold plug - Dual DP display</t>
  </si>
  <si>
    <t>CSS-IVE-101410</t>
  </si>
  <si>
    <t>Verify multiple display output functionality over different Type-C/TBT port on Hot plug - DP, HDMI display</t>
  </si>
  <si>
    <t>CSS-IVE-101417</t>
  </si>
  <si>
    <t>Verify multiple display output functionality over different Type-C/TBT port after Sx and reboot cycles - TBT, DP display</t>
  </si>
  <si>
    <t>CSS-IVE-101422</t>
  </si>
  <si>
    <t>Verify multiple display output functionality over different Type-C/TBT port after Sx and reboot cycles - TBT, HDMI Display</t>
  </si>
  <si>
    <t>CSS-IVE-101424</t>
  </si>
  <si>
    <t>Verify multiple display output functionality over same Type-C/TBT port after Sx and reboot cycles - Dual HDMI display</t>
  </si>
  <si>
    <t>CSS-IVE-101429</t>
  </si>
  <si>
    <t>Verify multiple display output when displays connected with 2nd TBT controller / different TBT Port on Cold plug - DP, HDMI display</t>
  </si>
  <si>
    <t>CSS-IVE-101436</t>
  </si>
  <si>
    <t>Verify multiple display output when displays connected with 2nd TBT controller / different TBT Port on Hot plug - 2 TBT Displays</t>
  </si>
  <si>
    <t>CSS-IVE-101441</t>
  </si>
  <si>
    <t>Verify multiple display output when displays connected with 2nd TBT controller / different TBT Port on Cold plug - TBT, Type-C Display</t>
  </si>
  <si>
    <t>CSS-IVE-101443</t>
  </si>
  <si>
    <t>Verify multiple display output when displays connected with dual TBT controller on Hot plug - TBT, HDMI Display</t>
  </si>
  <si>
    <t>CSS-IVE-101460</t>
  </si>
  <si>
    <t>Verify multiple display output when displays connected with dual TBT controller on Hot plug - DP, HDMI display</t>
  </si>
  <si>
    <t>CSS-IVE-101463</t>
  </si>
  <si>
    <t>Verify multiple display output when displays connected with dual TBT controller after S4, S5 and reboot cycles - TBT, HDMI Display</t>
  </si>
  <si>
    <t>CSS-IVE-101468</t>
  </si>
  <si>
    <t>Verify Dual Controller Support - USB2.0 Disk functionality after Sx and reboot cycles</t>
  </si>
  <si>
    <t>CSS-IVE-101370</t>
  </si>
  <si>
    <t>Verify Dual Controller Support - USB3.1 Gen2 storage functionality after cold boot</t>
  </si>
  <si>
    <t>CSS-IVE-101375</t>
  </si>
  <si>
    <t>Verify Type-C multi port functionality - USB Hub, HDMI,TBT eGFx,Consumer before/after Sx and reboot state</t>
  </si>
  <si>
    <t>CSS-IVE-101393</t>
  </si>
  <si>
    <t>Verify multiple display output functionality over different Type-C/TBT port on Hot plug - TBT, DP display</t>
  </si>
  <si>
    <t>CSS-IVE-101412</t>
  </si>
  <si>
    <t>Verify multiple display output functionality over different Type-C/TBT port on Hot plug - TBT, HDMI Display</t>
  </si>
  <si>
    <t>CSS-IVE-101414</t>
  </si>
  <si>
    <t>Verify multiple display output functionality over same Type-C/TBT port on Hot plug - Dual HDMI display</t>
  </si>
  <si>
    <t>CSS-IVE-101419</t>
  </si>
  <si>
    <t>Verify multiple display output functionality over different Type-C/TBT port after S4, S5 and warm reboot cycles - 2 TBT Displays</t>
  </si>
  <si>
    <t>CSS-IVE-101426</t>
  </si>
  <si>
    <t>ver with tbt display1</t>
  </si>
  <si>
    <t>Verify multiple display output when displays connected with 2nd TBT controller / different TBT Port on Cold plug - TBT, DP display</t>
  </si>
  <si>
    <t>CSS-IVE-101431</t>
  </si>
  <si>
    <t>Verify multiple display output when displays connected with 2nd TBT controller / different TBT Port on Cold plug - TBT, HDMI Display</t>
  </si>
  <si>
    <t>CSS-IVE-101433</t>
  </si>
  <si>
    <t>Verify multiple display output when displays connected with 2nd TBT controller / different TBT Port after S4, S5 and warm reboot cycles - TBT, DP display</t>
  </si>
  <si>
    <t>CSS-IVE-101445</t>
  </si>
  <si>
    <t>Verify multiple display output when displays connected with 2nd TBT controller / different TBT Port after S4, S5 and reboot cycles - DP, HDMI display</t>
  </si>
  <si>
    <t>CSS-IVE-101450</t>
  </si>
  <si>
    <t>Verify multiple display output when displays connected with dual TBT controller after S4, S5 and warm reboot cycles - 2 TBT Displays</t>
  </si>
  <si>
    <t>CSS-IVE-101470</t>
  </si>
  <si>
    <t>ver with 1 tbt display</t>
  </si>
  <si>
    <t>Verify Type-C multi port functionality - WinDBG,TBT-Display,TBT-SSD, TBT-Dock on Hot Plug</t>
  </si>
  <si>
    <t>CSS-IVE-101386</t>
  </si>
  <si>
    <t>Verify SMBIOS 3.0 Support</t>
  </si>
  <si>
    <t>CSS-IVE-80025</t>
  </si>
  <si>
    <t>BIOS should update the changes for SMBIOS type 32 [System boot Information]</t>
  </si>
  <si>
    <t>CSS-IVE-101595</t>
  </si>
  <si>
    <t>BIOS should update the changes for SMBIOS type 9 [System Slots]</t>
  </si>
  <si>
    <t>CSS-IVE-101597</t>
  </si>
  <si>
    <t>values missmatching</t>
  </si>
  <si>
    <t>Verify the Wake-up Type under SMBIOS Type 1</t>
  </si>
  <si>
    <t>CSS-IVE-101598</t>
  </si>
  <si>
    <t>BIOS shall send the DRAM_INIT_DONE message &amp; complete GFX initialization before getting the boot options</t>
  </si>
  <si>
    <t>CSS-IVE-102063</t>
  </si>
  <si>
    <t>Verify TBT Concurrent support of Consumer,HDMI Display and USB3, device connected when SUT is in Sx state</t>
  </si>
  <si>
    <t>CSS-IVE-102097</t>
  </si>
  <si>
    <t>Verify TBT Concurrent support of Consumer, HDMI Display, USB2 on Hot-plug</t>
  </si>
  <si>
    <t>CSS-IVE-102098</t>
  </si>
  <si>
    <t>Verify TBT Concurrent support of Consumer, HDMI Display, USB2 on Clod-plug</t>
  </si>
  <si>
    <t>CSS-IVE-102099</t>
  </si>
  <si>
    <t>Verify TBT Concurrent support of Consumer, HDMI Display and USB2 before/after Sx and Reboot Cycles</t>
  </si>
  <si>
    <t>CSS-IVE-102100</t>
  </si>
  <si>
    <t>Verify TBT Concurrent support of Consumer,HDMI Display and USB2, device connected when SUT is in Sx state</t>
  </si>
  <si>
    <t>CSS-IVE-102101</t>
  </si>
  <si>
    <t>Verify TBT Concurrent support of Consumer, x4 DP and USB3 device connected Via Dock when SUT is in Sx state</t>
  </si>
  <si>
    <t>CSS-IVE-102085</t>
  </si>
  <si>
    <t>Verify TBT Concurrent support of Consumer, HDMI Display, USB3 on Hot-plug</t>
  </si>
  <si>
    <t>CSS-IVE-102094</t>
  </si>
  <si>
    <t>Verify TBT Concurrent support of Consumer, HDMI Display, USB3 on Clod-plug</t>
  </si>
  <si>
    <t>CSS-IVE-102095</t>
  </si>
  <si>
    <t>Verify TBT Concurrent support of Consumer, x2 DP and USB3 before/after Sx and Reboot Cycles</t>
  </si>
  <si>
    <t>CSS-IVE-102080</t>
  </si>
  <si>
    <t>BIOS Hotkey combination (CTRL-ALT-F1) should not display by the BIOS during KVM/SoL session and while Intel  AMT is disabled</t>
  </si>
  <si>
    <t>CSS-IVE-102139</t>
  </si>
  <si>
    <t>BIOS should update the changes for Physical Memory Array (Type 16)</t>
  </si>
  <si>
    <t>CSS-IVE-102142</t>
  </si>
  <si>
    <t>BIOS should update the changes for Memory Array Mapped Address (Type 19)</t>
  </si>
  <si>
    <t>CSS-IVE-102143</t>
  </si>
  <si>
    <t>Verify system wakes from Hibernate state with "Low Power S0 Idle Capability" enabled</t>
  </si>
  <si>
    <t>CSS-IVE-101820</t>
  </si>
  <si>
    <t>Verify RTD3 flow support for XDCI controller</t>
  </si>
  <si>
    <t>CSS-IVE-102434</t>
  </si>
  <si>
    <t>Verify RTD3 flow support for USB pendrive connected over USB3.0 port</t>
  </si>
  <si>
    <t>CSS-IVE-102442</t>
  </si>
  <si>
    <t>Verify BIOS enables ISH Trunk Clock gating</t>
  </si>
  <si>
    <t>CSS-IVE-86380</t>
  </si>
  <si>
    <t>sensor</t>
  </si>
  <si>
    <t>Verify SUT support Debug Trace log capture - Route traces to System Memory</t>
  </si>
  <si>
    <t>CSS-IVE-103720</t>
  </si>
  <si>
    <t>CLID- 8930</t>
  </si>
  <si>
    <t>Verify System trace - Route traces to USB Type-C in low power mode</t>
  </si>
  <si>
    <t>CSS-IVE-103777</t>
  </si>
  <si>
    <t>cca debugger</t>
  </si>
  <si>
    <t>Verify USB3.1 DbC Functionality during and after BIOS boot</t>
  </si>
  <si>
    <t>CSS-IVE-103778</t>
  </si>
  <si>
    <t>3dbc</t>
  </si>
  <si>
    <t>Verify CNVi Bluetooth Functionality in OS before / after Connected Standby (CMS) cycle</t>
  </si>
  <si>
    <t>CSS-IVE-105406</t>
  </si>
  <si>
    <t>Verify CNVi WLAN Functionality in OS before / after Connected Standby (CMS) cycle</t>
  </si>
  <si>
    <t>CSS-IVE-105408</t>
  </si>
  <si>
    <t>LED IS OFF</t>
  </si>
  <si>
    <t>Verify Touchpad functionality pre and post Connected Standby (CMS) cycle</t>
  </si>
  <si>
    <t>CSS-IVE-105417</t>
  </si>
  <si>
    <t>Verify WWAN functionality pre and post Connected Standby (CMS) cycle</t>
  </si>
  <si>
    <t>CSS-IVE-105422</t>
  </si>
  <si>
    <t>Validate concurrent support of Windbg debug and data transfer over Type-C port</t>
  </si>
  <si>
    <t>CSS-IVE-105530</t>
  </si>
  <si>
    <t>CLID- 8733</t>
  </si>
  <si>
    <t>Validate concurrent support of Windbg and DbC debug trace over same Type-C port</t>
  </si>
  <si>
    <t>CSS-IVE-105532</t>
  </si>
  <si>
    <t>Validate concurrent support of USB3.0 DbC and data transfer over Type-C port</t>
  </si>
  <si>
    <t>CSS-IVE-105533</t>
  </si>
  <si>
    <t>Verify concurrent support of debug and USB data transfer over Type-C port</t>
  </si>
  <si>
    <t>CSS-IVE-105534</t>
  </si>
  <si>
    <t>Verify USB3.2 Gen 2 device enumeration and functionality over USB2.0 Type-A port</t>
  </si>
  <si>
    <t>CSS-IVE-105542</t>
  </si>
  <si>
    <t>Verify system shutdown/reboot via Hardware buttons on Modern standby enabled system</t>
  </si>
  <si>
    <t>CSS-IVE-105544</t>
  </si>
  <si>
    <t>Verify enable/disable USB controller in device manager</t>
  </si>
  <si>
    <t>CSS-IVE-105546</t>
  </si>
  <si>
    <t>Verify USB device functionality by disable/enable USB Overcurrent option in BIOS across Sx (S3,S4,S5) and warm reboot cycle</t>
  </si>
  <si>
    <t>CSS-IVE-105551</t>
  </si>
  <si>
    <t>Verify firmware Version Info (FVI) for Reference Code - CPU</t>
  </si>
  <si>
    <t>CSS-IVE-105596</t>
  </si>
  <si>
    <t>BIOS shall hide the Intel MEI #4(HECI 4) prior to OS boot.</t>
  </si>
  <si>
    <t>CSS-IVE-105697</t>
  </si>
  <si>
    <t>Verify System wakes from C-MoS using USB-Mouse connected to USB Type-C port</t>
  </si>
  <si>
    <t>CSS-IVE-105831</t>
  </si>
  <si>
    <t>Verify BIOS should provide the options to enable/disable for PEP CSME PCI device and should pass all PEP Constraints</t>
  </si>
  <si>
    <t>CSS-IVE-105859</t>
  </si>
  <si>
    <t>Verify RTD3 support for NVME SSD</t>
  </si>
  <si>
    <t>CSS-IVE-108360</t>
  </si>
  <si>
    <t>Verify BIOS should support to enable PEP constrain on Gbe and should pass all PEP Constraints</t>
  </si>
  <si>
    <t>CSS-IVE-108387</t>
  </si>
  <si>
    <t>Verify Crash dump error state register status when SUT is in crash state</t>
  </si>
  <si>
    <t>CSS-IVE-113685</t>
  </si>
  <si>
    <t>Verify BIOS construct BERT ACPI table through SST tool</t>
  </si>
  <si>
    <t>CSS-IVE-113717</t>
  </si>
  <si>
    <t>Verify SUT support Debug Trace log capture - System Telemetry for low power debug</t>
  </si>
  <si>
    <t>CSS-IVE-113713</t>
  </si>
  <si>
    <t>Verify USB2 DbC Functionality over Type-C Port in low power state</t>
  </si>
  <si>
    <t>CSS-IVE-113643</t>
  </si>
  <si>
    <t>2dbc type c</t>
  </si>
  <si>
    <t>Verify USB3 DbC Functionality during and after BIOS boot using Type C</t>
  </si>
  <si>
    <t>CSS-IVE-113645</t>
  </si>
  <si>
    <t>3dbc type c</t>
  </si>
  <si>
    <t>Verify if SUT boots to UEFI when no other boot options available</t>
  </si>
  <si>
    <t>CSS-IVE-113839</t>
  </si>
  <si>
    <t>Verify Bios have option to Enable/Disable DAM</t>
  </si>
  <si>
    <t>CSS-IVE-113725</t>
  </si>
  <si>
    <t>DAM disable ifwi</t>
  </si>
  <si>
    <t>Verify WWAN enter D3 and achieve L1.2 ASPM substates</t>
  </si>
  <si>
    <t>CSS-IVE-114270</t>
  </si>
  <si>
    <t>Verify Sx (S3,S4,S5) functionality after enabling External V1P05 Rail in BIOS (FIVR Settings)</t>
  </si>
  <si>
    <t>CSS-IVE-114559</t>
  </si>
  <si>
    <t>Verify Sx (S3,S4,S5) functionality after enabling External Vnn Rail in BIOS (FIVR Settings)</t>
  </si>
  <si>
    <t>CSS-IVE-114601</t>
  </si>
  <si>
    <t>Verify Sx (S3,S4,S5) functionality after enabling "Override External Vnn Rail settings in Sx settings" in BIOS (FIVR Settings)</t>
  </si>
  <si>
    <t>CSS-IVE-114612</t>
  </si>
  <si>
    <t>Verify Sx (S3,S4,S5) functionality after enabling "PCH FIVR dynamic power management" in BIOS (FIVR Settings)</t>
  </si>
  <si>
    <t>CSS-IVE-114613</t>
  </si>
  <si>
    <t>Verify that FACP table has proper revision ID"s as per the ACPI 6.0 spec.</t>
  </si>
  <si>
    <t>CSS-IVE-114619</t>
  </si>
  <si>
    <t>BIOS should not invoke the Intel MEBx and should hide Intel MEBx hotkey entry during CSME Disable</t>
  </si>
  <si>
    <t>CSS-IVE-114670</t>
  </si>
  <si>
    <t>Verify platform UEFI Class-III support</t>
  </si>
  <si>
    <t>CSS-IVE-114728</t>
  </si>
  <si>
    <t>BIOS should update the changes for SMBIOS type 3 [System Enclosure or Chassis]</t>
  </si>
  <si>
    <t>CSS-IVE-114944</t>
  </si>
  <si>
    <t>Verify BIOS shall display setup option to enable or disabled PPIN.</t>
  </si>
  <si>
    <t>CSS-IVE-114947</t>
  </si>
  <si>
    <t>Verify PPIN Feature when SUT is in Manufacturing mode</t>
  </si>
  <si>
    <t>CSS-IVE-114971</t>
  </si>
  <si>
    <t>Verify SUT ability to Start Storage Redirection Session over Wireless LAN post S3 cycle</t>
  </si>
  <si>
    <t>CSS-IVE-113732</t>
  </si>
  <si>
    <t>ver s3 in sut</t>
  </si>
  <si>
    <t>Verify SUT ability to Start Storage Redirection Session over Wireless LAN post S4 cycle</t>
  </si>
  <si>
    <t>CSS-IVE-115070</t>
  </si>
  <si>
    <t>ver s4 in sut</t>
  </si>
  <si>
    <t>Verify SUT ability to Start Storage Redirection Session over Wireless LAN post S5 cycle</t>
  </si>
  <si>
    <t>CSS-IVE-115071</t>
  </si>
  <si>
    <t>ver s5 in sut</t>
  </si>
  <si>
    <t>Verify SUT ability to Start Storage Redirection Session over Wireless LAN post CMS cycle</t>
  </si>
  <si>
    <t>CSS-IVE-115072</t>
  </si>
  <si>
    <t>Verify Sx and reboot cycles with ISH disabled</t>
  </si>
  <si>
    <t>CSS-IVE-114796</t>
  </si>
  <si>
    <t>Verify Ability to get debug logs with different serial debug messages settings</t>
  </si>
  <si>
    <t>CSS-IVE-114358</t>
  </si>
  <si>
    <t>verify TBT D3 flow when APSM is in L1.2 state</t>
  </si>
  <si>
    <t>CSS-IVE-114361</t>
  </si>
  <si>
    <t>verified with D3 hot</t>
  </si>
  <si>
    <t>verify TBT D3 flow when APSM is in L1.1,L1.2 state</t>
  </si>
  <si>
    <t>CSS-IVE-114362</t>
  </si>
  <si>
    <t>verify TBT D3 flow when APSM is in L1.1 state</t>
  </si>
  <si>
    <t>CSS-IVE-114363</t>
  </si>
  <si>
    <t>Verify USB3 DbC enumeration over Type-C by Enable/Disable USB Overcurrent option in BIOS</t>
  </si>
  <si>
    <t>CSS-IVE-115194</t>
  </si>
  <si>
    <t>Verify BIOS ACPI debug messages capture during TBT device hot-plug/un-plug events</t>
  </si>
  <si>
    <t>CSS-IVE-105588</t>
  </si>
  <si>
    <t>Verify System trace - Route traces to USB Type-C in S0ix</t>
  </si>
  <si>
    <t>CSS-IVE-114366</t>
  </si>
  <si>
    <t>Verify the stability of AMT storage redirection session over TBT vPro dock post S3cycle</t>
  </si>
  <si>
    <t>CSS-IVE-115221</t>
  </si>
  <si>
    <t>Verify the stability of AMT WEBUI session over TBT vPro dock post S4 cycle</t>
  </si>
  <si>
    <t>CSS-IVE-115223</t>
  </si>
  <si>
    <t>Verify the stability of AMT storage redirection session over TBT vPro dock post S5 cycle</t>
  </si>
  <si>
    <t>CSS-IVE-115224</t>
  </si>
  <si>
    <t>Verify the stability of AMT storage redirection session over TBT vPro dock post CMS cycle</t>
  </si>
  <si>
    <t>CSS-IVE-115225</t>
  </si>
  <si>
    <t>Verify Sensor Device Temperature value in BIOS and OS</t>
  </si>
  <si>
    <t>CSS-IVE-115306</t>
  </si>
  <si>
    <t>power_management.thermal_sensor</t>
  </si>
  <si>
    <t>Verify if BIOS displays Firmware Status 1, Status 2 values</t>
  </si>
  <si>
    <t>CSS-IVE-115612</t>
  </si>
  <si>
    <t>Verify PSMI Configuration through control register using PythonSV tool</t>
  </si>
  <si>
    <t>CSS-IVE-114276</t>
  </si>
  <si>
    <t>Verify Bios an option to Enable/Disable INT3400 Device participants</t>
  </si>
  <si>
    <t>CSS-IVE-116719</t>
  </si>
  <si>
    <t>Verify OS does not have Sleep (S3) option after disabling "ACPI S3 Support" in bios</t>
  </si>
  <si>
    <t>CSS-IVE-116727</t>
  </si>
  <si>
    <t>Passed</t>
  </si>
  <si>
    <t>Verify OS does not have Hibernation option after disabling "Enable Hibernation" in bios</t>
  </si>
  <si>
    <t>CSS-IVE-116728</t>
  </si>
  <si>
    <t>Verify Support of USPL ACPI methods for Power Participant</t>
  </si>
  <si>
    <t>CSS-IVE-116753</t>
  </si>
  <si>
    <t>Verify memory Reservation for Trace Regions and PSMI handler</t>
  </si>
  <si>
    <t>CSS-IVE-113714</t>
  </si>
  <si>
    <t>Verify Coexistence of WiFi,Bluetooth and WWAN enumeration and functionality in OS after S3, S4, S5, Warm and cold reboot cycles</t>
  </si>
  <si>
    <t>CSS-IVE-117094</t>
  </si>
  <si>
    <t>WWAN</t>
  </si>
  <si>
    <t>Verify Coexistence of WiFi,Bluetooth and WWAN enumeration and functionality in OS after connected modern standby state</t>
  </si>
  <si>
    <t>CSS-IVE-117096</t>
  </si>
  <si>
    <t>Verify bios debug log for BIOS-PMC Interface and P-code mailbox information</t>
  </si>
  <si>
    <t>CSS-IVE-117335</t>
  </si>
  <si>
    <t>CLID- 9309</t>
  </si>
  <si>
    <t>Verify PSMI handler memory Reservation and configuring trace regions as WC/WB memory in BIOS</t>
  </si>
  <si>
    <t>CSS-IVE-117465</t>
  </si>
  <si>
    <t>CLIID-8783</t>
  </si>
  <si>
    <t>Verify PSMI handler memory Reservation and configuring trace regions as don"t care in BIOS</t>
  </si>
  <si>
    <t>CSS-IVE-117466</t>
  </si>
  <si>
    <t>CLID-8578</t>
  </si>
  <si>
    <t>Verify memory Reservation for PSMI handler and not Trace Regions</t>
  </si>
  <si>
    <t>CSS-IVE-117321</t>
  </si>
  <si>
    <t>CLID-8432</t>
  </si>
  <si>
    <t>Verify Power Consumption by SoC, PCH and Memory using "Power Meter" tool</t>
  </si>
  <si>
    <t>CSS-IVE-114727</t>
  </si>
  <si>
    <t>Verify bios an option to enable/disable "Intel Turbo Boost Max Technology 3.0"</t>
  </si>
  <si>
    <t>CSS-IVE-117487</t>
  </si>
  <si>
    <t>Verify WWAN functionality pre and post reboot cycles</t>
  </si>
  <si>
    <t>CSS-IVE-117676</t>
  </si>
  <si>
    <t>Verify new audio Offload ACPI table/indication for CNV's Bluetooth</t>
  </si>
  <si>
    <t>CSS-IVE-117952</t>
  </si>
  <si>
    <t>CLID- 9310</t>
  </si>
  <si>
    <t>Verify NPK Trace log generated with SVENTX events when Release BIOS flashed</t>
  </si>
  <si>
    <t>CSS-IVE-117992</t>
  </si>
  <si>
    <t>CCA-Debugge</t>
  </si>
  <si>
    <t>Verify CPU frequency throttles when core temperature exceeds passive trip point with DTS SMM enabled and DTT disabled post Sx</t>
  </si>
  <si>
    <t>CSS-IVE-117981</t>
  </si>
  <si>
    <t>Verify CPU FAN rotate when core temperature exceeds Active trip point with DTS SMM enabled and DTT disabled in BIOS after Sx (S4/S5)</t>
  </si>
  <si>
    <t>CSS-IVE-117983</t>
  </si>
  <si>
    <t>Verify system shutdowns when core temperature exceeds Critical trip point with DTS SMM enabled and DTT disabled in BIOS post Sx</t>
  </si>
  <si>
    <t>CSS-IVE-117985</t>
  </si>
  <si>
    <t>swetha</t>
  </si>
  <si>
    <t>Verify Critical/Active/Passive trip point with DTS SMM enabled and DTT disabled in BIOS after S3</t>
  </si>
  <si>
    <t>CSS-IVE-117986</t>
  </si>
  <si>
    <t>Verify Critical/Active/Passive trip point with DTS SMM enabled and DTT disabled in BIOS after S0i3/CMS</t>
  </si>
  <si>
    <t>CSS-IVE-117987</t>
  </si>
  <si>
    <t>Verify GUID of ACPI &amp; SMBIOS table</t>
  </si>
  <si>
    <t>CSS-IVE-105604</t>
  </si>
  <si>
    <t>Verify BIOS set up option to enable/disable S0ix Auto Demotion</t>
  </si>
  <si>
    <t>CSS-IVE-111672</t>
  </si>
  <si>
    <t>Verify and validate Setup option for C10 exit Debug latch event</t>
  </si>
  <si>
    <t>CSS-IVE-111673</t>
  </si>
  <si>
    <t>ITMB</t>
  </si>
  <si>
    <t>Verify Bios setup option to enable/disable PMC SLP_SX stretch policy lock (PWRMBASE + offset 1024 , bit 18)</t>
  </si>
  <si>
    <t>CSS-IVE-111671</t>
  </si>
  <si>
    <t>Verify Bios set up option to enable/disable PMC Debug Mode Lock (PWRMBASE + offset 1818 , bit 27 )</t>
  </si>
  <si>
    <t>CSS-IVE-118051</t>
  </si>
  <si>
    <t>Verify TBT-vPRO-Dock information under Intel Manageability and security status tool in OS</t>
  </si>
  <si>
    <t>CSS-IVE-118147</t>
  </si>
  <si>
    <t>Verify the stability of KVM session over TBT-vPRO-Dock after S3 with alarm wake</t>
  </si>
  <si>
    <t>CSS-IVE-118154</t>
  </si>
  <si>
    <t>Verify TBT-vPRO Dock functionality in UEFI when performing Remote Secure Erase with KVM session established</t>
  </si>
  <si>
    <t>CSS-IVE-118156</t>
  </si>
  <si>
    <t>Id: CLID- 9322</t>
  </si>
  <si>
    <t>Verify the stability of AMT KVM session over TBT-VPro Dock Post CMos cycle</t>
  </si>
  <si>
    <t>CSS-IVE-118178</t>
  </si>
  <si>
    <t>Verify the stability of AMT WEBUI session over TBT vPro dock post CMS cycle</t>
  </si>
  <si>
    <t>CSS-IVE-118179</t>
  </si>
  <si>
    <t>Verify the stability of AMT KVM session over TBT-VPro Dock Post S3 cycle</t>
  </si>
  <si>
    <t>CSS-IVE-118180</t>
  </si>
  <si>
    <t>Verify the stability of AMT WEBUI session over TBT vPro dock post S3 cycle</t>
  </si>
  <si>
    <t>CSS-IVE-118181</t>
  </si>
  <si>
    <t>Verify the stability of AMT KVM session over TBT-VPro Dock Post S4 cycle</t>
  </si>
  <si>
    <t>CSS-IVE-118183</t>
  </si>
  <si>
    <t>Verify the stability of AMT WEBUI session over TBT vPro dock post S5 cycle</t>
  </si>
  <si>
    <t>CSS-IVE-118184</t>
  </si>
  <si>
    <t>Verify the stability of AMT KVM session over TBT-VPro Dock Post S5 cycle</t>
  </si>
  <si>
    <t>CSS-IVE-118185</t>
  </si>
  <si>
    <t>Verify Remote wake from sx using Alarm wake works fine over TBT-Vpro-Dock</t>
  </si>
  <si>
    <t>CSS-IVE-118187</t>
  </si>
  <si>
    <t xml:space="preserve">CLID- 9316 </t>
  </si>
  <si>
    <t>Verify SMBIOS 3.2 Support</t>
  </si>
  <si>
    <t>CSS-IVE-118243</t>
  </si>
  <si>
    <t>Verify Network functionality using AIC connected over PCIe slot after cold Boot/warm reset</t>
  </si>
  <si>
    <t>CSS-IVE-118277</t>
  </si>
  <si>
    <t>Verified with pcx4 slot</t>
  </si>
  <si>
    <t>Verify Network functionality using AIC connected over PCIe slot after Sx cycles</t>
  </si>
  <si>
    <t>CSS-IVE-118278</t>
  </si>
  <si>
    <t>Verify Modem Crash support implementation in ACPI table</t>
  </si>
  <si>
    <t>CSS-IVE-118325</t>
  </si>
  <si>
    <t>Verify "Wake system from S5 " bios option functionality</t>
  </si>
  <si>
    <t>CSS-IVE-118719</t>
  </si>
  <si>
    <t>Verify DPTF Power Boss policy are enumerated to OS by Bios via ACPI table</t>
  </si>
  <si>
    <t>CSS-IVE-118757</t>
  </si>
  <si>
    <t>Verify bios has an option to disable all thermal limits</t>
  </si>
  <si>
    <t>CSS-IVE-118781</t>
  </si>
  <si>
    <t>Verify RTC Date &amp; Time can be retrieved without Coin battery support and it remains intact after Sx Cycle</t>
  </si>
  <si>
    <t>CSS-IVE-118765</t>
  </si>
  <si>
    <t>Verify system stability on performing Sleep cycle on freshly preloaded OS post flashing Performance BIOS</t>
  </si>
  <si>
    <t>CSS-IVE-122084</t>
  </si>
  <si>
    <t>Verify system stability on performing Hibernate cycle on freshly preloaded OS post flashing Performance BIOS</t>
  </si>
  <si>
    <t>CSS-IVE-122085</t>
  </si>
  <si>
    <t>Verify system stability on performing reboot cycle on freshly preloaded OS post flashing Performance BIOS</t>
  </si>
  <si>
    <t>CSS-IVE-122086</t>
  </si>
  <si>
    <t>Verify system stability on performing Modern Standby cycle on freshly preloaded OS post flashing Performance BIOS</t>
  </si>
  <si>
    <t>CSS-IVE-122087</t>
  </si>
  <si>
    <t>Verify system stability on performing Sleep cycle on freshly preloaded OS post flashing Debug BIOS</t>
  </si>
  <si>
    <t>CSS-IVE-122088</t>
  </si>
  <si>
    <t>Verify system stability on performing Hibernate cycle on freshly preloaded OS post flashing Debug BIOS</t>
  </si>
  <si>
    <t>CSS-IVE-122089</t>
  </si>
  <si>
    <t>Verify system stability on performing reboot cycle on freshly preloaded OS post flashing Debug BIOS</t>
  </si>
  <si>
    <t>CSS-IVE-122090</t>
  </si>
  <si>
    <t>Verify system stability on performing Modern Standby cycle on freshly preloaded OS post flashing Debug BIOS</t>
  </si>
  <si>
    <t>CSS-IVE-122091</t>
  </si>
  <si>
    <t>Verify Dual Controller Support - USB4 Hub &amp; USB4 Dock functionality after S4, S5 and warm boot cycles</t>
  </si>
  <si>
    <t>CSS-IVE-122118</t>
  </si>
  <si>
    <t>Verify Dual Controller Support - USB4 Hub &amp; USB4 Dock functionality on Hot-Plug</t>
  </si>
  <si>
    <t>CSS-IVE-122119</t>
  </si>
  <si>
    <t>Verify Dual Controller Support - USB4 Hub &amp; USB4 Dock functionality on Cold-Plug</t>
  </si>
  <si>
    <t>CSS-IVE-122120</t>
  </si>
  <si>
    <t xml:space="preserve"> Kalyani PM</t>
  </si>
  <si>
    <t>Verify USB4 storage functionality hot plug during S4, S5 cycles</t>
  </si>
  <si>
    <t>CSS-IVE-122124</t>
  </si>
  <si>
    <t>Verify Bios flash support on RVP using FFT</t>
  </si>
  <si>
    <t>CSS-IVE-122126</t>
  </si>
  <si>
    <t>fft</t>
  </si>
  <si>
    <t>Verify Device Swap during S4 with all Type-C ports - DP and USB(3.0)</t>
  </si>
  <si>
    <t>CSS-IVE-122475</t>
  </si>
  <si>
    <t>Verify Device Swap during S4 with all Type-C ports - DP and USB(2.0)</t>
  </si>
  <si>
    <t>CSS-IVE-122479</t>
  </si>
  <si>
    <t>Verify Device Swap during S4 with all Type-C ports - DP and USB(3.1)</t>
  </si>
  <si>
    <t>CSS-IVE-122480</t>
  </si>
  <si>
    <t>Verify Device Swap during S4 with all Type-C ports - HDMI and USB(3.0)</t>
  </si>
  <si>
    <t>CSS-IVE-122481</t>
  </si>
  <si>
    <t>Verify Device Swap during S4 with all Type-C ports - HDMI and USB(2.0)</t>
  </si>
  <si>
    <t>CSS-IVE-122482</t>
  </si>
  <si>
    <t>Verify Device Swap during S4 with all Type-C ports - HDMI and USB(3.1)</t>
  </si>
  <si>
    <t>CSS-IVE-122483</t>
  </si>
  <si>
    <t>Verify Device Swap during S5 with all Type-C ports - DP and USB(3.0)</t>
  </si>
  <si>
    <t>CSS-IVE-122484</t>
  </si>
  <si>
    <t>Verify Device Swap during S5 with all Type-C ports - DP and USB(2.0)</t>
  </si>
  <si>
    <t>CSS-IVE-122485</t>
  </si>
  <si>
    <t>Verify Device Swap during S5 with all Type-C ports - DP and USB(3.1)</t>
  </si>
  <si>
    <t>CSS-IVE-122486</t>
  </si>
  <si>
    <t>Verify Device Swap during S5 with all Type-C ports - HDMI and USB(3.0)</t>
  </si>
  <si>
    <t>CSS-IVE-122487</t>
  </si>
  <si>
    <t>Verify Device Swap during S5 with all Type-C ports - HDMI and USB(2.0)</t>
  </si>
  <si>
    <t>CSS-IVE-122488</t>
  </si>
  <si>
    <t>Verify Device Swap during S5 with all Type-C ports - HDMI and USB(3.1)</t>
  </si>
  <si>
    <t>CSS-IVE-122489</t>
  </si>
  <si>
    <t>Verify that OS can be installed form external USB Drive to primary storage</t>
  </si>
  <si>
    <t>CSS-IVE-129548</t>
  </si>
  <si>
    <t>Verify 16K HEVC (H.265) video playback in OS</t>
  </si>
  <si>
    <t>CSS-IVE-129746</t>
  </si>
  <si>
    <t>media</t>
  </si>
  <si>
    <t>Verify ECKPWRCTL disable when DCI is disabled</t>
  </si>
  <si>
    <t>CSS-IVE-129750</t>
  </si>
  <si>
    <t>CLID-8574</t>
  </si>
  <si>
    <t>Verify the BIOS size using FFT Tool</t>
  </si>
  <si>
    <t>CSS-IVE-132613</t>
  </si>
  <si>
    <t>Verify AMT WEBUI is accessible during sx cycles over TBT-vPRO-Dock</t>
  </si>
  <si>
    <t>CSS-IVE-129981</t>
  </si>
  <si>
    <t>CLID- 9343</t>
  </si>
  <si>
    <t>Verify TCSS D3Cold support when System connected with TBT device</t>
  </si>
  <si>
    <t>CSS-IVE-129785</t>
  </si>
  <si>
    <t>Verify TCSS D3Cold Entry and Exit happens  with TBT device connected</t>
  </si>
  <si>
    <t>CSS-IVE-132636</t>
  </si>
  <si>
    <t>CLID-8242</t>
  </si>
  <si>
    <t>Verify PCH /CSE/CPU bootstall unlock via USB2DbC</t>
  </si>
  <si>
    <t>CSS-IVE-132950</t>
  </si>
  <si>
    <t>CLID=8779/FILE A BUG</t>
  </si>
  <si>
    <t>Verify cold boot with USB3.1 Gen2 mass storage device connected across all the Type C ports</t>
  </si>
  <si>
    <t>CSS-IVE-133024</t>
  </si>
  <si>
    <t>verified with 2 ssd</t>
  </si>
  <si>
    <t>Verify System trace via 2-Wire BSSB interface</t>
  </si>
  <si>
    <t>CSS-IVE-132994</t>
  </si>
  <si>
    <t>Validate concurrent support of USB2.0 DbC and data transfer over Type-C port</t>
  </si>
  <si>
    <t>CSS-IVE-133035</t>
  </si>
  <si>
    <t>intel</t>
  </si>
  <si>
    <t>Verify ACPI table Support for S5</t>
  </si>
  <si>
    <t>CSS-IVE-133061</t>
  </si>
  <si>
    <t>Verify TBT3 device enumeration after S4,S5 and warm boot cycles with PCIE tunneling disabled</t>
  </si>
  <si>
    <t>CSS-IVE-133073</t>
  </si>
  <si>
    <t>Verify USB4 Storage enumeration after S4, S5, Warm and Cold boot cycles with PCIE tunneling disabled</t>
  </si>
  <si>
    <t>CSS-IVE-133074</t>
  </si>
  <si>
    <t>kalyani PM</t>
  </si>
  <si>
    <t>Verify USB4 Storage enumeration on hot plug with PCIE tunneling enabled and disabled</t>
  </si>
  <si>
    <t>CSS-IVE-133075</t>
  </si>
  <si>
    <t>Verify TBT3 device enumeration on hot plug with PCIE tunneling Enabled and Disabled</t>
  </si>
  <si>
    <t>CSS-IVE-133077</t>
  </si>
  <si>
    <t>Verify TBT3  and USB device enumeration on hot plug with PCIE tunneling Disabled</t>
  </si>
  <si>
    <t>CSS-IVE-133078</t>
  </si>
  <si>
    <t>Verify RTD3 flow support for Type-C USB4 Storage</t>
  </si>
  <si>
    <t>CSS-IVE-122098</t>
  </si>
  <si>
    <t>Verify USB4 storage functionality on hot insert and removal and connector reversibility</t>
  </si>
  <si>
    <t>CSS-IVE-122116</t>
  </si>
  <si>
    <t>CLID-8826</t>
  </si>
  <si>
    <t>Validate USB4 Hub Device functionality after CMS Cycles</t>
  </si>
  <si>
    <t>CSS-IVE-133220</t>
  </si>
  <si>
    <t>Validate USB4 Hub Device functionality after DeepSx Cycle</t>
  </si>
  <si>
    <t>CSS-IVE-133224</t>
  </si>
  <si>
    <t>Validate USB4 Hub Device functionality during CMS Cycles</t>
  </si>
  <si>
    <t>CSS-IVE-133226</t>
  </si>
  <si>
    <t>Validate USB4 Dock Device functionality after CMS Cycles</t>
  </si>
  <si>
    <t>CSS-IVE-133228</t>
  </si>
  <si>
    <t>Validate USB4 Dock Device functionality during  DeepSx Cycle</t>
  </si>
  <si>
    <t>CSS-IVE-133229</t>
  </si>
  <si>
    <t>Validate USB4 Dock Device functionality after DeepSx Cycle</t>
  </si>
  <si>
    <t>CSS-IVE-133232</t>
  </si>
  <si>
    <t>Deepsx</t>
  </si>
  <si>
    <t>Validate USB4 Dock Device functionality during CMS Cycles</t>
  </si>
  <si>
    <t>CSS-IVE-133234</t>
  </si>
  <si>
    <t>Verify USB4 Storage functionality after CMS</t>
  </si>
  <si>
    <t>CSS-IVE-133294</t>
  </si>
  <si>
    <t>Verify USB4 storage functionality during DeepSx</t>
  </si>
  <si>
    <t>CSS-IVE-133295</t>
  </si>
  <si>
    <t>Verify USB4 storage functionality after DeepSx</t>
  </si>
  <si>
    <t>CSS-IVE-133298</t>
  </si>
  <si>
    <t>Verify USB4 storage functionality during CMS</t>
  </si>
  <si>
    <t>CSS-IVE-133300</t>
  </si>
  <si>
    <t>Verify vendor ID for USB4 HW controller</t>
  </si>
  <si>
    <t>CSS-IVE-133309</t>
  </si>
  <si>
    <t>Verify BIOS is configuring the NPK bar and size on S3 exit</t>
  </si>
  <si>
    <t>CSS-IVE-133311</t>
  </si>
  <si>
    <t>Verify platform's PL1,PL2 and Tau registers values in MSR and MMIO  when Dual Tau option Enabled in Bios  with pre and post Sx</t>
  </si>
  <si>
    <t>CSS-IVE-133578</t>
  </si>
  <si>
    <t>CLID-8905/ Dual tau is applicable for Desktop</t>
  </si>
  <si>
    <t>Validate Type-C USB2.0 enumeration over Type-C port  with PCIE tunneling enabled and disabled</t>
  </si>
  <si>
    <t>CSS-IVE-133671</t>
  </si>
  <si>
    <t>pci tunneling</t>
  </si>
  <si>
    <t>Validate Type-C USB3.0 enumeration over Type-C port  with PCIE tunneling enabled and disabled</t>
  </si>
  <si>
    <t>CSS-IVE-133673</t>
  </si>
  <si>
    <t>Verify BIOS provides information related to LPM registers from iPC1 interface via buffers</t>
  </si>
  <si>
    <t>CSS-IVE-133682</t>
  </si>
  <si>
    <t>Verify USB2 PMCTRL bit is enabled</t>
  </si>
  <si>
    <t>CSS-IVE-134042</t>
  </si>
  <si>
    <t>ver with 0</t>
  </si>
  <si>
    <t>Verify C-state values by limiting TCSS TC-State with TBT device connected</t>
  </si>
  <si>
    <t>CSS-IVE-135372</t>
  </si>
  <si>
    <t>Verify BIOS setup options for RFI Spread Spectrum control (SSC) range</t>
  </si>
  <si>
    <t>CSS-IVE-135386</t>
  </si>
  <si>
    <t>Verify APIC ID"s updated by BIOS for 24(Core+Atom) Cores in APIC tables</t>
  </si>
  <si>
    <t>CSS-IVE-135476</t>
  </si>
  <si>
    <t>CLID-8091</t>
  </si>
  <si>
    <t>Verify CSME has the right MAC address to communicate with AMT</t>
  </si>
  <si>
    <t>CSS-IVE-135719</t>
  </si>
  <si>
    <t>CLID- 9336</t>
  </si>
  <si>
    <t>Verify BIOS  Debug settings passed as part of a Debug Token Via Dnx Mode</t>
  </si>
  <si>
    <t>CSS-IVE-135705</t>
  </si>
  <si>
    <t>CLID-8627</t>
  </si>
  <si>
    <t>Verify if RFI Spread Spectrum control (SSC) option can be disabled from BIOS menu</t>
  </si>
  <si>
    <t>CSS-IVE-135748</t>
  </si>
  <si>
    <t>Verify IOM FW version are updated in Bios under TCSS Setup Menu</t>
  </si>
  <si>
    <t>CSS-IVE-136377</t>
  </si>
  <si>
    <t>CLID-8937</t>
  </si>
  <si>
    <t>Verify OS debug  support with DMA Pre-boot  Protection in enabled state</t>
  </si>
  <si>
    <t>CSS-IVE-138269</t>
  </si>
  <si>
    <t>Verify WWAN (5G) Functionality</t>
  </si>
  <si>
    <t>CSS-IVE-138264</t>
  </si>
  <si>
    <t>[OCR] Verify availability of OCR Boot options for One Click Recovery while AMT is globally disabled</t>
  </si>
  <si>
    <t>CSS-IVE-136427</t>
  </si>
  <si>
    <t>Verify USB2.0/3.0 device enumeration in EFI over USB4 Hub</t>
  </si>
  <si>
    <t>CSS-IVE-133657</t>
  </si>
  <si>
    <t>Verify C state  Residency when system is in idle after CS cycle with TBT device connected</t>
  </si>
  <si>
    <t>CSS-IVE-144839</t>
  </si>
  <si>
    <t>Verify Concurrent Type-C Display functionality over Type-C port after S4,S5,warm and cold boot cycles</t>
  </si>
  <si>
    <t>CSS-IVE-145009</t>
  </si>
  <si>
    <t>Verify Concurrent Type-C Display functionality over Type-C port, Display connected when SUT is in S4 and S5 state</t>
  </si>
  <si>
    <t>CSS-IVE-145010</t>
  </si>
  <si>
    <t>Verify Xml Cli should not expose Test Menu options for External Bios</t>
  </si>
  <si>
    <t>CSS-IVE-145017</t>
  </si>
  <si>
    <t>external BIOS</t>
  </si>
  <si>
    <t>Verify Concurrent DP Display functionality over Type-C port after S4,S5,warm and cold boot cycles</t>
  </si>
  <si>
    <t>CSS-IVE-145125</t>
  </si>
  <si>
    <t>Verify Concurrent DP-Display functionality over Type-C port, Display connected when SUT is in S4 and S5 state</t>
  </si>
  <si>
    <t>CSS-IVE-145126</t>
  </si>
  <si>
    <t>Verify Concurrent HDMI Display functionality over Type-C port after S4,S5,warm and cold boot cycles</t>
  </si>
  <si>
    <t>CSS-IVE-145128</t>
  </si>
  <si>
    <t>Verify Concurrent HDMI-Display functionality over Type-C port, Display connected when SUT is in S4 and S5 state</t>
  </si>
  <si>
    <t>CSS-IVE-145129</t>
  </si>
  <si>
    <t>Verify Concurrent Type-C Display and DP Display functionality over Type-C port after S4,S5,warm and cold boot cycles</t>
  </si>
  <si>
    <t>CSS-IVE-145131</t>
  </si>
  <si>
    <t>Verify Concurrent Type-C Display and DP Display functionality over Type-C port, device connected when SUT is in S4 and S5 State</t>
  </si>
  <si>
    <t>CSS-IVE-145132</t>
  </si>
  <si>
    <t>Verify Concurrent Type-C Display and HDMI Display functionality over Type-C port after S4,S5,warm and cold boot cycles</t>
  </si>
  <si>
    <t>CSS-IVE-145134</t>
  </si>
  <si>
    <t>Verify Concurrent Type-C Display and HDMI Display functionality over Type-C port, device connected when SUT is in S4 and S5 state</t>
  </si>
  <si>
    <t>CSS-IVE-145135</t>
  </si>
  <si>
    <t>Verify Concurrent Type-C Display and Type-C Dock with DP Display functionality over Type-C port after S4,S5,warm and cold boot cycles</t>
  </si>
  <si>
    <t>CSS-IVE-145140</t>
  </si>
  <si>
    <t>Verify Concurrent Type-C Display and Type-C Dock with DP Display functionality over Type-C port, device connected when SUT is in S4 and S5 state</t>
  </si>
  <si>
    <t>CSS-IVE-145141</t>
  </si>
  <si>
    <t>Verify Concurrent Type-C Display and Type-C Dock with HDMI Display functionality over Type-C port after S4,S5,warm and cold boot cycles</t>
  </si>
  <si>
    <t>CSS-IVE-145143</t>
  </si>
  <si>
    <t>Verify Concurrent Type-C Display and Type-C Dock with HDMI Display functionality over Type-C port, device connected when SUT is in S4 and S5 state</t>
  </si>
  <si>
    <t>CSS-IVE-145144</t>
  </si>
  <si>
    <t>Verify Retimer firmware upgradation from OS using TDT tool</t>
  </si>
  <si>
    <t>CSS-IVE-145324</t>
  </si>
  <si>
    <t>CLID-8254</t>
  </si>
  <si>
    <t>Verify Retimer firmware Down gradation from OS using TDT tool</t>
  </si>
  <si>
    <t>CSS-IVE-145370</t>
  </si>
  <si>
    <t>Verify Retimer firmware Down gradation from EFI shell</t>
  </si>
  <si>
    <t>CSS-IVE-145371</t>
  </si>
  <si>
    <t>retimer</t>
  </si>
  <si>
    <t>Verify Retimer firmware Upgradation from EFI shell</t>
  </si>
  <si>
    <t>CSS-IVE-145372</t>
  </si>
  <si>
    <t>Verify Retimer firmware override with same version from EFI shell</t>
  </si>
  <si>
    <t>CSS-IVE-145373</t>
  </si>
  <si>
    <t>Verify Concurrent DP Display functionality over Type-C port after S3 Cycles</t>
  </si>
  <si>
    <t>CSS-IVE-145425</t>
  </si>
  <si>
    <t>Verify Concurrent HDMI Display functionality over Type-C port after S3 Cycles</t>
  </si>
  <si>
    <t>CSS-IVE-145426</t>
  </si>
  <si>
    <t>Verify Concurrent Type-C Display and DP Display functionality over Type-C port after S3 Cycles</t>
  </si>
  <si>
    <t>CSS-IVE-145427</t>
  </si>
  <si>
    <t>Verify Concurrent Type-C Display and HDMI Display functionality over Type-C port after S3 Cycles</t>
  </si>
  <si>
    <t>CSS-IVE-145428</t>
  </si>
  <si>
    <t>Verify Concurrent Type-C Display and Type-C Dock with DP Display functionality over Type-C port after S3 Cycles</t>
  </si>
  <si>
    <t>CSS-IVE-145429</t>
  </si>
  <si>
    <t>Verify Concurrent Type-C Display and Type-C Dock with HDMI Display functionality over Type-C port after S3 Cycles</t>
  </si>
  <si>
    <t>CSS-IVE-145430</t>
  </si>
  <si>
    <t>Verify Concurrent Type-C Display functionality over Type-C port after S3 Cycles</t>
  </si>
  <si>
    <t>CSS-IVE-145431</t>
  </si>
  <si>
    <t>Verify Concurrent DP Display functionality over Type-C port, device connected when SUT is in S3 state</t>
  </si>
  <si>
    <t>CSS-IVE-145636</t>
  </si>
  <si>
    <t>Verify Concurrent HDMI Display functionality over Type-C port, device connected when SUT is in S3 state</t>
  </si>
  <si>
    <t>CSS-IVE-145637</t>
  </si>
  <si>
    <t>Verify Concurrent Type-C Display and DP Display functionality over Type-C port, device connected when SUT is in S3 state</t>
  </si>
  <si>
    <t>CSS-IVE-145638</t>
  </si>
  <si>
    <t>Verify Concurrent Type-C Display and HDMI Display functionality over Type-C port, device connected when SUT is in S3 state</t>
  </si>
  <si>
    <t>CSS-IVE-145639</t>
  </si>
  <si>
    <t>Verify Concurrent Type-C Display and Type-C Dock with DP Display functionality over Type-C port, device connected when SUT is in S3 Cycles</t>
  </si>
  <si>
    <t>CSS-IVE-145640</t>
  </si>
  <si>
    <t>Verify Concurrent Type-C Display and Type-C Dock with HDMI Display functionality over Type-C port, device connected when SUT is in S3 state</t>
  </si>
  <si>
    <t>CSS-IVE-145641</t>
  </si>
  <si>
    <t>Verify Concurrent Type-C Display functionality over Type-C port, device connected when SUT is in S3 state</t>
  </si>
  <si>
    <t>CSS-IVE-145642</t>
  </si>
  <si>
    <t>Verify Concurrent Type-C Display functionality over Type-C port after CMS Cycles</t>
  </si>
  <si>
    <t>CSS-IVE-145653</t>
  </si>
  <si>
    <t>Verify Concurrent Type-C Display functionality over Type-C port, Device connected when SUT is in CMS State</t>
  </si>
  <si>
    <t>CSS-IVE-145654</t>
  </si>
  <si>
    <t>Verify connection Swap during S4 and S5 with all Type-C ports - DP, HDMI and USB</t>
  </si>
  <si>
    <t>CSS-IVE-145216</t>
  </si>
  <si>
    <t>Verify connection Swap during DeepSx cycle with all Type-C ports - DP, HDMI and USB</t>
  </si>
  <si>
    <t>CSS-IVE-145221</t>
  </si>
  <si>
    <t>Verify connection Swap during S4 and S5 with all Type-C ports - USB3.1 Gen2, USB3.0 Hub and USB2.0</t>
  </si>
  <si>
    <t>CSS-IVE-145223</t>
  </si>
  <si>
    <t>Verify connection Swap during DeepSx cycles with all Type-C ports - USB3.1 Gen2, USB3.0 Hub and USB2.0</t>
  </si>
  <si>
    <t>CSS-IVE-145225</t>
  </si>
  <si>
    <t>Verify ACPI _DSM method implementation to Add ISH based Dynamic SAR support in BIOS</t>
  </si>
  <si>
    <t>CSS-IVE-145819</t>
  </si>
  <si>
    <t>sar sensor</t>
  </si>
  <si>
    <t>Verify VPD SPCD enabling Via Patch file using SBC TOOL</t>
  </si>
  <si>
    <t>CSS-IVE-145878</t>
  </si>
  <si>
    <t>CL CO</t>
  </si>
  <si>
    <t>Verify the status of EOM =0/1 through IOMT (Intel® IO Margin Tool)</t>
  </si>
  <si>
    <t>CSS-IVE-145879</t>
  </si>
  <si>
    <t>till step 5</t>
  </si>
  <si>
    <t>Verify No BIOS support for TGL MSR COUNTER_24MHZ MSR (637H)</t>
  </si>
  <si>
    <t>CSS-IVE-120118</t>
  </si>
  <si>
    <t>Verify BIOS programs for enablement of Power well2 register</t>
  </si>
  <si>
    <t>CSS-IVE-146066</t>
  </si>
  <si>
    <t>[OCR] Verify Windows Recovery Environment (WinRE) Boot flow for One Click Recovery before and after CMS cycle</t>
  </si>
  <si>
    <t>CSS-IVE-146960</t>
  </si>
  <si>
    <t>no need to check residency with co confirmation</t>
  </si>
  <si>
    <t>[OCR] Verify OCR_WinRE flow intact after G3 State from AMT Remote session over Wireless LAN</t>
  </si>
  <si>
    <t>CSS-IVE-147150</t>
  </si>
  <si>
    <t>[OCR] Verify OCR_PBA boot flow intact after G3 State from AMT Remote session over Wireless LAN</t>
  </si>
  <si>
    <t>CSS-IVE-147151</t>
  </si>
  <si>
    <t>hussain</t>
  </si>
  <si>
    <t>[OCR]  Verify OCR_HTTPS boot flow intact after G3 State from AMT Remote session over Wireless LAN</t>
  </si>
  <si>
    <t>CSS-IVE-147152</t>
  </si>
  <si>
    <t>[OCR] Verify OCR_WinRE Boot flow intact Post Sx State from AMT Remote session over Wireless LAN</t>
  </si>
  <si>
    <t>CSS-IVE-147153</t>
  </si>
  <si>
    <t>[OCR] Verify OCR_PBA boot flow intact Post Sx State from AMT Remote session over Wireless LAN</t>
  </si>
  <si>
    <t>CSS-IVE-147154</t>
  </si>
  <si>
    <t>[OCR] Verify OCR_WinRE boot flow functionality over Wireless LAN When SUT is at BIOS menu</t>
  </si>
  <si>
    <t>CSS-IVE-147155</t>
  </si>
  <si>
    <t>per step 11 on sut</t>
  </si>
  <si>
    <t>[OCR]  Verify OCR_HTTPS boot flow intact Post Sx State from AMT Remote session over Wireless LAN</t>
  </si>
  <si>
    <t>CSS-IVE-147156</t>
  </si>
  <si>
    <t>[OCR] Verify OCR_WinRE flow intact from AMT Remote session over Wireless LAN  post generating BSOD</t>
  </si>
  <si>
    <t>CSS-IVE-147157</t>
  </si>
  <si>
    <t>[OCR] Verify OCR_WinRE flow intact from AMT Remote session over Wireless LAN  post generating  System Hang</t>
  </si>
  <si>
    <t>CSS-IVE-147158</t>
  </si>
  <si>
    <t>verified with BSOD</t>
  </si>
  <si>
    <t>CSS-IVE-147187</t>
  </si>
  <si>
    <t>Verify BIOS ACPI debug messages capture with External release BIOS</t>
  </si>
  <si>
    <t>CSS-IVE-147221</t>
  </si>
  <si>
    <t>Verify PRR should return MRST with WWAN enable/disable in BIOS</t>
  </si>
  <si>
    <t>CSS-IVE-147235</t>
  </si>
  <si>
    <t>Verify BIOS S3 resume and suspend delta times are inline with responsiveness metrics</t>
  </si>
  <si>
    <t>CSS-IVE-69084</t>
  </si>
  <si>
    <t>Verify system stability post Gfx overclocking</t>
  </si>
  <si>
    <t>CSS-IVE-70860</t>
  </si>
  <si>
    <t>Overclocking</t>
  </si>
  <si>
    <t>overclocking</t>
  </si>
  <si>
    <t>Performance Tuning and overclocking</t>
  </si>
  <si>
    <t>Verify BIOS gives user an option to change Memory frequencies</t>
  </si>
  <si>
    <t>CSS-IVE-71099</t>
  </si>
  <si>
    <t>Verify user should be able to read and write Voltage / frequency override values for System Agent domain</t>
  </si>
  <si>
    <t>CSS-IVE-71328</t>
  </si>
  <si>
    <t>Validate Boot flow with different GT frequency bins as per BIOS menu</t>
  </si>
  <si>
    <t>CSS-IVE-90637</t>
  </si>
  <si>
    <t>Verify Overclocking capabilities for GT can be read via Overclocking mailbox</t>
  </si>
  <si>
    <t>CSS-IVE-95543</t>
  </si>
  <si>
    <t>Verify system stability on clocking to 150 Mhz BClk frequency</t>
  </si>
  <si>
    <t>CSS-IVE-114219</t>
  </si>
  <si>
    <t>Verify IOSF2OCP Clock Gating Enable programming by BIOS</t>
  </si>
  <si>
    <t>CSS-IVE-117924</t>
  </si>
  <si>
    <t>Verify deprecated features does not come up as part of Overclocking user interface as part of Setup</t>
  </si>
  <si>
    <t>CSS-IVE-122128</t>
  </si>
  <si>
    <t>Verify Overclocking lock happens prior to 2nd patch load</t>
  </si>
  <si>
    <t>CSS-IVE-129923</t>
  </si>
  <si>
    <t>Verify user can enable / disable Hyper threading on an Overclocking enabled system</t>
  </si>
  <si>
    <t>CSS-IVE-133046</t>
  </si>
  <si>
    <t>Validate BCLK can be adjusted at real time for changes upto 15Mhz</t>
  </si>
  <si>
    <t>CSS-IVE-133044</t>
  </si>
  <si>
    <t>Verify Fast Boot Timing is impacted not more than threshold limit with and without TPM enabled</t>
  </si>
  <si>
    <t>CSS-IVE-80274</t>
  </si>
  <si>
    <t>performance</t>
  </si>
  <si>
    <t>System should support Multi-Monitor with fast boot mode enabled</t>
  </si>
  <si>
    <t>CSS-IVE-80242</t>
  </si>
  <si>
    <t>System should perform full boot when it is shut down using 4 second Power button override (Type 2 exception) with fast boot mode enabled</t>
  </si>
  <si>
    <t>CSS-IVE-80255</t>
  </si>
  <si>
    <t>CLID-8159</t>
  </si>
  <si>
    <t>Verify that system falls back to full boot mode when Intel RST Premium and OROM UI &amp; banner are enabled even with fast boot enabled</t>
  </si>
  <si>
    <t>CSS-IVE-80273</t>
  </si>
  <si>
    <t>RST is not POR</t>
  </si>
  <si>
    <t>Verify BIOS fast boots from second bootable device, if first bootable device fails to load when fast boot mode is enabled</t>
  </si>
  <si>
    <t>CSS-IVE-80288</t>
  </si>
  <si>
    <t>Sata ssd/debug</t>
  </si>
  <si>
    <t>prasanth</t>
  </si>
  <si>
    <t>System should continue to boot in fast boot mode even after output console is changed</t>
  </si>
  <si>
    <t>CSS-IVE-80300</t>
  </si>
  <si>
    <t>System should continue to boot in fast boot mode even after input console is changed</t>
  </si>
  <si>
    <t>CSS-IVE-80302</t>
  </si>
  <si>
    <t>verifiied with USB Keyboard</t>
  </si>
  <si>
    <t>Verify system skips fast boot when memory configuration change is detected</t>
  </si>
  <si>
    <t>CSS-IVE-75860</t>
  </si>
  <si>
    <t>Verify BIOS enumerates all the "Reconnect Last Good Input Consoles" with fast boot enabled</t>
  </si>
  <si>
    <t>CSS-IVE-78744</t>
  </si>
  <si>
    <t>Verify BEEP sound is not heard during boot with fast boot enabled.</t>
  </si>
  <si>
    <t>CSS-IVE-80272</t>
  </si>
  <si>
    <t>Verify POST or Splash Screen is not displayed with "Fast Boot" enabled in BIOS</t>
  </si>
  <si>
    <t>CSS-IVE-80277</t>
  </si>
  <si>
    <t>Full boot should move successful boot target to front of boot list for subsequent fast boots when fast boot is enabled</t>
  </si>
  <si>
    <t>CSS-IVE-80327</t>
  </si>
  <si>
    <t>SATA HDD/ DEBUG</t>
  </si>
  <si>
    <t>Validate Sx Cycles with Performance Bios</t>
  </si>
  <si>
    <t>CSS-IVE-80328</t>
  </si>
  <si>
    <t>Verify that system boots in fast boot mode with Silent boot enabled</t>
  </si>
  <si>
    <t>CSS-IVE-80333</t>
  </si>
  <si>
    <t>Verify whether GOP Init completes in less than threshold limit with Consumer IFWI</t>
  </si>
  <si>
    <t>CSS-IVE-92714</t>
  </si>
  <si>
    <t>consumer ifwi</t>
  </si>
  <si>
    <t>System should fall back to full boot from fast boot when it detects CPU replacement</t>
  </si>
  <si>
    <t>CSS-IVE-80241</t>
  </si>
  <si>
    <t>ver with N</t>
  </si>
  <si>
    <t>System should fall back to full boot from fast boot when BIOS detects RTC battery is drained out</t>
  </si>
  <si>
    <t>CSS-IVE-80152</t>
  </si>
  <si>
    <t>System should fall back to full boot from fast boot when it detects CMOS jumpers were shorted</t>
  </si>
  <si>
    <t>CSS-IVE-80111</t>
  </si>
  <si>
    <t>Verify system boots in Fast Boot mode when legacy device are connected</t>
  </si>
  <si>
    <t>CSS-IVE-117479</t>
  </si>
  <si>
    <t>Verify responsiveness metrics are attained by system flashed with  ((Pre_Prod IFWI) or (Prod IFWI)) + Internal BIOS and with IOMMU disabled</t>
  </si>
  <si>
    <t>CSS-IVE-118818</t>
  </si>
  <si>
    <t>Verify responsiveness metrics are attained by system flashed with  Pre_Prod IFWI + Internal BIOS and with IOMMU enabled with exception list</t>
  </si>
  <si>
    <t>CSS-IVE-118824</t>
  </si>
  <si>
    <t>Verify responsiveness metrics are attained by system flashed with ((Pre_Prod IFWI) or (Prod IFWI)) + External BIOS and with IOMMU disabled</t>
  </si>
  <si>
    <t>CSS-IVE-118825</t>
  </si>
  <si>
    <t>Verify responsiveness metrics are attained by system flashed with ((Pre_Prod IFWI) or (Prod IFWI))  + External BIOS and with IOMMU enabled with exception list</t>
  </si>
  <si>
    <t>CSS-IVE-118826</t>
  </si>
  <si>
    <t>Verify Cold Boot time is inline with responsiveness metrics when Pre-boot DMA protection disabled</t>
  </si>
  <si>
    <t>CSS-IVE-118827</t>
  </si>
  <si>
    <t>Verify responsiveness metrics are attained with Pre-boot DMA protection enabled with a TBT storage device plugged in</t>
  </si>
  <si>
    <t>CSS-IVE-118828</t>
  </si>
  <si>
    <t>Verify Cold Boot time is inline with responsiveness metrics when Pre-boot DMA protection enabled with a TBT storage device plugged in</t>
  </si>
  <si>
    <t>CSS-IVE-118829</t>
  </si>
  <si>
    <t>Verify Cold Boot time is inline with responsiveness metrics when Pre-boot DMA protection enabled without any TBT devices plugged in</t>
  </si>
  <si>
    <t>CSS-IVE-118830</t>
  </si>
  <si>
    <t>Verify responsiveness metrics are attained with Pre-boot DMA protection Disabled</t>
  </si>
  <si>
    <t>CSS-IVE-118831</t>
  </si>
  <si>
    <t>Verify responsiveness metrics are attained by system flashed with  Pre_Prod IFWI + External BIOS and with IOMMU enabled with exception list</t>
  </si>
  <si>
    <t>CSS-IVE-118889</t>
  </si>
  <si>
    <t>Verify Quiet Boot is disabled when Fast Boot enabled in BIOS option</t>
  </si>
  <si>
    <t>CSS-IVE-122398</t>
  </si>
  <si>
    <t>Verify system attains responsiveness metrics with PTT enabled Consumer IFWI (1x32MB)size and with OS installed on PleasantStar SSD</t>
  </si>
  <si>
    <t>CSS-IVE-133064</t>
  </si>
  <si>
    <t>Pleasanthstar sd</t>
  </si>
  <si>
    <t>Verify BIOS detects and initializes the correct number of Memory DIMMS in system: 4 DIMM (2 channels and 2 DIMMS per channel)</t>
  </si>
  <si>
    <t>CSS-IVE-71034</t>
  </si>
  <si>
    <t>Verify BIOS detects and initializes the correct number of Memory DIMMS: 1 DIMM</t>
  </si>
  <si>
    <t>CSS-IVE-71023</t>
  </si>
  <si>
    <t>Verify BIOS shall send DID message with DIMMS_MISSING status when DIMMs are missing.</t>
  </si>
  <si>
    <t>CSS-IVE-71253</t>
  </si>
  <si>
    <t>need to check with swetha</t>
  </si>
  <si>
    <t>Verify that all Memory related options are available under "Memory Configuration" page.</t>
  </si>
  <si>
    <t>CSS-IVE-71254</t>
  </si>
  <si>
    <t>Verify that SUT boot successfully after enabling SAGV option after performing warm reset.</t>
  </si>
  <si>
    <t>CSS-IVE-70392</t>
  </si>
  <si>
    <t>When two memory populated with different frequency, higher frequency memory should degrade to lower frequency.</t>
  </si>
  <si>
    <t>CSS-IVE-71029</t>
  </si>
  <si>
    <t>Verify S3/S0i3 cycles after enabling SAGV option</t>
  </si>
  <si>
    <t>CSS-IVE-71054</t>
  </si>
  <si>
    <t>Verify that "Enable/Disable/Fixed High/Fixed Low" values are present in SAGV feature.</t>
  </si>
  <si>
    <t>CSS-IVE-71055</t>
  </si>
  <si>
    <t>Verify memory scrambling is enabled in BIOS</t>
  </si>
  <si>
    <t>CSS-IVE-75365</t>
  </si>
  <si>
    <t>Verify unsupported DIMM configuration</t>
  </si>
  <si>
    <t>CSS-IVE-75416</t>
  </si>
  <si>
    <t>Verify Enable / Disable DIMM per channel.</t>
  </si>
  <si>
    <t>CSS-IVE-75403</t>
  </si>
  <si>
    <t>Verify Enable/Disable MRC ECC Option in BIOS</t>
  </si>
  <si>
    <t>CSS-IVE-80051</t>
  </si>
  <si>
    <t>ECC Supported ram</t>
  </si>
  <si>
    <t>Verify Enable/Disable Memory Scrambler Option in BIOS</t>
  </si>
  <si>
    <t>CSS-IVE-80054</t>
  </si>
  <si>
    <t>Verify Memory LPDDR5 16GB Memory Down configuration functionality</t>
  </si>
  <si>
    <t>CSS-IVE-115222</t>
  </si>
  <si>
    <t>Verify MRC Safe Mode Option</t>
  </si>
  <si>
    <t>CSS-IVE-117490</t>
  </si>
  <si>
    <t>Verify if MRC Completion is successful</t>
  </si>
  <si>
    <t>CSS-IVE-117967</t>
  </si>
  <si>
    <t>Verify MRC training</t>
  </si>
  <si>
    <t>CSS-IVE-117971</t>
  </si>
  <si>
    <t>skip step steps: 58,61,71,86,89,92,97,104,110,113,114,115</t>
  </si>
  <si>
    <t>Verify if memory SPD values are restored after Warm Reset is performed</t>
  </si>
  <si>
    <t>CSS-IVE-118697</t>
  </si>
  <si>
    <t>Verify that MRC training is repeated after the Warm boot flow</t>
  </si>
  <si>
    <t>CSS-IVE-118698</t>
  </si>
  <si>
    <t>Verify Platform supported memory sizes &amp; combinations using the MTRR tool</t>
  </si>
  <si>
    <t>CSS-IVE-118699</t>
  </si>
  <si>
    <t>ver with debug bios</t>
  </si>
  <si>
    <t>Verify that MRC training  Gear 1 with Gear 2</t>
  </si>
  <si>
    <t>CSS-IVE-133640</t>
  </si>
  <si>
    <t>CLID-8286</t>
  </si>
  <si>
    <t>Verify BIOS detects and initializes the correct number of Memory DIMMS in system: 2 DIMM (2 channels and 2 DIMMS per channel Dual Rank(16GB and 32GB))</t>
  </si>
  <si>
    <t>CSS-IVE-133687</t>
  </si>
  <si>
    <t>Verify MRC training for Rank 2 (2 channels and 2 DIMMS per channel Dual Rank(16GB and 32GB))</t>
  </si>
  <si>
    <t>CSS-IVE-133689</t>
  </si>
  <si>
    <t>Verify System memory using Windows Memory Diagnostics tool (Extended)</t>
  </si>
  <si>
    <t>CSS-IVE-135381</t>
  </si>
  <si>
    <t>Verify System memory using Windows Memory Diagnostics tool (Basic) before S3</t>
  </si>
  <si>
    <t>CSS-IVE-135459</t>
  </si>
  <si>
    <t>Verify System memory using Windows Memory Diagnostics tool (Basic) After S3</t>
  </si>
  <si>
    <t>CSS-IVE-135460</t>
  </si>
  <si>
    <t>Verify System memory using Windows Memory Diagnostics tool (Basic) After S4</t>
  </si>
  <si>
    <t>CSS-IVE-135461</t>
  </si>
  <si>
    <t>Verify System memory using Windows Memory Diagnostics tool (Basic) Before S4</t>
  </si>
  <si>
    <t>CSS-IVE-135462</t>
  </si>
  <si>
    <t>Verify Enable/Disable MRC In-Band ECC  Option in BIOS</t>
  </si>
  <si>
    <t>CSS-IVE-145016</t>
  </si>
  <si>
    <t>Verify Host serial port communications in OS and EDK Shell</t>
  </si>
  <si>
    <t>CSS-IVE-61847</t>
  </si>
  <si>
    <t>Verify if SUT is able to communicate with another SUT through Serial port(capture debug log)</t>
  </si>
  <si>
    <t>CSS-IVE-61848</t>
  </si>
  <si>
    <t>verified with sut and laptop</t>
  </si>
  <si>
    <t>Verify SUT shutdown (S5) when the Power Button is held in EDK Shell with only   AC  is plugged-in</t>
  </si>
  <si>
    <t>CSS-IVE-119473</t>
  </si>
  <si>
    <t>Verify SUT shutdown (S5) when the Power Button is held in EDK Shell with only USB Charger plugged-in</t>
  </si>
  <si>
    <t>CSS-IVE-119474</t>
  </si>
  <si>
    <t>Verify SUT shutdown (S5) when the Power Button is held in BIOS Setup with only USB Charger plugged-in</t>
  </si>
  <si>
    <t>CSS-IVE-119475</t>
  </si>
  <si>
    <t>Verify SUT shutdown (S5) when the Power Button is held in BIOS Setup with only   AC  plugged-in</t>
  </si>
  <si>
    <t>CSS-IVE-119476</t>
  </si>
  <si>
    <t>Verify SUT shutdown (S5) when the Power Button is held during POWER_ON_TIME with only USB Charger plugged-in</t>
  </si>
  <si>
    <t>CSS-IVE-119477</t>
  </si>
  <si>
    <t>Verify DP functionality and hot plug through Type-C port in Pre and Post S3,S4 cycling</t>
  </si>
  <si>
    <t>CSS-IVE-76296</t>
  </si>
  <si>
    <t>Validate Type-C USB3.0 Host Mode (Type-C to A) functionality - on hot unplug/plug and after Sx Cycles</t>
  </si>
  <si>
    <t>CSS-IVE-70350</t>
  </si>
  <si>
    <t>Verify USB Type-C device Connector reversibility functionality after Sx (S3,S4,S5)and reboot cycles</t>
  </si>
  <si>
    <t>CSS-IVE-99709</t>
  </si>
  <si>
    <t>Validate booting SUT with USB Type-C power adapter and without battery connected</t>
  </si>
  <si>
    <t>CSS-IVE-102263</t>
  </si>
  <si>
    <t>Verify if SUT wakes from Connected Modern Standby on plug/unplug of Type-C Dock over Type-C port</t>
  </si>
  <si>
    <t>CSS-IVE-101188</t>
  </si>
  <si>
    <t>Verify if SUT wakes from Connected Modern Standby on plug/unplug of Display monitor over Type-C port</t>
  </si>
  <si>
    <t>CSS-IVE-101189</t>
  </si>
  <si>
    <t>ver with 00cs</t>
  </si>
  <si>
    <t>Validate system able to perform CMS cycle with USB Type-C power adapter and without battery connected</t>
  </si>
  <si>
    <t>CSS-IVE-144566</t>
  </si>
  <si>
    <t>ver with type c power adaptor</t>
  </si>
  <si>
    <t>Verify EC detects the Sx transitions and configure the GPIOs without failure</t>
  </si>
  <si>
    <t>CSS-IVE-145302</t>
  </si>
  <si>
    <t>Verify Package TDP limit gets reflected correctly at OS</t>
  </si>
  <si>
    <t>CSS-IVE-72558</t>
  </si>
  <si>
    <t>Validate concurrent support of keyboard and mouse functionality in OS over USB Type-A port</t>
  </si>
  <si>
    <t>CSS-IVE-71508</t>
  </si>
  <si>
    <t>[Golden Config] Verify CPU package C10 residence in AC and DC</t>
  </si>
  <si>
    <t>CSS-IVE-71594</t>
  </si>
  <si>
    <t>Verify if BIOS provides option to enable/disable PCH energy reporting</t>
  </si>
  <si>
    <t>CSS-IVE-94262</t>
  </si>
  <si>
    <t>Verify SUT enters to S5 state at 10sec power button press with "Power Button Override=enable" option in BIOS</t>
  </si>
  <si>
    <t>CSS-IVE-100059</t>
  </si>
  <si>
    <t>reset.reset_and_boot</t>
  </si>
  <si>
    <t>Verify SUT enters to S5 state with legacy 4 seconds power button press functionality</t>
  </si>
  <si>
    <t>CSS-IVE-100057</t>
  </si>
  <si>
    <t>Verify current PECI access mode can be configured from BIOS menu</t>
  </si>
  <si>
    <t>CSS-IVE-147208</t>
  </si>
  <si>
    <t>[FSP2.0]: Verify FSP_SMBIOS_MEMORY_INFO_HOB table</t>
  </si>
  <si>
    <t>CSS-IVE-79821</t>
  </si>
  <si>
    <t>check with memory details</t>
  </si>
  <si>
    <t>[FSP] Boot mode Check (Full Configuration,S3 Resume &amp; S4 Resume)</t>
  </si>
  <si>
    <t>CSS-IVE-78919</t>
  </si>
  <si>
    <t>[FSP2.0]: Verify FSP_SMBIOS_PROCESSOR_INFO HOB table</t>
  </si>
  <si>
    <t>CSS-IVE-79902</t>
  </si>
  <si>
    <t>gcc debug</t>
  </si>
  <si>
    <t>[FSP2.0]: Verify FSP_SMBIOS_CACHE_INFO HOB table</t>
  </si>
  <si>
    <t>CSS-IVE-79905</t>
  </si>
  <si>
    <t>[FSP2.1]: Verify FSP_ERROR_INFO_HOB table</t>
  </si>
  <si>
    <t>CSS-IVE-122364</t>
  </si>
  <si>
    <t>[FSP][GCC]: Verify FSP_SMBIOS_MEMORY_INFO_HOB table</t>
  </si>
  <si>
    <t>CSS-IVE-132858</t>
  </si>
  <si>
    <t>[FSP][GCC]: Verify FSP_SMBIOS_PROCESSOR_INFO HOB table</t>
  </si>
  <si>
    <t>CSS-IVE-132860</t>
  </si>
  <si>
    <t>gcc debug- not booting after flashing</t>
  </si>
  <si>
    <t>[FSP][GCC]: Verify FSP_SMBIOS_CACHE_INFO HOB table</t>
  </si>
  <si>
    <t>CSS-IVE-132861</t>
  </si>
  <si>
    <t>[FSP][GCC]: Bios should not send End of POST (EOP) MEI message during ME Recovery/Error/Disabled state</t>
  </si>
  <si>
    <t>CSS-IVE-132869</t>
  </si>
  <si>
    <t>[FSP2.1][GCC]: Verify FSP_ERROR_INFO_HOB table</t>
  </si>
  <si>
    <t>CSS-IVE-132897</t>
  </si>
  <si>
    <t>GMM/GNA Device Driver Installation and Uninstallation</t>
  </si>
  <si>
    <t>CSS-IVE-50449</t>
  </si>
  <si>
    <t>speech_and_cognition.speech_accelerators</t>
  </si>
  <si>
    <t>Verify Onboard eDP display on post S3 and S4 cycle</t>
  </si>
  <si>
    <t>CSS-IVE-50451</t>
  </si>
  <si>
    <t>Verify OS boot with different aperture size</t>
  </si>
  <si>
    <t>CSS-IVE-50455</t>
  </si>
  <si>
    <t>vmd disable</t>
  </si>
  <si>
    <t>Check BIOS shall display setup option for Graphics Frequency with S3 &amp; S4 cycles</t>
  </si>
  <si>
    <t>CSS-IVE-63290</t>
  </si>
  <si>
    <t>test menu</t>
  </si>
  <si>
    <t>Check UEFI can obtain the EDID of the display</t>
  </si>
  <si>
    <t>CSS-IVE-47412</t>
  </si>
  <si>
    <t>Verifying whether the applied GTT table size reflected correctly or not in registers</t>
  </si>
  <si>
    <t>CSS-IVE-44333</t>
  </si>
  <si>
    <t>Validate GFx RC6 flow by exercising BIOS menu options (C state cycling)</t>
  </si>
  <si>
    <t>CSS-IVE-44275</t>
  </si>
  <si>
    <t>Verify Subsystem IDs for native devices in CPU-SA</t>
  </si>
  <si>
    <t>CSS-IVE-44343</t>
  </si>
  <si>
    <t>Negative_GMM/GNA Device disabled in BIOS and checking for the GMM/GNA driver installation</t>
  </si>
  <si>
    <t>CSS-IVE-50450</t>
  </si>
  <si>
    <t>speech_and_cognition</t>
  </si>
  <si>
    <t>Verify Audio playback from HDMI monitor</t>
  </si>
  <si>
    <t>CSS-IVE-67858</t>
  </si>
  <si>
    <t xml:space="preserve">HDMI </t>
  </si>
  <si>
    <t>Verify max resolution with different display monitors</t>
  </si>
  <si>
    <t>CSS-IVE-69091</t>
  </si>
  <si>
    <t>HDMI Ifwi not there</t>
  </si>
  <si>
    <t>Verify IMGU Initialization - Check for IMGU/IPU Controller Lockable Registers before and after S3(Expect LKF),S0i3,S4 Cycles</t>
  </si>
  <si>
    <t>CSS-IVE-70918</t>
  </si>
  <si>
    <t>imaging</t>
  </si>
  <si>
    <t>Check for Unique ID of AVStream Enumerated as GFX child device</t>
  </si>
  <si>
    <t>CSS-IVE-70920</t>
  </si>
  <si>
    <t>Verify onboard graphics driver can be Installed/uninstalled without issue in single display mode for eDP</t>
  </si>
  <si>
    <t>CSS-IVE-70952</t>
  </si>
  <si>
    <t>Verify BIOS shall display setup option to enable or disabled Force GT Wake</t>
  </si>
  <si>
    <t>CSS-IVE-70953</t>
  </si>
  <si>
    <t>Verify onboard graphics driver can be Installed/uninstalled without issue in single display mode for HDMI</t>
  </si>
  <si>
    <t>CSS-IVE-70955</t>
  </si>
  <si>
    <t>Check Enable/Disable Gen2 option in BIOS for its functionality</t>
  </si>
  <si>
    <t>CSS-IVE-71251</t>
  </si>
  <si>
    <t>DMI NA for RPL-P</t>
  </si>
  <si>
    <t>Check if BIOS supports the multiple DVMT option</t>
  </si>
  <si>
    <t>CSS-IVE-92231</t>
  </si>
  <si>
    <t>cl</t>
  </si>
  <si>
    <t>Verify ISP camera device enumeration when GFX driver uninstalled using USB Camera</t>
  </si>
  <si>
    <t>CSS-IVE-86899</t>
  </si>
  <si>
    <t>Intel</t>
  </si>
  <si>
    <t>Check Audio DSP state in BIOS during CMS</t>
  </si>
  <si>
    <t>CSS-IVE-80320</t>
  </si>
  <si>
    <t>Verify Audio offload While in Connected MOS</t>
  </si>
  <si>
    <t>CSS-IVE-95211</t>
  </si>
  <si>
    <t>Verify C10 and Slp-S0 is achieved in Connected MOS during video play back</t>
  </si>
  <si>
    <t>CSS-IVE-95308</t>
  </si>
  <si>
    <t>audio.cavs</t>
  </si>
  <si>
    <t>Verify CD Clock menu options in BIOS &amp; its functionality in OS</t>
  </si>
  <si>
    <t>CSS-IVE-97227</t>
  </si>
  <si>
    <t>skip step 36,37 &amp;38 confirmed with CO</t>
  </si>
  <si>
    <t>Verify PlayReady3 functionality before &amp; after S3</t>
  </si>
  <si>
    <t>CSS-IVE-97319</t>
  </si>
  <si>
    <t>content_protection</t>
  </si>
  <si>
    <t>Verify PlayReady3 functionality before &amp; after S4</t>
  </si>
  <si>
    <t>CSS-IVE-97320</t>
  </si>
  <si>
    <t>Verify PlayReady3 functionality before &amp; after S5</t>
  </si>
  <si>
    <t>CSS-IVE-97321</t>
  </si>
  <si>
    <t>Verify CD Clock menu settings in BIOS and its functionality in OS before &amp; after S3</t>
  </si>
  <si>
    <t>CSS-IVE-97322</t>
  </si>
  <si>
    <t>skip step 42 43 &amp; 44confirmed with CO</t>
  </si>
  <si>
    <t>Verify timeout errors should not get registered in Event Viewer during AV Stress testing over WIFI connectivity</t>
  </si>
  <si>
    <t>CSS-IVE-97332</t>
  </si>
  <si>
    <t>Verify Front Camera functionality in OS with taking video for 15mins</t>
  </si>
  <si>
    <t>CSS-IVE-99406</t>
  </si>
  <si>
    <t>verified with USB Camera</t>
  </si>
  <si>
    <t>Verify Display Audio Driver enumeration with 5K Panel</t>
  </si>
  <si>
    <t>CSS-IVE-99453</t>
  </si>
  <si>
    <t>verified with HDMI to type c dongle</t>
  </si>
  <si>
    <t>Verify Audio Play back on 5K Display Panel</t>
  </si>
  <si>
    <t>CSS-IVE-99454</t>
  </si>
  <si>
    <t>Verify HEVC (H.265) video playback in OS</t>
  </si>
  <si>
    <t>CSS-IVE-99716</t>
  </si>
  <si>
    <t>Verify video playback in OS using 3.5mm-Jack-Headset connected (Headset connected during play back)</t>
  </si>
  <si>
    <t>CSS-IVE-100025</t>
  </si>
  <si>
    <t>Verify 8K Display Panel enumeration in Device Manager with S3 cycles</t>
  </si>
  <si>
    <t>CSS-IVE-100921</t>
  </si>
  <si>
    <t>Verify 8K Display Panel enumeration in Device Manager with S4,S5, cold and warm reset cycles</t>
  </si>
  <si>
    <t>CSS-IVE-100966</t>
  </si>
  <si>
    <t>Verify 5K Display Panel enumeration in Device Manager before and after S3 cycle</t>
  </si>
  <si>
    <t>CSS-IVE-100978</t>
  </si>
  <si>
    <t>Verify Dual display functionality in Extended mode (onboard eDP+HDMI) Post Connected MOS cycle</t>
  </si>
  <si>
    <t>CSS-IVE-101251</t>
  </si>
  <si>
    <t>Verify Dual display functionality in clone mode (onboard eDP+HDMI) Post Connected MOS cycle</t>
  </si>
  <si>
    <t>CSS-IVE-101252</t>
  </si>
  <si>
    <t>Verify 4K HDMI Display Panel enumeration in Device Manager</t>
  </si>
  <si>
    <t>CSS-IVE-101921</t>
  </si>
  <si>
    <t>Verify Display Audio Driver enumeration with 4K Panel</t>
  </si>
  <si>
    <t>CSS-IVE-101923</t>
  </si>
  <si>
    <t>Verify 4K Display Panel enumeration in Device Manager before and after S3 cycle</t>
  </si>
  <si>
    <t>CSS-IVE-101927</t>
  </si>
  <si>
    <t>Verify independent update support of GOP Binary</t>
  </si>
  <si>
    <t>CSS-IVE-115114</t>
  </si>
  <si>
    <t>DP Port</t>
  </si>
  <si>
    <t>Verify Dual display functionality in OS (onboard eDP+DP) Pre and Post CMS/S0i3 (Modern Standby) cycle</t>
  </si>
  <si>
    <t>CSS-IVE-115307</t>
  </si>
  <si>
    <t>verified with dp dongle</t>
  </si>
  <si>
    <t>Verify PlayReady3 functionality on external display pre and post S3 cycle</t>
  </si>
  <si>
    <t>CSS-IVE-114696</t>
  </si>
  <si>
    <t>ver with HDMI to Type c</t>
  </si>
  <si>
    <t>Verify USB-Audio offload when System in CMS</t>
  </si>
  <si>
    <t>CSS-IVE-115585</t>
  </si>
  <si>
    <t>Verify Audio Play back on 8K DP Monitor Pre and Post S3,S4,S5 cycles</t>
  </si>
  <si>
    <t>CSS-IVE-116765</t>
  </si>
  <si>
    <t>Verify Audio Play back on 8K DP Monitor Pre and Post CMS cycles</t>
  </si>
  <si>
    <t>CSS-IVE-116766</t>
  </si>
  <si>
    <t>Verify Video Play back on 8K DP Monitor</t>
  </si>
  <si>
    <t>CSS-IVE-116768</t>
  </si>
  <si>
    <t>Verify Video Play back on 8K DP Monitor Pre and Post S3,S4,S5 cycles</t>
  </si>
  <si>
    <t>CSS-IVE-116769</t>
  </si>
  <si>
    <t>Verify Video Play back on 8K DP Monitor Pre and Post CMS cycles</t>
  </si>
  <si>
    <t>CSS-IVE-116770</t>
  </si>
  <si>
    <t>Verify that all VT-d units are Disabled on Disabling VT-d in BIOS</t>
  </si>
  <si>
    <t>CSS-IVE-50457</t>
  </si>
  <si>
    <t>security</t>
  </si>
  <si>
    <t>Verify DMAR Table is not populated on Disabling VT-D in Intel test menu enabled BIOS</t>
  </si>
  <si>
    <t>CSS-IVE-50459</t>
  </si>
  <si>
    <t>graphics.3d_hp</t>
  </si>
  <si>
    <t>Verify 4K HDR Display Panel enumeration in OS over onboard HDMI and DP port</t>
  </si>
  <si>
    <t>CSS-IVE-133114</t>
  </si>
  <si>
    <t>Verify Gfx BIOS Work around to enable proper GAW (Guest Address Width)/HAW (Host Address Width) support</t>
  </si>
  <si>
    <t>CSS-IVE-135390</t>
  </si>
  <si>
    <t>Negative test: Verify there is no support for SAIPUIMR Configuration in BIOS</t>
  </si>
  <si>
    <t>CSS-IVE-135818</t>
  </si>
  <si>
    <t>Verify HD/FHD USB camera is functioning properly for capturing images &amp; video with pre and post S3 cycles</t>
  </si>
  <si>
    <t>CSS-IVE-145020</t>
  </si>
  <si>
    <t>Verify HD/FHD USB camera is functioning properly for capturing images &amp; video with pre and post CMS cycles</t>
  </si>
  <si>
    <t>CSS-IVE-145167</t>
  </si>
  <si>
    <t>Clover Falls (CVF): Verify User engagement status and dim/undim status of SUT</t>
  </si>
  <si>
    <t>CSS-IVE-145730</t>
  </si>
  <si>
    <t>WOF-brightness</t>
  </si>
  <si>
    <t>Clover Falls (CVF): Verify Camera LED status with various modes and lock on absence feature on SUT</t>
  </si>
  <si>
    <t>CSS-IVE-145733</t>
  </si>
  <si>
    <t>WOF</t>
  </si>
  <si>
    <t>Verify PlayReady3 functionality on external display pre and post S4 and S5 cycle</t>
  </si>
  <si>
    <t>CSS-IVE-145190</t>
  </si>
  <si>
    <t>Verify Clover Falls (CVF) Camera functionality via capturing Image/Video in OS,  pre and post Sx, warm and cold reset cycles</t>
  </si>
  <si>
    <t>CSS-IVE-145218</t>
  </si>
  <si>
    <t>Camera-Intel</t>
  </si>
  <si>
    <t>Verify APIC table under ACPI table</t>
  </si>
  <si>
    <t>CSS-IVE-44544</t>
  </si>
  <si>
    <t>Verify system can boot to EDK shell from BIOS page with external USB drive connected</t>
  </si>
  <si>
    <t>CSS-IVE-46095</t>
  </si>
  <si>
    <t>Verify the post code value and the sequence while booting to OS</t>
  </si>
  <si>
    <t>CSS-IVE-44421</t>
  </si>
  <si>
    <t>Validate EFI reset Cycle (5 times)</t>
  </si>
  <si>
    <t>CSS-IVE-44344</t>
  </si>
  <si>
    <t>Verify if system can display debug messages on Debug BIOS and does not display debug messages on Release BIOS</t>
  </si>
  <si>
    <t>CSS-IVE-44396</t>
  </si>
  <si>
    <t>Verify valid board ID and Board name displayed in BIOS</t>
  </si>
  <si>
    <t>CSS-IVE-85631</t>
  </si>
  <si>
    <t>Verify BIOS reports OEM ID "INTEL" via ACPI Table</t>
  </si>
  <si>
    <t>CSS-IVE-50534</t>
  </si>
  <si>
    <t>Verify booting support through USB 2.0 (HS mass storage) connected over USB Type-A port</t>
  </si>
  <si>
    <t>CSS-IVE-65791</t>
  </si>
  <si>
    <t>verified with USB3.0</t>
  </si>
  <si>
    <t>Verification of PEP ACPI device enablement</t>
  </si>
  <si>
    <t>CSS-IVE-62138</t>
  </si>
  <si>
    <t>Verification of HPET (High Precision Event Timer) initialization</t>
  </si>
  <si>
    <t>CSS-IVE-62139</t>
  </si>
  <si>
    <t>Verify Aggressive LPM Support bios options</t>
  </si>
  <si>
    <t>CSS-IVE-62147</t>
  </si>
  <si>
    <t>Verify Wake up from S4 on xHCI via keyboard</t>
  </si>
  <si>
    <t>CSS-IVE-62158</t>
  </si>
  <si>
    <t>power_management.power_mgmt_cntrl</t>
  </si>
  <si>
    <t>verify CLKREQ to Root Port Mapping</t>
  </si>
  <si>
    <t>CSS-IVE-62163</t>
  </si>
  <si>
    <t>CLID-8269</t>
  </si>
  <si>
    <t>Verify  HDA\iDisplay link frequency set  after S3/S4</t>
  </si>
  <si>
    <t>CSS-IVE-64369</t>
  </si>
  <si>
    <t>Verify USB Type-C device is reported as an ACPI device under OS Device Manager</t>
  </si>
  <si>
    <t>CSS-IVE-64383</t>
  </si>
  <si>
    <t>Verify data transfer functionality over Type C port after Cold Boot , S3, S4, S5 Cycles</t>
  </si>
  <si>
    <t>CSS-IVE-64384</t>
  </si>
  <si>
    <t>Verify _PLD and _UPC capability for all USB ports</t>
  </si>
  <si>
    <t>CSS-IVE-64386</t>
  </si>
  <si>
    <t>Verify Disabling the Internal GbE Controller - Detect GbE Flash Region</t>
  </si>
  <si>
    <t>CSS-IVE-63280</t>
  </si>
  <si>
    <t>Verify Blu-Ray 2.2 playback support using HDMI 2.2</t>
  </si>
  <si>
    <t>CSS-IVE-79886</t>
  </si>
  <si>
    <t>Verify USB3.0 Hub detection &amp; functionality in OS, EFI, BIOS over USB Type-A and Type-C port</t>
  </si>
  <si>
    <t>CSS-IVE-67806</t>
  </si>
  <si>
    <t>Verify USB ports &amp; USB hub are working properly in OS and EFI with USB 2.0 ,USB 3.0 bootable and non-bootable devices</t>
  </si>
  <si>
    <t>CSS-IVE-67819</t>
  </si>
  <si>
    <t>Verifying Driver Enable/ Disable from OS device manager for I2C/UART/SPI</t>
  </si>
  <si>
    <t>CSS-IVE-69877</t>
  </si>
  <si>
    <t>touch pad</t>
  </si>
  <si>
    <t>Verify that the I2C0 Device Touch Pad enumerating properly or not.</t>
  </si>
  <si>
    <t>CSS-IVE-70831</t>
  </si>
  <si>
    <t>CL</t>
  </si>
  <si>
    <t>Verify load setup default in Consumer SKU SPI image and check "Manageability Application Configuration" is listed in BIOS</t>
  </si>
  <si>
    <t>CSS-IVE-70842</t>
  </si>
  <si>
    <t>Verify bios options and check for BIOS set retain after CMOS battery clear in the USB configuration page</t>
  </si>
  <si>
    <t>CSS-IVE-70858</t>
  </si>
  <si>
    <t>jumper: J9h2</t>
  </si>
  <si>
    <t>Verify that when BIOS detects a PCIe NAND Storage device it should enumerate under AHCI Controller by default</t>
  </si>
  <si>
    <t>CSS-IVE-70894</t>
  </si>
  <si>
    <t>Verify Intel Smart Sound Technology &amp; DMIC Hardware ID in OS after multiple S3 &amp; S4 cycles</t>
  </si>
  <si>
    <t>CSS-IVE-70895</t>
  </si>
  <si>
    <t>Verify HDA PCI offset 0Ah [7:0] is set to 1 if DSP/Smart Sound Technology is enabled in BIOS</t>
  </si>
  <si>
    <t>CSS-IVE-70896</t>
  </si>
  <si>
    <t>Verify "PCIe Speed" options for PCI Express Root Port</t>
  </si>
  <si>
    <t>CSS-IVE-71063</t>
  </si>
  <si>
    <t>Verify POST Serial Debug Message support via PCH LPSS UART0 and UART2</t>
  </si>
  <si>
    <t>CSS-IVE-71066</t>
  </si>
  <si>
    <t>verified with UART0 debug only</t>
  </si>
  <si>
    <t>Verify PCIe RST storage remapping works with PCIe M.2 devices</t>
  </si>
  <si>
    <t>CSS-IVE-71070</t>
  </si>
  <si>
    <t>Verify status of USB type C device connected to USB hub /DP for single S3/S0iX and S4 cycle</t>
  </si>
  <si>
    <t>CSS-IVE-71073</t>
  </si>
  <si>
    <t>Verify PDT Unlock Message - Enable/Disable option in Debug BIOS log</t>
  </si>
  <si>
    <t>CSS-IVE-71074</t>
  </si>
  <si>
    <t>Verify strap lanes 14-17 of SPTH are programmed to be DMI in the CommonLane section of ChipsetInit</t>
  </si>
  <si>
    <t>CSS-IVE-71377</t>
  </si>
  <si>
    <t>Verify BIOS can set both the eSPI-MC s BME bits and the eSPI Slaves BME bits using the Tunneled Access to Slave Configuration mechanism.</t>
  </si>
  <si>
    <t>CSS-IVE-71378</t>
  </si>
  <si>
    <t>Verifying Speaker/ Audio jack detection and audio switching from Inbuilt speakers to Headphones and vice versa</t>
  </si>
  <si>
    <t>CSS-IVE-72701</t>
  </si>
  <si>
    <t>Verify USB3 ports description in ACPI domain</t>
  </si>
  <si>
    <t>CSS-IVE-73615</t>
  </si>
  <si>
    <t>Verify BIOS display an option to enable or disable ASPM on Root port links</t>
  </si>
  <si>
    <t>CSS-IVE-80008</t>
  </si>
  <si>
    <t>verified with available root ports and ADL_P tag</t>
  </si>
  <si>
    <t>Verify disable/enable USB3.0 ports in BIOS and its corresponding behavior in OS</t>
  </si>
  <si>
    <t>CSS-IVE-80983</t>
  </si>
  <si>
    <t>Verify BIOS can support enumerating PUIS (Power-up In Standby) enabled disk</t>
  </si>
  <si>
    <t>CSS-IVE-84971</t>
  </si>
  <si>
    <t>PUIS SATA HDD</t>
  </si>
  <si>
    <t>Verify Audio Codec details are present in ACPI tables</t>
  </si>
  <si>
    <t>CSS-IVE-86413</t>
  </si>
  <si>
    <t>PCI Express Register Range Base Address (PCIEXBAR) should be initialized and enabled by System BIOS</t>
  </si>
  <si>
    <t>CSS-IVE-86471</t>
  </si>
  <si>
    <t>BIOS should configure necessary registry entries which are required for Audio Configuration</t>
  </si>
  <si>
    <t>CSS-IVE-86467</t>
  </si>
  <si>
    <t>Verify BIOS support for PCIe x4 port</t>
  </si>
  <si>
    <t>CSS-IVE-84968</t>
  </si>
  <si>
    <t>verified with 1 X4 slot</t>
  </si>
  <si>
    <t>Verify Connected modern Standby (CMS) cycle with AMT features enabled in BIOS</t>
  </si>
  <si>
    <t>CSS-IVE-73190</t>
  </si>
  <si>
    <t>skip step 18</t>
  </si>
  <si>
    <t>Verification of Audio PEP device ID after resuming from CMS</t>
  </si>
  <si>
    <t>CSS-IVE-78898</t>
  </si>
  <si>
    <t>Verify Bios option to enable and disable Manageability Feature Selection</t>
  </si>
  <si>
    <t>CSS-IVE-86555</t>
  </si>
  <si>
    <t>Verify setup option for enabling/disabling reading of PCH temperature</t>
  </si>
  <si>
    <t>CSS-IVE-75404</t>
  </si>
  <si>
    <t>Verify that BIOS shall provide verb tables and program Onboard codecs as per spec</t>
  </si>
  <si>
    <t>CSS-IVE-77374</t>
  </si>
  <si>
    <t>Verify Enable/Disable ICC Watchdog Timer (WDT) option in BIOS</t>
  </si>
  <si>
    <t>CSS-IVE-78913</t>
  </si>
  <si>
    <t>Verify BIOS configures Power management events(PME) Support when PCIe bus is in non Native mode</t>
  </si>
  <si>
    <t>CSS-IVE-86775</t>
  </si>
  <si>
    <t>wake on lan</t>
  </si>
  <si>
    <t>Verify USB2 ports enabled by default in BIOS and its Functionality in EFI/Windows OS (Only for DT/Halo/AIO)</t>
  </si>
  <si>
    <t>CSS-IVE-88799</t>
  </si>
  <si>
    <t>Verify default Critical Trip point value in BIOS</t>
  </si>
  <si>
    <t>CSS-IVE-91089</t>
  </si>
  <si>
    <t>Verify GPIO device ID</t>
  </si>
  <si>
    <t>CSS-IVE-91897</t>
  </si>
  <si>
    <t>Verify system exposes LPSS UART as Legacy UART Device</t>
  </si>
  <si>
    <t>CSS-IVE-71062</t>
  </si>
  <si>
    <t>CLID-8274 skip step 14 to 17</t>
  </si>
  <si>
    <t>Verify "PCH Trace Hub Memory Region 0 Buffer Size" BIOS policy/option for NPK Support</t>
  </si>
  <si>
    <t>CSS-IVE-84939</t>
  </si>
  <si>
    <t>Verify "PCH TH Mem Buffer Size 1" BIOS policy/option for NPK Support</t>
  </si>
  <si>
    <t>CSS-IVE-84942</t>
  </si>
  <si>
    <t>Verify OS boot and enumeration of PCIe based Storage devices with default controller</t>
  </si>
  <si>
    <t>CSS-IVE-76099</t>
  </si>
  <si>
    <t>Verify Bios page and its sub pages interface load in Bios setup</t>
  </si>
  <si>
    <t>CSS-IVE-76125</t>
  </si>
  <si>
    <t>Verify Intel HDA Power/Clock gating setup option in BIOS</t>
  </si>
  <si>
    <t>CSS-IVE-78781</t>
  </si>
  <si>
    <t>Verify detection and functionality of PCIe AIC M.2 SSD as Secondary Boot Media</t>
  </si>
  <si>
    <t>CSS-IVE-95330</t>
  </si>
  <si>
    <t>Verify Non remapped device detection in EFI device list</t>
  </si>
  <si>
    <t>CSS-IVE-97234</t>
  </si>
  <si>
    <t>Verify BIOS detects PCIe device connected over X1/X4 slot with remapping enabled on M.2 slot</t>
  </si>
  <si>
    <t>CSS-IVE-97354</t>
  </si>
  <si>
    <t>Verify all supported Device ID"s are ported correctly</t>
  </si>
  <si>
    <t>CSS-IVE-85630</t>
  </si>
  <si>
    <t>Verify SUT support Debug Trace log capture via TAP over JTAG when SUT is in Sleep state (Route traces to PTI)</t>
  </si>
  <si>
    <t>CSS-IVE-99697</t>
  </si>
  <si>
    <t>itp debugger</t>
  </si>
  <si>
    <t>Verify BIOS should program REMAP BASE and LIMIT Registers from Memory Mapped Register Range Base Space</t>
  </si>
  <si>
    <t>CSS-IVE-101001</t>
  </si>
  <si>
    <t>Verify that BIOS can enable and Disable for Connected Standby</t>
  </si>
  <si>
    <t>CSS-IVE-84946</t>
  </si>
  <si>
    <t>Verify that BIOS can enable and Disable for Disconnected Modern Standby</t>
  </si>
  <si>
    <t>CSS-IVE-84948</t>
  </si>
  <si>
    <t>Verify M.2 SSD achieve SLP_S0 residency during long hours of CS-idle time</t>
  </si>
  <si>
    <t>CSS-IVE-101339</t>
  </si>
  <si>
    <t>Verify Boot to OS and data transfer with PCIe SSD</t>
  </si>
  <si>
    <t>CSS-IVE-101517</t>
  </si>
  <si>
    <t>Verify PCIe SD Card detection after multiple cycles of plug and play media file</t>
  </si>
  <si>
    <t>CSS-IVE-101602</t>
  </si>
  <si>
    <t>Verify PCIe SD Card detection after multiple cycles of plug and play media file with Sx cycles</t>
  </si>
  <si>
    <t>CSS-IVE-101603</t>
  </si>
  <si>
    <t>Verify Clear LPP_CTL.LPMEN bit before initializing Trace Hub</t>
  </si>
  <si>
    <t>CSS-IVE-102188</t>
  </si>
  <si>
    <t>CLID- 9331</t>
  </si>
  <si>
    <t>Verify BIOS support for multiple PCI segments</t>
  </si>
  <si>
    <t>CSS-IVE-102195</t>
  </si>
  <si>
    <t>Verify Initialize system memory as trace buffers for CPU Trace Hub</t>
  </si>
  <si>
    <t>CSS-IVE-102403</t>
  </si>
  <si>
    <t>ver with 128 bcz pch buffer 0</t>
  </si>
  <si>
    <t>Verify Initialize system memory as trace buffers for PCH Trace Hub</t>
  </si>
  <si>
    <t>CSS-IVE-102404</t>
  </si>
  <si>
    <t>Verify System exposes debug interface that complies with Debug Port Specification</t>
  </si>
  <si>
    <t>CSS-IVE-102444</t>
  </si>
  <si>
    <t>Verify USB3 DbC enumeration by Enable/Disable USB Overcurrent option in BIOS</t>
  </si>
  <si>
    <t>CSS-IVE-102449</t>
  </si>
  <si>
    <t>dbc</t>
  </si>
  <si>
    <t>Verify LPSS I2C need to be on PCI mode by default</t>
  </si>
  <si>
    <t>CSS-IVE-105571</t>
  </si>
  <si>
    <t>verified step 8 with I2C0 controller</t>
  </si>
  <si>
    <t>Verifying PCIe-USB add-on card support post Sx Cycle</t>
  </si>
  <si>
    <t>CSS-IVE-105705</t>
  </si>
  <si>
    <t>Check IFWI from SPI, Boot from UFS  and verify stability  Pre and Post Connected MOS, S4 , S5 cycles</t>
  </si>
  <si>
    <t>CSS-IVE-105906</t>
  </si>
  <si>
    <t>UFS device</t>
  </si>
  <si>
    <t>Verify Bios options in DMI Configuration</t>
  </si>
  <si>
    <t>CSS-IVE-108348</t>
  </si>
  <si>
    <t>Verify BIOS setup user interface option for changing the EXT_V1p05 voltage and EXT_V1p05 current values</t>
  </si>
  <si>
    <t>CSS-IVE-113612</t>
  </si>
  <si>
    <t>Verify BIOS setup user interface option for changing the EXT_VNN voltage and EXT_VNN current max values</t>
  </si>
  <si>
    <t>CSS-IVE-113613</t>
  </si>
  <si>
    <t>Verify RST driver version in OS device manager with AHCI mode</t>
  </si>
  <si>
    <t>CSS-IVE-113843</t>
  </si>
  <si>
    <t>Verify RST driver Upgrade/downgrade with remapped PCIe OS</t>
  </si>
  <si>
    <t>CSS-IVE-113848</t>
  </si>
  <si>
    <t>Verify BIOS Upgrade/downgrade with remapped PCIe OS</t>
  </si>
  <si>
    <t>CSS-IVE-113852</t>
  </si>
  <si>
    <t>Verify PMC Read Disable BIOS SETUP option and its default value</t>
  </si>
  <si>
    <t>CSS-IVE-113856</t>
  </si>
  <si>
    <t>Bios should set VMCONFIG : DID_ASSIGN VMD device ID field</t>
  </si>
  <si>
    <t>CSS-IVE-115017</t>
  </si>
  <si>
    <t>Verify Bios support for PCU.ENABLE_PCIE_NDA_PG bit</t>
  </si>
  <si>
    <t>CSS-IVE-117482</t>
  </si>
  <si>
    <t>Verify device ID of Integrated Error Handler</t>
  </si>
  <si>
    <t>CSS-IVE-117483</t>
  </si>
  <si>
    <t>debug.integrated_error_handler</t>
  </si>
  <si>
    <t>Verify different boot mode of Integrated Error Handler</t>
  </si>
  <si>
    <t>CSS-IVE-117485</t>
  </si>
  <si>
    <t>Verify remapped device detection in EFI device list</t>
  </si>
  <si>
    <t>CSS-IVE-118202</t>
  </si>
  <si>
    <t>Verify Bios programs chipset initialization registers for PMC</t>
  </si>
  <si>
    <t>CSS-IVE-120102</t>
  </si>
  <si>
    <t>Verify setup gives S0i2.x and 3.x configuration options</t>
  </si>
  <si>
    <t>CSS-IVE-122386</t>
  </si>
  <si>
    <t>Verify M.2 SSD achieve SLP_S0 residency during CS</t>
  </si>
  <si>
    <t>CSS-IVE-101272</t>
  </si>
  <si>
    <t>Verify System achieve SLP_S0 residency during CS with ASPM and PTM enabled</t>
  </si>
  <si>
    <t>CSS-IVE-122397</t>
  </si>
  <si>
    <t>sata-ssd</t>
  </si>
  <si>
    <t>Verify Bios programs TNTE pre-wake time from the HDA PLL clock</t>
  </si>
  <si>
    <t>CSS-IVE-129783</t>
  </si>
  <si>
    <t>Verify hysteresis value is programmed correctly by BIOS</t>
  </si>
  <si>
    <t>CSS-IVE-129922</t>
  </si>
  <si>
    <t>Verify SA DID enumeration in EFI shell</t>
  </si>
  <si>
    <t>CSS-IVE-130044</t>
  </si>
  <si>
    <t>Verify if SSD hangs with PLN enabled/disabled with VMD Mode</t>
  </si>
  <si>
    <t>CSS-IVE-132725</t>
  </si>
  <si>
    <t>Verify Bios options of L1 substates for PCI Express Configuration in BIOS</t>
  </si>
  <si>
    <t>CSS-IVE-86538</t>
  </si>
  <si>
    <t>Verify ITH connection establishment via TAP over JTAG</t>
  </si>
  <si>
    <t>CSS-IVE-132986</t>
  </si>
  <si>
    <t>Verify Residency counters and BDF provided by PCH are programmed</t>
  </si>
  <si>
    <t>CSS-IVE-132998</t>
  </si>
  <si>
    <t xml:space="preserve">NA </t>
  </si>
  <si>
    <t>with co confirmation in clarification dashboard</t>
  </si>
  <si>
    <t>Verify ModPHY SUS Power Gating is enabled from A1 silicon onwards.</t>
  </si>
  <si>
    <t>CSS-IVE-133068</t>
  </si>
  <si>
    <t>Verify CMS functionality after enabling External V1P05 Rail in BIOS (FIVR Settings)</t>
  </si>
  <si>
    <t>CSS-IVE-133310</t>
  </si>
  <si>
    <t>Verify system enter  and exit CMS  after enabling FIVR  External Vnn Rail in BIOS</t>
  </si>
  <si>
    <t>CSS-IVE-133314</t>
  </si>
  <si>
    <t>Verify T-mod settings in BIOS for display codec</t>
  </si>
  <si>
    <t>CSS-IVE-133681</t>
  </si>
  <si>
    <t>verified with type C to HDMI dongal</t>
  </si>
  <si>
    <t>Verify NHLT Table with internal and external BIOS in ACPI dump</t>
  </si>
  <si>
    <t>CSS-IVE-135373</t>
  </si>
  <si>
    <t>Verify HSIO PHY Gasket supports power gating</t>
  </si>
  <si>
    <t>CSS-IVE-135424</t>
  </si>
  <si>
    <t>Verify PMC executes the Host Boot Post   IccConfig chipsetinit to program MPPrivReg1 register bits</t>
  </si>
  <si>
    <t>CSS-IVE-135425</t>
  </si>
  <si>
    <t>Verify  PMC executes the Host Boot Post   IccConfig chipsetinit to program USB3Reg1 register bits</t>
  </si>
  <si>
    <t>CSS-IVE-135435</t>
  </si>
  <si>
    <t>Verify sub options are listed in PCIe root ports in BIOS setup page.</t>
  </si>
  <si>
    <t>CSS-IVE-135457</t>
  </si>
  <si>
    <t>ver. With available port</t>
  </si>
  <si>
    <t>Verify PCIe controller enters D3 when function disabled</t>
  </si>
  <si>
    <t>CSS-IVE-135690</t>
  </si>
  <si>
    <t>ver with available ports</t>
  </si>
  <si>
    <t>Verify PCI_CFG_DIS bit is set in the Private configuration space</t>
  </si>
  <si>
    <t>CSS-IVE-135697</t>
  </si>
  <si>
    <t>io_pcie.pcie</t>
  </si>
  <si>
    <t>Verify if BIOS performs Hybrid loading</t>
  </si>
  <si>
    <t>CSS-IVE-136324</t>
  </si>
  <si>
    <t>Verify root port based setup options in Intel Test menu</t>
  </si>
  <si>
    <t>CSS-IVE-136344</t>
  </si>
  <si>
    <t>CLID-8433</t>
  </si>
  <si>
    <t>Verify HEBC settings in BIOS</t>
  </si>
  <si>
    <t>CSS-IVE-136354</t>
  </si>
  <si>
    <t>Verify RTD3 support for NVME SSD connected over CPU M.2 Slot</t>
  </si>
  <si>
    <t>CSS-IVE-136394</t>
  </si>
  <si>
    <t>Verify x2Apic structures support in MADT ACPI Table</t>
  </si>
  <si>
    <t>CSS-IVE-138266</t>
  </si>
  <si>
    <t>Verify FSPscope tool lists all FSP Components</t>
  </si>
  <si>
    <t>CSS-IVE-144417</t>
  </si>
  <si>
    <t>[FSP][GCC]: Verify FSPscope tool lists all FSP Components</t>
  </si>
  <si>
    <t>CSS-IVE-144418</t>
  </si>
  <si>
    <t>[FSP]Verify Component info with each FSP Components</t>
  </si>
  <si>
    <t>CSS-IVE-144431</t>
  </si>
  <si>
    <t>[FSP][GCC]Verify Component info with each FSP Components</t>
  </si>
  <si>
    <t>CSS-IVE-144433</t>
  </si>
  <si>
    <t>Verify Subsystem Vendor ID and Subsystem ID register in BDF-0:0:0 is correctly configured by BIOS</t>
  </si>
  <si>
    <t>CSS-IVE-144434</t>
  </si>
  <si>
    <t>step -2 not getting .verified with CO</t>
  </si>
  <si>
    <t>[FSP]Verify build and release type of FSP Component</t>
  </si>
  <si>
    <t>CSS-IVE-144435</t>
  </si>
  <si>
    <t>[FSP][GCC]: Verify build and release type of FSP Component</t>
  </si>
  <si>
    <t>CSS-IVE-144436</t>
  </si>
  <si>
    <t>[FSP]: Verify FSP_RESERVED_MEMORY_RESOURCE _HOB and FSP_NON_VOLATILE_STORAGE_HOB table is available in FSP log</t>
  </si>
  <si>
    <t>CSS-IVE-144437</t>
  </si>
  <si>
    <t>[FSP][GCC]: Verify FSP_RESERVED_MEMORY_RESOURCE _HOB and FSP_NON_VOLATILE_STORAGE_HOB table is available in FSP log</t>
  </si>
  <si>
    <t>CSS-IVE-144438</t>
  </si>
  <si>
    <t>Verify  BIOS should provide the options to Enable/Disable PEP devices</t>
  </si>
  <si>
    <t>CSS-IVE-144706</t>
  </si>
  <si>
    <t>Verify HID driver event filter driver from BIOS menu for mobile platforms</t>
  </si>
  <si>
    <t>CSS-IVE-144709</t>
  </si>
  <si>
    <t>Verify Storage remapping for PCIe NAND storage device Through VMD</t>
  </si>
  <si>
    <t>CSS-IVE-144592</t>
  </si>
  <si>
    <t>Verify ModPHY core power gating should be enabled for "unassigned" lanes</t>
  </si>
  <si>
    <t>CSS-IVE-145486</t>
  </si>
  <si>
    <t>Verify Audio Play back after S0i3(Modern Standby) cycles with USB headset in DC mode</t>
  </si>
  <si>
    <t>CSS-IVE-145662</t>
  </si>
  <si>
    <t>Verify that PSMI Handler reservation happened before MRC_DONE</t>
  </si>
  <si>
    <t>CSS-IVE-145685</t>
  </si>
  <si>
    <t>Verify DMIC basic functionality test over High Definition Audio (HDA) Codec, pre and post S4, S5 and warm and cold reset cycles</t>
  </si>
  <si>
    <t>CSS-IVE-145665</t>
  </si>
  <si>
    <t>Verify DMIC basic functionality test over High Definition Audio (HDA) Codec, pre and post S3 cycles</t>
  </si>
  <si>
    <t>CSS-IVE-145666</t>
  </si>
  <si>
    <t>Verify package C10 after hot-plugging and hot-unplugging NVMe SSD over PEG60 Slot</t>
  </si>
  <si>
    <t>CSS-IVE-145701</t>
  </si>
  <si>
    <t>PCH slot is not applicable as per latest config sheet</t>
  </si>
  <si>
    <t>verify VMD default enabled &amp; end-user unplug and re-plug again, the VMD setting should remain as default enabled.</t>
  </si>
  <si>
    <t>CSS-IVE-145678</t>
  </si>
  <si>
    <t>only 1 sata port is available</t>
  </si>
  <si>
    <t>Verify _DSD method for D3 enable/disable in VMD scope</t>
  </si>
  <si>
    <t>CSS-IVE-145690</t>
  </si>
  <si>
    <t>PCIe-X16 Slot</t>
  </si>
  <si>
    <t>Verify Audio Play back after S0i3(Modern Standby) cycles with USB headset in AC mode</t>
  </si>
  <si>
    <t>CSS-IVE-63701</t>
  </si>
  <si>
    <t>Verify Basic Internal GbE Controller Functional Test pre and post Sx, warm and cold reset cycles</t>
  </si>
  <si>
    <t>CSS-IVE-145053</t>
  </si>
  <si>
    <t>Verify Graphics DirectX support - 3DMark benchmark</t>
  </si>
  <si>
    <t>CSS-IVE-71598</t>
  </si>
  <si>
    <t>Verify CNVi Bluetooth functionality in OS pre and post S4 , S5 , warm and cold reboot cycles</t>
  </si>
  <si>
    <t>CSS-IVE-145038</t>
  </si>
  <si>
    <t>SD card  functionality check connected to PCIe slot</t>
  </si>
  <si>
    <t>CSS-IVE-71240</t>
  </si>
  <si>
    <t>Verify "Wake on Voice" functionality when System in SLP_S0 state, pre and post S4 and S5 cycles</t>
  </si>
  <si>
    <t>CSS-IVE-145224</t>
  </si>
  <si>
    <t>Verify USB2.0/3.0 device functionality on cold plug over USB2.0 and USB3.0 Type-A port before and after S3,S4 state</t>
  </si>
  <si>
    <t>CSS-IVE-62689</t>
  </si>
  <si>
    <t>verified 3.0 superspeed</t>
  </si>
  <si>
    <t>Verify "Wake on Voice" functionality when System in SLP_S0 state using DMIC pre and post S4/S5 cycle</t>
  </si>
  <si>
    <t>CSS-IVE-145227</t>
  </si>
  <si>
    <t>Validate Type-C USB3.0 Host Mode (Type-C to A) functionality - device connected to Hub, Cable connected when SUT is in Sx state</t>
  </si>
  <si>
    <t>CSS-IVE-63571</t>
  </si>
  <si>
    <t>Verify USB 2.0 devices functionality check over USB Type-C along with Sx cycles</t>
  </si>
  <si>
    <t>CSS-IVE-63568</t>
  </si>
  <si>
    <t>Verify USB2.0/3.0 device enumeration in EFI over USB Type-A port</t>
  </si>
  <si>
    <t>CSS-IVE-62370</t>
  </si>
  <si>
    <t>ver with 3.0 HDD</t>
  </si>
  <si>
    <t>Verify if BIOS defaults can be saved and restored back in setup menu by configuring CMOS battery</t>
  </si>
  <si>
    <t>CSS-IVE-62405</t>
  </si>
  <si>
    <t>Verify platform can be able to send and receive data over serial port(capture windbg)</t>
  </si>
  <si>
    <t>CSS-IVE-97330</t>
  </si>
  <si>
    <t>Debug windbg</t>
  </si>
  <si>
    <t>Verify OS debug support using Windbg debugging via USB3.0 debug port during SUT resume from S4, S5 state</t>
  </si>
  <si>
    <t>CSS-IVE-101497</t>
  </si>
  <si>
    <t>CLID-8778</t>
  </si>
  <si>
    <t>Verify OS debug support using Windbg debugging over Type-C port during SUT resume from S4,S5 state</t>
  </si>
  <si>
    <t>CSS-IVE-101503</t>
  </si>
  <si>
    <t>Verify OS debug support using Windbg via native serial UART during SUT resume from S4,S5 state</t>
  </si>
  <si>
    <t>CSS-IVE-101504</t>
  </si>
  <si>
    <t>Verify wake from S3,S4 using USB Keyboard/Mouse with Debug mode option enabled in OS</t>
  </si>
  <si>
    <t>CSS-IVE-102433</t>
  </si>
  <si>
    <t>Verify Onboard LAN connectivity/functionality</t>
  </si>
  <si>
    <t>CSS-IVE-71019</t>
  </si>
  <si>
    <t>Verify SUT wake from S0i3 by CNVi Wi-Fi wake event</t>
  </si>
  <si>
    <t>CSS-IVE-113684</t>
  </si>
  <si>
    <t xml:space="preserve"> CLID- 9330</t>
  </si>
  <si>
    <t>Verify Booting over Wi-Fi using UEFI PXEv6 Boot with 2.4 Ghz Access Point (AP)</t>
  </si>
  <si>
    <t>CSS-IVE-113978</t>
  </si>
  <si>
    <t>Network pending</t>
  </si>
  <si>
    <t>Verify BIOS provides option to enable/disable ISH Configuration</t>
  </si>
  <si>
    <t>CSS-IVE-62691</t>
  </si>
  <si>
    <t>Verify system shuts down after reaching critical Trip point</t>
  </si>
  <si>
    <t>CSS-IVE-65446</t>
  </si>
  <si>
    <t>DPTF participant devices should be listed only with DPTF enabled in BIOS</t>
  </si>
  <si>
    <t>CSS-IVE-65451</t>
  </si>
  <si>
    <t>Legacy thermal options should get absolute when Dynamic Platform Thermal Framework is enabled on the system</t>
  </si>
  <si>
    <t>CSS-IVE-118447</t>
  </si>
  <si>
    <t>Verify Intel(R) SpeedStep(TM) support and P-state cycling</t>
  </si>
  <si>
    <t>CSS-IVE-63680</t>
  </si>
  <si>
    <t>Verify Package C-states support</t>
  </si>
  <si>
    <t>CSS-IVE-65501</t>
  </si>
  <si>
    <t>Verify Headphone plug/unplug Event wake system from CMS</t>
  </si>
  <si>
    <t>CSS-IVE-71144</t>
  </si>
  <si>
    <t>Verify SUT waking up from Connected Modern standby when it hits low battery event</t>
  </si>
  <si>
    <t>CSS-IVE-71145</t>
  </si>
  <si>
    <t>BIOS should provide option to enable or disable Serial debug messages.</t>
  </si>
  <si>
    <t>CSS-IVE-81030</t>
  </si>
  <si>
    <t>Processor ID and PCH stepping should be enumerated in BIOS</t>
  </si>
  <si>
    <t>CSS-IVE-84582</t>
  </si>
  <si>
    <t>Verify the stability of KVM session over Wired LAN after 5 Sx cycles</t>
  </si>
  <si>
    <t>CSS-IVE-69926</t>
  </si>
  <si>
    <t>With Storage redirection disabled in MEBX, verify Storage redirection session cannot be established  through Wired LAN</t>
  </si>
  <si>
    <t>CSS-IVE-69932</t>
  </si>
  <si>
    <t>Verify local user cannot enter into MEBx to change Intel  Standard Manageability Configuration when USB-R &amp; KVM session is active</t>
  </si>
  <si>
    <t>CSS-IVE-69938</t>
  </si>
  <si>
    <t>Verify Storage Redirection session cannot be established through Wireless LAN With Storage Redirection disabled in MEBX</t>
  </si>
  <si>
    <t>CSS-IVE-69940</t>
  </si>
  <si>
    <t>Verify the BIOS behavior related to EOP MEI message in Manufacturing/Re-Manufacturing Environment</t>
  </si>
  <si>
    <t>CSS-IVE-80342</t>
  </si>
  <si>
    <t>BIOS should have an option to enable or disable HMRFPO MEI message to Intel ME</t>
  </si>
  <si>
    <t>CSS-IVE-80343</t>
  </si>
  <si>
    <t>Bios should send End of POST (EOP) MEI message to ME and wait for response prior to OS load</t>
  </si>
  <si>
    <t>CSS-IVE-80345</t>
  </si>
  <si>
    <t>Bios should not send End of POST (EOP) MEI message during ME Recovery/Error/Disabled state</t>
  </si>
  <si>
    <t>CSS-IVE-80344</t>
  </si>
  <si>
    <t>Debug</t>
  </si>
  <si>
    <t>BIOS shall initialize Intel MEI #1 (HECI 1)prior to the system memory initialization.</t>
  </si>
  <si>
    <t>CSS-IVE-80346</t>
  </si>
  <si>
    <t>ver with  00000015</t>
  </si>
  <si>
    <t>ME FW shall invoke the Intel MEBx prior to sending the End of POST MEI message on Corporate SKU IFWI</t>
  </si>
  <si>
    <t>CSS-IVE-80348</t>
  </si>
  <si>
    <t>ME FW shall not invoke the Intel MEBx prior to sending the End of POST MEI message on Consumer SKU IFWI</t>
  </si>
  <si>
    <t>CSS-IVE-80744</t>
  </si>
  <si>
    <t>Verify if BIOS populates Structure Identifier of Intel ME Platform under SMBIOS table 131</t>
  </si>
  <si>
    <t>CSS-IVE-80130</t>
  </si>
  <si>
    <t>Verify if BIOS populates Network Device - LAN capabilities under SMBIOS table 131</t>
  </si>
  <si>
    <t>CSS-IVE-80109</t>
  </si>
  <si>
    <t>CLID-8532</t>
  </si>
  <si>
    <t>Verify if BIOS populates Intel(r) Management Engine Platform Configuration State under SMBIOS table 131</t>
  </si>
  <si>
    <t>CSS-IVE-80082</t>
  </si>
  <si>
    <t>Verify if BIOS populates PCH Capability under SMBIOS table 131</t>
  </si>
  <si>
    <t>CSS-IVE-80079</t>
  </si>
  <si>
    <t>Verify if BIOS populates Intel ME CPU Capability under SMBIOS table 131</t>
  </si>
  <si>
    <t>CSS-IVE-80055</t>
  </si>
  <si>
    <t>Verify if BIOS populates Type, Length and Handle of Intel ME Platform under SMBIOS table 131</t>
  </si>
  <si>
    <t>CSS-IVE-80023</t>
  </si>
  <si>
    <t>Verify that MEBx shall display an option to Enable or Disable Remote Configuration</t>
  </si>
  <si>
    <t>CSS-IVE-75944</t>
  </si>
  <si>
    <t>step2 expected</t>
  </si>
  <si>
    <t>Verify that MEBx shall suppress IP configuration menu when LAN-less platform is detected</t>
  </si>
  <si>
    <t>CSS-IVE-76109</t>
  </si>
  <si>
    <t>step 4 is expected</t>
  </si>
  <si>
    <t>Verify BIOS shall display Corporate SKU or Consumer SKU based on IFWI image flashed</t>
  </si>
  <si>
    <t>CSS-IVE-76127</t>
  </si>
  <si>
    <t>DRAM Initialization done message should be sent by BIOS post System Transition from G3,S4 and S5 to S0 state</t>
  </si>
  <si>
    <t>CSS-IVE-145021</t>
  </si>
  <si>
    <t>Verify that the Active Management Technology (AMT) reflects correct state of Enabled or Disabled depending upon MEBX</t>
  </si>
  <si>
    <t>CSS-IVE-73228</t>
  </si>
  <si>
    <t>Verify "Opt-in Configurable from IT" option can be successfully enabled/disabled in MEBX</t>
  </si>
  <si>
    <t>CSS-IVE-73237</t>
  </si>
  <si>
    <t>Verify AMT Configuration in BIOS is not configurable when KVM session is active</t>
  </si>
  <si>
    <t>CSS-IVE-147210</t>
  </si>
  <si>
    <t>Validate Type-C USB2.0 Host Mode (Type-C to A) functionality - after S5, device connected when SUT is in S5 State</t>
  </si>
  <si>
    <t>CSS-IVE-76578</t>
  </si>
  <si>
    <t>Validate Type-C USB3.0 Host Mode (Type-C to A) functionality after S4, Cable connected at S4 State</t>
  </si>
  <si>
    <t>CSS-IVE-76579</t>
  </si>
  <si>
    <t>Validate Type-C USB3.0 Host Mode (Type-C to A) functionality after S5, Cable connected at S5 State</t>
  </si>
  <si>
    <t>CSS-IVE-76580</t>
  </si>
  <si>
    <t>Validate Type-C USB3.0 Host Mode (Type-C to A) functionality - on hot plug after S3/S0i3 cycle</t>
  </si>
  <si>
    <t>CSS-IVE-76582</t>
  </si>
  <si>
    <t>Validate Type-C USB3.0 Host Mode (Type-C to A) functionality - on hot plug after S4 cycle</t>
  </si>
  <si>
    <t>CSS-IVE-76583</t>
  </si>
  <si>
    <t>Validate Type-C USB3.0 Host Mode (Type-C to A) functionality - on hot plug after S5 cycle</t>
  </si>
  <si>
    <t>CSS-IVE-76584</t>
  </si>
  <si>
    <t>Validate Graphics turbo frequency is achieved by system pre and post S3 cycle</t>
  </si>
  <si>
    <t>CSS-IVE-77469</t>
  </si>
  <si>
    <t>System stability test while performing G3 with ongoing video playback</t>
  </si>
  <si>
    <t>CSS-IVE-80393</t>
  </si>
  <si>
    <t>System stability test while performing warm reset (S5) Cycles with ongoing video playback</t>
  </si>
  <si>
    <t>CSS-IVE-80396</t>
  </si>
  <si>
    <t>System stability test while performing Sleep S3 cycles with ongoing video playback on external displays</t>
  </si>
  <si>
    <t>CSS-IVE-80398</t>
  </si>
  <si>
    <t>Validate Cold Reboot Cycles with Online Video Streaming</t>
  </si>
  <si>
    <t>CSS-IVE-86579</t>
  </si>
  <si>
    <t>Validate Warm Reboot Cycles with Online Video Streaming</t>
  </si>
  <si>
    <t>CSS-IVE-86580</t>
  </si>
  <si>
    <t>Validate Hibernate Cycles with Online Video Streaming</t>
  </si>
  <si>
    <t>CSS-IVE-86581</t>
  </si>
  <si>
    <t>Validate Sleep Cycles with online video streaming</t>
  </si>
  <si>
    <t>CSS-IVE-86582</t>
  </si>
  <si>
    <t>Validate Hybrid Sleep Cycles with online video streaming</t>
  </si>
  <si>
    <t>CSS-IVE-86583</t>
  </si>
  <si>
    <t>Verify WWAN functionality pre and post S3 cycle</t>
  </si>
  <si>
    <t>CSS-IVE-89432</t>
  </si>
  <si>
    <t>Verify WWAN functionality pre and post Disconnected Modern Standby (DMS) cycle</t>
  </si>
  <si>
    <t>CSS-IVE-89492</t>
  </si>
  <si>
    <t>Validate CMS/S0i3 cycles with online video streaming</t>
  </si>
  <si>
    <t>CSS-IVE-89996</t>
  </si>
  <si>
    <t>System stability test while performing CMS/S0i3 cycles with ongoing video playback</t>
  </si>
  <si>
    <t>CSS-IVE-90983</t>
  </si>
  <si>
    <t>Validate Type-C USB2.0 Host Mode (Type-C to A) functionality - after S4, device connected when SUT is in S4 State</t>
  </si>
  <si>
    <t>CSS-IVE-90954</t>
  </si>
  <si>
    <t>Verify CNVi Bluetooth Functionality in OS before/after disconnected MoS cycle</t>
  </si>
  <si>
    <t>CSS-IVE-95147</t>
  </si>
  <si>
    <t>sata-HDD</t>
  </si>
  <si>
    <t>Verify CNVi WLAN Functionality in OS before/after disconnected Mos Cycle</t>
  </si>
  <si>
    <t>CSS-IVE-95152</t>
  </si>
  <si>
    <t>Verify Coexistence Support of CNVi Wi-Fi and Bluetooth functionality in OS after DS4, DS5 cycles</t>
  </si>
  <si>
    <t>CSS-IVE-95488</t>
  </si>
  <si>
    <t>deeps4</t>
  </si>
  <si>
    <t>Verify flashing of BIOS using FPT tool followed by Global Reset</t>
  </si>
  <si>
    <t>CSS-IVE-97286</t>
  </si>
  <si>
    <t>Verify TCSS D3 cold exit will be happen before display is turned ON</t>
  </si>
  <si>
    <t>CSS-IVE-132619</t>
  </si>
  <si>
    <t>Verification of Connected Standby with AMT features enabled in BIOS</t>
  </si>
  <si>
    <t>CSS-IVE-130395</t>
  </si>
  <si>
    <t>skip step 16</t>
  </si>
  <si>
    <t>CSS-IVE-130946</t>
  </si>
  <si>
    <t>Verify Local USB Keyboard and mouse functionality during USB-R session</t>
  </si>
  <si>
    <t>CSS-IVE-131351</t>
  </si>
  <si>
    <t>Verify SUT ability to Start Storage Redirection Session over Wireless LAN post Sx cycle</t>
  </si>
  <si>
    <t>CSS-IVE-131526</t>
  </si>
  <si>
    <t>CSS-IVE-131529</t>
  </si>
  <si>
    <t>Verify WLAN connectivity when an active AMT session established over WiAMT</t>
  </si>
  <si>
    <t>CSS-IVE-131544</t>
  </si>
  <si>
    <t>Verify AMT WEBUI session over TBT vPro dock post CMS cycle</t>
  </si>
  <si>
    <t>CSS-IVE-131608</t>
  </si>
  <si>
    <t>Verify the KVM session after 2 S5 cycles</t>
  </si>
  <si>
    <t>CSS-IVE-131883</t>
  </si>
  <si>
    <t>CSS-IVE-131890</t>
  </si>
  <si>
    <t>Verify Storage Redirection session cannot be established with IMRGUI through Wireless LAN With Storage Redirection disabled in MEBX</t>
  </si>
  <si>
    <t>CSS-IVE-131891</t>
  </si>
  <si>
    <t>Verify USB-R Controllers are initialized during boot from S5 using KVM with Secure boot enabled</t>
  </si>
  <si>
    <t>CSS-IVE-131907</t>
  </si>
  <si>
    <t>Verfiy that the Active Management Technology (AMT) reflects correct state of Enabled or Disabled depending upon MEBX</t>
  </si>
  <si>
    <t>CSS-IVE-131932</t>
  </si>
  <si>
    <t>Verify HECI3 is hidden when WLAN is supported by ME on Corp SKU</t>
  </si>
  <si>
    <t>CSS-IVE-145719</t>
  </si>
  <si>
    <t>Clover Falls (CVF): Verify wake from CMS using Wake on Face functionality</t>
  </si>
  <si>
    <t>CSS-IVE-147194</t>
  </si>
  <si>
    <t>CLID-8730</t>
  </si>
  <si>
    <t>CSS-IVE-147195</t>
  </si>
  <si>
    <t>CSS-IVE-147196</t>
  </si>
  <si>
    <t>CSS-IVE-147198</t>
  </si>
  <si>
    <t>Verify 4K Display functionality over type-C port with PCIE tunneling enabled and disabled</t>
  </si>
  <si>
    <t>CSS-IVE-133674</t>
  </si>
  <si>
    <t>Verify IPU-Camera Sensor module enumeration with G1 Card, Pre and Post S4, S5 and Warm/cold reset cycles</t>
  </si>
  <si>
    <t>CL UPDATE</t>
  </si>
  <si>
    <t>Verify that BIOS setup shall not display MEBx options with Intel AMT disabled IFWI</t>
  </si>
  <si>
    <t>CSS-IVE-145629</t>
  </si>
  <si>
    <t>Verify ACPI enumeration for LED I2C controller for Close Lid WoV</t>
  </si>
  <si>
    <t>wov/intel</t>
  </si>
  <si>
    <t>Verify FHD USB camera is functioning properly for capturing images &amp; video with S4, S5 and warm/cold reset cycles</t>
  </si>
  <si>
    <t>CSS-IVE-86896</t>
  </si>
  <si>
    <t>Verify DFD Restore setup option is not present in BIOS</t>
  </si>
  <si>
    <t>Verify BIOS setup menu provides options to set FAN RPM Control (CPU FAN Control)</t>
  </si>
  <si>
    <t>CSS-IVE-72687</t>
  </si>
  <si>
    <t>Verify TBT IOMMU and segment support option removal in BIOS</t>
  </si>
  <si>
    <t>Verify BIOS PMC LDO configuring PMC in PEI</t>
  </si>
  <si>
    <t>ver with adl</t>
  </si>
  <si>
    <t>Perform Sx(S3, S4 and S5) with OS installed in SATA HDD</t>
  </si>
  <si>
    <t>CSS-IVE-101003</t>
  </si>
  <si>
    <t>Verifying SSID and SVID updated in BIOS and OS</t>
  </si>
  <si>
    <t>Verify non USB2 and USB3 functionality working through Type-C TBT Ports</t>
  </si>
  <si>
    <t>ver with 3.1</t>
  </si>
  <si>
    <t>Verify BIOS exposes non implemented FIVR Efficiency override knob</t>
  </si>
  <si>
    <t>CSS-IVE-129893</t>
  </si>
  <si>
    <t>Verify BIOS exposes non implemented FIVR Faults override knob</t>
  </si>
  <si>
    <t>Verify hetero core support being exposed in OS</t>
  </si>
  <si>
    <t>Verify CMS cycle with ACPI D3 cold option enabled/disabled in BIOS</t>
  </si>
  <si>
    <t>Verify that the Discrete VPU device supports RTD3</t>
  </si>
  <si>
    <t>CSS-IVE-147002</t>
  </si>
  <si>
    <t>VPU option NA for LP5</t>
  </si>
  <si>
    <t>artificial_intelligence.vpu</t>
  </si>
  <si>
    <t>Verify PET Event notification for HTTPS TLS authentication fail</t>
  </si>
  <si>
    <t>network issue/ kalyani chekcing due to Network Issue</t>
  </si>
  <si>
    <t>Verify PET Event log for Network connection interruption during HTTPS</t>
  </si>
  <si>
    <t>Verify BIOS supports for Audio DSP (ADSP) Enabled/disabled Fuses</t>
  </si>
  <si>
    <t>CSS-IVE-73619</t>
  </si>
  <si>
    <t>Verify NPK IP IMR  allocating above 4GB</t>
  </si>
  <si>
    <t>ver with 0x100000000 Size = 0x2000000</t>
  </si>
  <si>
    <t>Verify Functionality of Camera Flash device in OS pre and post S4, S5, warm/cold reset cycles</t>
  </si>
  <si>
    <t>CSS-IVE-76253</t>
  </si>
  <si>
    <t>Verify Enumeration and functionality of Camera Flash device pre and post RTD3 cycles in OS</t>
  </si>
  <si>
    <t>CSS-IVE-90941</t>
  </si>
  <si>
    <t>Verify USB4 storage functionality hot plug during S3 cycles</t>
  </si>
  <si>
    <t>Verify USB4 Storage enumeration after S3 cycles with PCIE tunneling disabled</t>
  </si>
  <si>
    <t>Verify Dual Controller Support - USB4 Hub &amp; USB4 Dock functionality after S3 cycles</t>
  </si>
  <si>
    <t>Verify Multiple TBT3 data transfer operation on hot-plug after S3 Cycle</t>
  </si>
  <si>
    <t>Verify TBT3 device enumeration after S3 cycles with PCIE tunneling disabled</t>
  </si>
  <si>
    <t>Verify Dual Controller Support - TBT3 Storage functionality after S3 cycles</t>
  </si>
  <si>
    <t>Verify functionality of TBT3 Dock (hot plug) before and after resume from S3 for 5 cycles</t>
  </si>
  <si>
    <t>CSS-IVE-119264</t>
  </si>
  <si>
    <t>Verify data transfer operation between multiple TBT3 storages, before/after S3 Cycle</t>
  </si>
  <si>
    <t>Verify multiple display output when displays connected with dual TBT controller after S3 cycles - 2 TBT Displays</t>
  </si>
  <si>
    <t>Verify multiple display output functionality over different Type-C/TBT port after S3 cycles - 2 TBT Displays</t>
  </si>
  <si>
    <t>Verify multiple display output when displays connected with 2nd TBT controller / different TBT Port after S3 cycles - 2 TBT Displays</t>
  </si>
  <si>
    <t>Verify multiple display output when displays connected with 2nd TBT controller / different TBT Port after S3 cycles - TBT, DP display</t>
  </si>
  <si>
    <t>Validate USB3.2 Gen2x2 Storage device functionality after CMS Cycles</t>
  </si>
  <si>
    <t>Validate USB3.2 Gen2x2 Storage device functionality after S3 Cycles</t>
  </si>
  <si>
    <t>Validate USB3.2 Gen2x2 Storage device functionality after S4,S5, WR and G3 Cycles</t>
  </si>
  <si>
    <t>Validate USB3.2 Gen2x2 Storage device functionality on hot plug after S4,S5 and WR Cycles</t>
  </si>
  <si>
    <t>Validate USB3.2 Gen2x2 Storage device functionality on hot plug after S3 cycle</t>
  </si>
  <si>
    <t>Validate USB3.2 Gen2x2 Storage device functionality on hot plug after CMS Cycle</t>
  </si>
  <si>
    <t>Validate USB3.2 Gen2x2 Storage device functionality on hot plug in CMS</t>
  </si>
  <si>
    <t>Validate USB3.2 Gen2x2 Storage device functionality on hot plug in S3</t>
  </si>
  <si>
    <t>Validate USB3.2 Gen2x2 Storage device functionality on hot plug in S4, S5</t>
  </si>
  <si>
    <t>Verify Boot from USB3.2 Gen2x2 Storage device</t>
  </si>
  <si>
    <t>Verify Device Swap during S4 &amp; S5 with USB3.2 Gen2x2 and DP</t>
  </si>
  <si>
    <t>Verify Device Swap during S3 with USB3.2 Gen2x2 and DP</t>
  </si>
  <si>
    <t>Verify Device Swap during CMS with USB3.2 Gen2x2 and DP</t>
  </si>
  <si>
    <t>Verify TBT-Dock functionality after S3 cycles (Connected with multiple TBT devices)</t>
  </si>
  <si>
    <t>Verify TBT3 devices functionality after S3 cycles connected behind TBT4-Dock</t>
  </si>
  <si>
    <t>Verify TBT3 devices functionality after cold boot connected behind TBT4-Dock</t>
  </si>
  <si>
    <t>ver with tbt3 ssd1</t>
  </si>
  <si>
    <t>Verify TBT3 devices functionality connected behind TBT4-Dock and reversibility</t>
  </si>
  <si>
    <t>Verify TBT3 devices functionality after CMS cycles connected behind TBT4-Dock</t>
  </si>
  <si>
    <t>Verify Change in BIOS SETUP default value of PEP SATA to D3</t>
  </si>
  <si>
    <t>Verify setup option for Skip System Resets in Intel Test menu</t>
  </si>
  <si>
    <t>Verify DP-display and Keyboard functionality over USB Type-C port before and after S3 state</t>
  </si>
  <si>
    <t>Verify DP-display and Keyboard functionality over USB Type-C port before and after CMS state</t>
  </si>
  <si>
    <t>Verify multiple display output when displays connected with dual TBT controller after S3 cycles - TBT, DP display</t>
  </si>
  <si>
    <t>Verify multiple display output when displays connected with dual TBT controller after S3 cycles - DP, HDMI display</t>
  </si>
  <si>
    <t>Verify multiple display output when displays connected with dual TBT controller after S3 cycles - TBT, HDMI Display</t>
  </si>
  <si>
    <t>Verify multiple display output when displays connected with dual TBT controller after S3 cycles - TBT, Type-C Display</t>
  </si>
  <si>
    <t>Verify multiple display output when displays connected with 2nd TBT controller / different TBT Port after S3 cycles - DP, HDMI display</t>
  </si>
  <si>
    <t>Verify BIOS settings for BT audio Offload feature</t>
  </si>
  <si>
    <t>Negative: Verify DMIC basic functionality test over High Definition Audio (HDA) Codec</t>
  </si>
  <si>
    <t>CSS-IVE-145663</t>
  </si>
  <si>
    <t>Negative: Verify IPU-Camera Sensor module enumeration</t>
  </si>
  <si>
    <t>CSS-IVE-113830</t>
  </si>
  <si>
    <t>Negative: Verify display audio enumeration in OS</t>
  </si>
  <si>
    <t>CSS-IVE-76597</t>
  </si>
  <si>
    <t>Negative: Verify Unique ID of AVStream Enumerated as GFX child device</t>
  </si>
  <si>
    <t>[Negative] Verify BIOS  option to disable Serial debug messages</t>
  </si>
  <si>
    <t>Negative: Verify GT PSMI Support in BIOS</t>
  </si>
  <si>
    <t>CSS-IVE-105610</t>
  </si>
  <si>
    <t>Negative: Verify PAVP testing on different display panels with Playready App</t>
  </si>
  <si>
    <t>CSS-IVE-77380</t>
  </si>
  <si>
    <t>HDMI Native port in not POR</t>
  </si>
  <si>
    <t>[Negative] Verify PSMI handler memory Reservation and configuring doesn't work when PSMI size set to 0 KB</t>
  </si>
  <si>
    <t>[Negative]Verify Re-arm command  after disabling Re-arm BIOS knob</t>
  </si>
  <si>
    <t>Negative: Verify USB-Audio offload when System in CMS</t>
  </si>
  <si>
    <t>wake on face/SWETHA</t>
  </si>
  <si>
    <t>[Negative] Verify USB3 DbC Functionality  using Type C when platform debug consent BIOS option disable</t>
  </si>
  <si>
    <t>Negative: Verify Audio playback and recording from Bluetooth Headset</t>
  </si>
  <si>
    <t>CSS-IVE-69879</t>
  </si>
  <si>
    <t>[Negative]Verify BIOS ACPI debug messages capture when ACPI Debug BIOS option disabled</t>
  </si>
  <si>
    <t>Verify Splash screen and USB device enumeration when system boots in full boot</t>
  </si>
  <si>
    <t>[Negative] Verify Platform supports SoC crash by disabling crash log BIOS option</t>
  </si>
  <si>
    <t>Verify CrashLog Clear Enable Bios option disabled by default</t>
  </si>
  <si>
    <t>Verify Keylocker when Hybrid Core is disabled</t>
  </si>
  <si>
    <t>Verify BIOS ACPI debug messages BIOS option disabled by default in the BIOS page</t>
  </si>
  <si>
    <t>Verify NPK IP IMR  allocation when PDC is disabled</t>
  </si>
  <si>
    <t>Verify USB2 DbC Functionality  using Type C when platform debug consent BIOS option disable</t>
  </si>
  <si>
    <t>CLID=8777</t>
  </si>
  <si>
    <t>Verify RTIT(Run Time Instruction Trace) feature for Processor Trace BIOS option disabled</t>
  </si>
  <si>
    <t>Verify platform has support to enable and disable C6 DRAM BIOS option</t>
  </si>
  <si>
    <t>step 2 is enabled by default</t>
  </si>
  <si>
    <t>Verify CVF Camera GPIO initialization and respective values using GPIO configuration tool</t>
  </si>
  <si>
    <t>CSS-IVE-115843</t>
  </si>
  <si>
    <t>CLID-8675</t>
  </si>
  <si>
    <t>imaging.ipu</t>
  </si>
  <si>
    <t>Verify SUT does not wake from S3 on Scan matrix key press does once its disabled for BIOS</t>
  </si>
  <si>
    <t>Wake event using Scan Matrix keyboard is NA</t>
  </si>
  <si>
    <t>Negative: Verify Audio Playback using 3.5mm-Jack-Headset over HD-A Codec</t>
  </si>
  <si>
    <t>Verify ACPI HWID Clover Falls (CVF) Camera Sensor modules in OS</t>
  </si>
  <si>
    <t>CSS-IVE-135494</t>
  </si>
  <si>
    <t>Verify that the Discrete VPU device enumeration, pre and post CMS cycles</t>
  </si>
  <si>
    <t>VPU settings not applicable for LP5</t>
  </si>
  <si>
    <t>verify ACPI Method to halt on Deadloop on Timeout or unrecoverable Errors</t>
  </si>
  <si>
    <t>Verify presence of GUID of Coex support of WLAN/BT with WWAN</t>
  </si>
  <si>
    <t>WW GNSS</t>
  </si>
  <si>
    <t>verify  BIOS menu option  provided to select ACX driver architecture</t>
  </si>
  <si>
    <t>Verify RTC Date &amp; Time can be retrieved without Coin battery support and it remains intact after Warm Boot</t>
  </si>
  <si>
    <t>CSS-IVE-118800</t>
  </si>
  <si>
    <t>Verify hot-plug functionality of TBT Daisy chain between S3 and resume phases</t>
  </si>
  <si>
    <t>CSS-IVE-118812</t>
  </si>
  <si>
    <t>Verify hot-plug functionality of TBT Daisy chain between S4 and resume phases</t>
  </si>
  <si>
    <t>CSS-IVE-118813</t>
  </si>
  <si>
    <t>[TBT] Verify wake from S3 using USB Keyboard/Mouse of TBT Daisy chain</t>
  </si>
  <si>
    <t>CSS-IVE-118815</t>
  </si>
  <si>
    <t>[TBT] Verify wake from S3 using USB Keyboard/Mouse of TBT Daisy chain with a USB keyboard or mouse</t>
  </si>
  <si>
    <t>CSS-IVE-118817</t>
  </si>
  <si>
    <t>[TBT] Verify wake from S3 using USB Keyboard/Mouse connected over TBT-Daisy chain device</t>
  </si>
  <si>
    <t>CSS-IVE-118894</t>
  </si>
  <si>
    <t>Validate Type-C USB3.2 gen2 Host Mode functionality - after G3 and Warm reboot cycles</t>
  </si>
  <si>
    <t>CSS-IVE-113751</t>
  </si>
  <si>
    <t>Verify USB3.2 Gen2 device functionality with pre and post Sx cycles over Type-C port</t>
  </si>
  <si>
    <t>CSS-IVE-113755</t>
  </si>
  <si>
    <t>Validate Type-C USB3.2 gen2x2 host mode functionality on hot insert and removal over Type-C port</t>
  </si>
  <si>
    <t>CSS-IVE-113757</t>
  </si>
  <si>
    <t>Verify USB3.2 gen2 device functionality before/after CMS state over Type-C port</t>
  </si>
  <si>
    <t>CSS-IVE-113758</t>
  </si>
  <si>
    <t>Verify RTD3 flow support for Type-C USB3.2 device</t>
  </si>
  <si>
    <t>CSS-IVE-113760</t>
  </si>
  <si>
    <t>Verify Type-C multi port functionality - Consumer, Digital Audio and USB3.2 Gen2 SSD</t>
  </si>
  <si>
    <t>CSS-IVE-113763</t>
  </si>
  <si>
    <t>Verify Type-C multi port functionality - Consumer, Digital Audio and USB3.2 Gen2 SSD after G3 and reboot cycle</t>
  </si>
  <si>
    <t>CSS-IVE-113764</t>
  </si>
  <si>
    <t>Verify Type-C multi port functionality - Consumer, Digital Audio and USB3.2 Gen2 SSD after Sx Cycles</t>
  </si>
  <si>
    <t>CSS-IVE-113765</t>
  </si>
  <si>
    <t>Verify Type-C multi port functionality - Consumer, Digital Audio and USB3.2 Gen2 SSD after CMS state</t>
  </si>
  <si>
    <t>CSS-IVE-113767</t>
  </si>
  <si>
    <t>Verify Type-C multi port functionality - PR Swap, USB3.2 and TBT-Display after G3 and reboot state</t>
  </si>
  <si>
    <t>CSS-IVE-113769</t>
  </si>
  <si>
    <t>HSD Link:16017261840: [RPL-P][GC][TCSS][TCM]:DXE assert on edp causes soft-hung(10b4) while plug TBT dock along with display when system is in restarting phase, no repro without display connected behind the dock</t>
  </si>
  <si>
    <t>[TBT] Verify connection Swap during S3 with all Type-C ports - USB3.2 Gen2, USB3.0 Hub and USB2.0</t>
  </si>
  <si>
    <t>CSS-IVE-113770</t>
  </si>
  <si>
    <t>[TBT] Verify connection Swap during S4 with all Type-C ports - USB3.2 Gen2, USB3.0 Hub and USB2.0</t>
  </si>
  <si>
    <t>CSS-IVE-113771</t>
  </si>
  <si>
    <t>[TBT] Verify connection Swap during S5 with all Type-C ports - USB3.2 Gen2, USB3.0 Hub and USB2.0</t>
  </si>
  <si>
    <t>CSS-IVE-113772</t>
  </si>
  <si>
    <t>Verify connection Swap during DeepS4 with all Type-C ports - USB3.2 Gen2, USB3.0 Hub and USB2.0</t>
  </si>
  <si>
    <t>CSS-IVE-113774</t>
  </si>
  <si>
    <t>Deep Sx</t>
  </si>
  <si>
    <t>Verify connection Swap during DeepS5 with all Type-C ports - USB3.2 Gen2, USB3.0 Hub and USB2.0</t>
  </si>
  <si>
    <t>CSS-IVE-113775</t>
  </si>
  <si>
    <t>Validate USB3.2 Gen2 device functionality with pre and post Sx cycles over USB3.0Type-A port</t>
  </si>
  <si>
    <t>CSS-IVE-113776</t>
  </si>
  <si>
    <t>Verify USB3.2 gen2 device enumeration as SuperSpeed+ device over USB3.0 Type-A port</t>
  </si>
  <si>
    <t>CSS-IVE-113777</t>
  </si>
  <si>
    <t>Validate USB3.2 gen2 device functionality before/after CMS state over USB3.0 Type-A port</t>
  </si>
  <si>
    <t>CSS-IVE-113778</t>
  </si>
  <si>
    <t>Validate Type-C USB3.2 Gen1x1, Gen 2x1 functionality with multiple data transfer</t>
  </si>
  <si>
    <t>CSS-IVE-113791</t>
  </si>
  <si>
    <t>Verify Dual Controller Support - USB3.2 Gen2 storage functionality after Sx and reboot cycles</t>
  </si>
  <si>
    <t>CSS-IVE-113781</t>
  </si>
  <si>
    <t>Verify Dual Controller Support - USB3.2 Gen2 storage functionality on Hot-Plug</t>
  </si>
  <si>
    <t>CSS-IVE-113784</t>
  </si>
  <si>
    <t>Verify Dual Controller Support - USB3.2 Gen2 storage functionality after cold boot</t>
  </si>
  <si>
    <t>CSS-IVE-113786</t>
  </si>
  <si>
    <t>Verify system stability on performing Sx cycles post reset from EDK shell</t>
  </si>
  <si>
    <t>CSS-IVE-119240</t>
  </si>
  <si>
    <t>Verify functionality of TBT3 Dock (hot plug) before and after resume from S4,S5 for 5 cycles</t>
  </si>
  <si>
    <t>Verify TCSS FW version are updated in FVI table</t>
  </si>
  <si>
    <t>CSS-IVE-119266</t>
  </si>
  <si>
    <t>Verify TCSS status dashboard - TBT FW Ready and error info.</t>
  </si>
  <si>
    <t>CSS-IVE-119493</t>
  </si>
  <si>
    <t>Verify Type-C device functionality before/after S4, S5 state when VCCST option is enabled/Disabled in BIOS</t>
  </si>
  <si>
    <t>Verify AET trace log capture through NPK  when platform debug consent Option disabled</t>
  </si>
  <si>
    <t>Verify Charging of SUT using USB Type C port via USB Type C adaptor in dead battery condition</t>
  </si>
  <si>
    <t>DC1</t>
  </si>
  <si>
    <t>CSS-IVE-50923</t>
  </si>
  <si>
    <t>sha</t>
  </si>
  <si>
    <t>Verify charging of battery using USB Type C Port after restart</t>
  </si>
  <si>
    <t>CSS-IVE-50924</t>
  </si>
  <si>
    <t>Verify charging of battery using USB Type C Port in CMS State</t>
  </si>
  <si>
    <t>CSS-IVE-50926</t>
  </si>
  <si>
    <t>Verify AC to DC  transition occurs with Virtual battery switch.</t>
  </si>
  <si>
    <t>CSS-IVE-52488</t>
  </si>
  <si>
    <t>Verify touch panel connected through I2C bus are detected and functional in OS.</t>
  </si>
  <si>
    <t>CSS-IVE-52494</t>
  </si>
  <si>
    <t>TouchPanel-Display not available in Inventory</t>
  </si>
  <si>
    <t>Verify Dual display is working in Clone mode (onboard eDP+HDMI) with S4, S5, warm and cold reset cycles</t>
  </si>
  <si>
    <t>CSS-IVE-70040</t>
  </si>
  <si>
    <t>Verify Dual display is working in Clone mode with (onboard eDP+HDMI) S3 cycles</t>
  </si>
  <si>
    <t>CSS-IVE-70340</t>
  </si>
  <si>
    <t>BIOS-CS: Verify Battery Charging/ Discharging happening in connected Standby</t>
  </si>
  <si>
    <t>CSS-IVE-71012</t>
  </si>
  <si>
    <t>Verify basic Power Button Functionality in   DC  mode</t>
  </si>
  <si>
    <t>CSS-IVE-85621</t>
  </si>
  <si>
    <t>Verify SUT gets charged via Type-C Docking along with 2K DP and USB 3.0 devices connected</t>
  </si>
  <si>
    <t>CSS-IVE-94326</t>
  </si>
  <si>
    <t>Type C</t>
  </si>
  <si>
    <t>Verify SUT gets charged via Type-C Docking during Sx (S3,S4 and S5 ) states</t>
  </si>
  <si>
    <t>CSS-IVE-94327</t>
  </si>
  <si>
    <t>Verify SUT gets charged via Type-C Docking during Connected MoS state</t>
  </si>
  <si>
    <t>CSS-IVE-94328</t>
  </si>
  <si>
    <t>Verify Touch Host Controller"s BDF to enable iTouch</t>
  </si>
  <si>
    <t>CSS-IVE-97231</t>
  </si>
  <si>
    <t>[TBT] Verify Concurrent support of Charging SUT and TBT functionality</t>
  </si>
  <si>
    <t>CSS-IVE-84967</t>
  </si>
  <si>
    <t>Verify SUT Battery Charging in Sx state through TBT port (Consumer Mode)</t>
  </si>
  <si>
    <t>CSS-IVE-87029</t>
  </si>
  <si>
    <t>Verify Client SUT Battery charging via TBT port (Producer Mode)</t>
  </si>
  <si>
    <t>CSS-IVE-87030</t>
  </si>
  <si>
    <t>[TBT] Verify TBT Storage functionality with   DC  source</t>
  </si>
  <si>
    <t>CSS-IVE-86882</t>
  </si>
  <si>
    <t>Verify SUT gets charged via Type-C Docking along with 4K Display and USB2.0 devices connected</t>
  </si>
  <si>
    <t>CSS-IVE-100095</t>
  </si>
  <si>
    <t>ISH Sensor Functionality pre and post S3 cycle - Altimeter</t>
  </si>
  <si>
    <t>CSS-IVE-102207</t>
  </si>
  <si>
    <t>checked with CO</t>
  </si>
  <si>
    <t>ISH Sensor Functionality post S4 cycle - Altimeter</t>
  </si>
  <si>
    <t>CSS-IVE-102208</t>
  </si>
  <si>
    <t>ISH Sensor Functionality post S5 cycle - Altimeter</t>
  </si>
  <si>
    <t>CSS-IVE-102209</t>
  </si>
  <si>
    <t>Verify Battery-Charging during S3 and after S3 using Type-C Power Bank</t>
  </si>
  <si>
    <t>CSS-IVE-102296</t>
  </si>
  <si>
    <t>Verify Charging Priority after S3</t>
  </si>
  <si>
    <t>CSS-IVE-102309</t>
  </si>
  <si>
    <t>Failed</t>
  </si>
  <si>
    <t>Verify concurrent support of onboard HD audio and charging SUT via Type-C port</t>
  </si>
  <si>
    <t>CSS-IVE-105543</t>
  </si>
  <si>
    <t>Verify P-state cycling in Normal charging mode and fast charging mode</t>
  </si>
  <si>
    <t>CSS-IVE-113800</t>
  </si>
  <si>
    <t>DPTF</t>
  </si>
  <si>
    <t>CSS-IVE-113814</t>
  </si>
  <si>
    <t>Validate USB4 Hub Device functionality during  DeepSx Cycle</t>
  </si>
  <si>
    <t>CSS-IVE-133221</t>
  </si>
  <si>
    <t>Verify system wakes from Connected Modern Standby (CMS ) state via Touch Panel(I2C)</t>
  </si>
  <si>
    <t>CSS-IVE-135352</t>
  </si>
  <si>
    <t>Verify system attains responsiveness metrics with PTT enabled Consumer IFWI and with OS installed on PleasantStar SSD</t>
  </si>
  <si>
    <t>CSS-IVE-101007</t>
  </si>
  <si>
    <t>PleasantStar-SSD</t>
  </si>
  <si>
    <t>INTEL</t>
  </si>
  <si>
    <t>Verify system attains responsiveness metrics with PTT enabled Consumer IFWI and with OS installed on M.2 SATA SSD</t>
  </si>
  <si>
    <t>CSS-IVE-101009</t>
  </si>
  <si>
    <t>Cold-Plug Liberty_harbor-SSD</t>
  </si>
  <si>
    <t>Verify Memory LPDDR4/LPDDR4x 16GB Memory Down configuration functionality</t>
  </si>
  <si>
    <t>CSS-IVE-118084</t>
  </si>
  <si>
    <t>Verify that MRC training  in LPDDR4x/DDR4 at 3200  with Gear 2</t>
  </si>
  <si>
    <t>CSS-IVE-133318</t>
  </si>
  <si>
    <t>CLID-8268</t>
  </si>
  <si>
    <t>Verify that MRC training  in LPDDR4x at1600/LPDDR5  with Gear 1 (2R/1R)</t>
  </si>
  <si>
    <t>CSS-IVE-138223</t>
  </si>
  <si>
    <t>Verify SUT wake from Pseudo G3 via TAD Alarm</t>
  </si>
  <si>
    <t>CSS-IVE-147129</t>
  </si>
  <si>
    <t>CLID- 9205</t>
  </si>
  <si>
    <t>Verify Dual display is working in Clone mode (onboard eDP+HDMI)</t>
  </si>
  <si>
    <t>CSS-IVE-67824</t>
  </si>
  <si>
    <t>Verify Hot-Plug HDMI display when booted with eDP connected</t>
  </si>
  <si>
    <t>CSS-IVE-69483</t>
  </si>
  <si>
    <t>Verify Dual display in Extended mode with eDP+HDMI with supported max and min resolutions</t>
  </si>
  <si>
    <t>CSS-IVE-70022</t>
  </si>
  <si>
    <t>AVStream Enumerated as GFX Child - with Switchable Graphics</t>
  </si>
  <si>
    <t>CSS-IVE-70921</t>
  </si>
  <si>
    <t>camera module</t>
  </si>
  <si>
    <t>Verify onboard graphics driver can be Installed/uninstalled without issue in single display mode for DP</t>
  </si>
  <si>
    <t>CSS-IVE-70954</t>
  </si>
  <si>
    <t>Verify HG device RTD3 status on PCI Express</t>
  </si>
  <si>
    <t>CSS-IVE-70957</t>
  </si>
  <si>
    <t xml:space="preserve">As per CO TC is NA Because HDMI Native port is not there </t>
  </si>
  <si>
    <t>Stress Test_Verify HG and iGfx enumeration and functionality during S3/S4/S5 cycles</t>
  </si>
  <si>
    <t>CSS-IVE-71249</t>
  </si>
  <si>
    <t>PerformanceTest_Verify system performance when SG/HG enabled</t>
  </si>
  <si>
    <t>CSS-IVE-71250</t>
  </si>
  <si>
    <t>Graphics card</t>
  </si>
  <si>
    <t>Validate system stability, S3, S4 and cold boot with 3D benchmark tool with Hybrid Gfx mode on PCIE-X4 slot</t>
  </si>
  <si>
    <t>CSS-IVE-80935</t>
  </si>
  <si>
    <t>Validate System stability during Enable/Disable of HG Card on PCIE-X4 slot</t>
  </si>
  <si>
    <t>CSS-IVE-88801</t>
  </si>
  <si>
    <t>Verify 5K Display Panel enumeration in Device Manager</t>
  </si>
  <si>
    <t>CSS-IVE-99446</t>
  </si>
  <si>
    <t>Verify display behaviour with HDMI Plug\Unplug HDMI during Video play back</t>
  </si>
  <si>
    <t>CSS-IVE-99731</t>
  </si>
  <si>
    <t>Verify Dual display functionality in Extended mode (onboard eDP+HDMI) Post S3 cycle</t>
  </si>
  <si>
    <t>CSS-IVE-101248</t>
  </si>
  <si>
    <t>Verify Audio recording and playback over 3.5mm-Jack-Headset (via Soundwire), pre and post S0i3 cycle</t>
  </si>
  <si>
    <t>CSS-IVE-114673</t>
  </si>
  <si>
    <t>Verify Audio recording and playback over 3.5mm-Jack-Headset (via Soundwire), pre and post S3 cycle</t>
  </si>
  <si>
    <t>CSS-IVE-114676</t>
  </si>
  <si>
    <t>Verify Audio Play back on 8K DP Monitor Pre and Post DMS cycles</t>
  </si>
  <si>
    <t>CSS-IVE-116767</t>
  </si>
  <si>
    <t>SATA SSD</t>
  </si>
  <si>
    <t>Verify Video Play back on 8K DP Monitor Pre and Post DMS cycles</t>
  </si>
  <si>
    <t>CSS-IVE-116771</t>
  </si>
  <si>
    <t>Verify DashG device RTD3 status on PCI Express</t>
  </si>
  <si>
    <t>CSS-IVE-119040</t>
  </si>
  <si>
    <t>soc graphics</t>
  </si>
  <si>
    <t>Verify Dual display functionality in Extended mode (onboard eDP+HDMI) Post S4, S5, warm and cold reset cycles</t>
  </si>
  <si>
    <t>CSS-IVE-145174</t>
  </si>
  <si>
    <t>Verify Touch Panel should be enumerated as a PCI device</t>
  </si>
  <si>
    <t>CSS-IVE-86487</t>
  </si>
  <si>
    <t>Verify Bluetooth endpoint enable/disable switch options for HD Audio Configuration in BIOS setup</t>
  </si>
  <si>
    <t>CSS-IVE-75982</t>
  </si>
  <si>
    <t>Verify Touch Panel(I2C) enumeration and functionality in OS pre and post Sx cycles</t>
  </si>
  <si>
    <t>CSS-IVE-133612</t>
  </si>
  <si>
    <t>Verify DMIC basic functionality test with Soundwire Codec, pre and post S4, S5 and warm and cold reset cycles</t>
  </si>
  <si>
    <t>CSS-IVE-145509</t>
  </si>
  <si>
    <t>Verify DMIC basic functionality test with Soundwire Codec, pre and post S3 cycles</t>
  </si>
  <si>
    <t>CSS-IVE-145510</t>
  </si>
  <si>
    <t>Verify DMIC basic functionality test with Soundwire Codec, pre and post CMS cycles</t>
  </si>
  <si>
    <t>CSS-IVE-145625</t>
  </si>
  <si>
    <t>Verify the Dual Display functionality (onboard eDP+DP) in OS pre and Post S4, S5, warm and cold reboot cycles</t>
  </si>
  <si>
    <t>CSS-IVE-145175</t>
  </si>
  <si>
    <t>Verify Audio recording and playback over 3.5mm-Jack-Headset (via Soundwire), pre and post S4, S5, warm and cold reset cycles</t>
  </si>
  <si>
    <t>CSS-IVE-145187</t>
  </si>
  <si>
    <t>System stability test while performing Hibernate (S4) cycles with ongoing video playback</t>
  </si>
  <si>
    <t>CSS-IVE-80397</t>
  </si>
  <si>
    <t>System stability test while performing Hybrid Sleep cycles with ongoing video playback</t>
  </si>
  <si>
    <t>CSS-IVE-80694</t>
  </si>
  <si>
    <t>Validate Graphics turbo frequency is achieved by system pre and post DMS/S0i3 cycle</t>
  </si>
  <si>
    <t>CSS-IVE-90979</t>
  </si>
  <si>
    <t>Verify second edp display panel register programming in dual display mode (edp+edp)</t>
  </si>
  <si>
    <t>CSS-IVE-146006</t>
  </si>
  <si>
    <t>only 1 edp port available in SUT</t>
  </si>
  <si>
    <t>Verify DashG (DG2) graphics functionality with RTD3 on Mobile Reference Board (MRB)</t>
  </si>
  <si>
    <t>CSS-IVE-146984</t>
  </si>
  <si>
    <t>CLID-8710</t>
  </si>
  <si>
    <t>Negative: Verify DMIC basic functionality test over Soundwire Audio Codec</t>
  </si>
  <si>
    <t>Verify VRAM self refresh support with DashG (DG2) graphics functionality on Mobile Reference Board (MRB)</t>
  </si>
  <si>
    <t>CLID-9194</t>
  </si>
  <si>
    <t>Negative: Verify Audio Playback using 3.5mm-Jack-Headset over Soundwire Codec</t>
  </si>
  <si>
    <t>Verify that the Discrete VPU device enumeration, pre and post S4, S5, warm and cold reset cycles</t>
  </si>
  <si>
    <t>VPU INTEL</t>
  </si>
  <si>
    <t>Verify SUT dose not enters to Pseudo G3 state when type-C adaptor connected</t>
  </si>
  <si>
    <t>Verify memory LPDDR4x_8GB_2933Mhz_Memory Down configuration functionality</t>
  </si>
  <si>
    <t>CSS-IVE-119150</t>
  </si>
  <si>
    <t>DC2</t>
  </si>
  <si>
    <t>bios.alderlake,bios.apollolake,bios.arrowlake,bios.cannonlake,bios.coffeelake,bios.cometlake,bios.icelake-client,bios.jasperlake,bios.kabylake,bios.kabylake_r,bios.lakefield,bios.lunarlake,bios.meteorlake,bios.raptorlake,bios.raptorlake_refresh,bios.tigerlake,bios.whiskeylake</t>
  </si>
  <si>
    <t>verified with Bom 72 edp</t>
  </si>
  <si>
    <t>bios.alderlake,bios.amberlake,bios.apollolake,bios.arrowlake,bios.broxton,bios.cannonlake,bios.coffeelake,bios.geminilake,bios.kabylake,bios.kabylake_r,bios.lunarlake,bios.meteorlake,bios.raptorlake,bios.tigerlake</t>
  </si>
  <si>
    <t>bios.alderlake,bios.apollolake,bios.arrowlake,bios.broxton,bios.cannonlake,bios.coffeelake,bios.cometlake,bios.geminilake,bios.icelake-client,bios.jasperlake,bios.kabylake,bios.kabylake_r,bios.lunarlake,bios.meteorlake,bios.raptorlake,bios.rocketlake,bios.tigerlake,bios.whiskeylake,ifwi.apollolake,ifwi.arrowlake,ifwi.broxton,ifwi.cannonlake,ifwi.coffeelake,ifwi.cometlake,ifwi.geminilake,ifwi.icelake,ifwi.kabylake,ifwi.kabylake_r,ifwi.meteorlake,ifwi.raptorlake,ifwi.tigerlake,ifwi.whiskeylake</t>
  </si>
  <si>
    <t>bios.alderlake,bios.apollolake,bios.arrowlake,bios.cannonlake,bios.coffeelake,bios.cometlake,bios.geminilake,bios.icelake-client,bios.jasperlake,bios.kabylake,bios.kabylake_r,bios.lunarlake,bios.meteorlake,bios.raptorlake,bios.rocketlake,bios.tigerlake,bios.whiskeylake,ifwi.apollolake,ifwi.arrowlake,ifwi.cannonlake,ifwi.coffeelake,ifwi.cometlake,ifwi.geminilake,ifwi.icelake,ifwi.kabylake,ifwi.kabylake_r,ifwi.meteorlake,ifwi.raptorlake,ifwi.tigerlake,ifwi.whiskeylake</t>
  </si>
  <si>
    <t>bios.alderlake,bios.amberlake,bios.apollolake,bios.arrowlake,bios.cannonlake,bios.coffeelake,bios.cometlake,bios.icelake-client,bios.jasperlake,bios.kabylake,bios.kabylake_r,bios.lakefield,bios.lunarlake,bios.meteorlake,bios.raptorlake,bios.raptorlake_refresh,bios.tigerlake,bios.whiskeylake</t>
  </si>
  <si>
    <t>bios.alderlake,bios.amberlake,bios.apollolake,bios.arrowlake,bios.cannonlake,bios.coffeelake,bios.cometlake,bios.icelake-client,bios.jasperlake,bios.kabylake,bios.kabylake_r,bios.lakefield,bios.lunarlake,bios.meteorlake,bios.raptorlake,bios.raptorlake_refresh,bios.tigerlake,bios.whiskeylake,ifwi.amberlake,ifwi.raptorlake_refresh</t>
  </si>
  <si>
    <t>bios.alderlake,bios.amberlake,bios.arrowlake,bios.cannonlake,bios.coffeelake,bios.icelake-client,bios.jasperlake,bios.kabylake,bios.kabylake_r,bios.lakefield,bios.lunarlake,bios.meteorlake,bios.raptorlake,bios.raptorlake_refresh,bios.tigerlake,bios.whiskeylake</t>
  </si>
  <si>
    <t>bios.alderlake,bios.amberlake,bios.arrowlake,bios.cannonlake,bios.coffeelake,bios.icelake-client,bios.jasperlake,bios.kabylake,bios.kabylake_r,bios.lakefield,bios.lunarlake,bios.meteorlake,bios.raptorlake,bios.raptorlake_refresh,bios.tigerlake,bios.whiskeylake,ifwi.alderlake,ifwi.amberlake,ifwi.cannonlake,ifwi.coffeelake,ifwi.icelake,ifwi.kabylake,ifwi.kabylake_r,ifwi.lakefield,ifwi.raptorlake_refresh,ifwi.tigerlake,ifwi.whiskeylake</t>
  </si>
  <si>
    <t>bios.alderlake,bios.amberlake,bios.arrowlake,bios.cannonlake,bios.coffeelake,bios.cometlake,bios.icelake-client,bios.kabylake,bios.kabylake_r,bios.lakefield,bios.lunarlake,bios.meteorlake,bios.raptorlake,bios.tigerlake,bios.whiskeylake</t>
  </si>
  <si>
    <t>bios.alderlake,bios.arrowlake,bios.cannonlake,bios.coffeelake,bios.cometlake,bios.icelake-client,bios.lunarlake,bios.meteorlake,bios.raptorlake,bios.raptorlake_refresh,bios.tigerlake,bios.whiskeylake</t>
  </si>
  <si>
    <t>bios.alderlake,bios.arrowlake,bios.cannonlake,bios.coffeelake,bios.cometlake,bios.icelake-client,bios.kabylake_r,bios.lunarlake,bios.meteorlake,bios.raptorlake,bios.raptorlake_refresh,bios.tigerlake,bios.whiskeylake</t>
  </si>
  <si>
    <t>bios.alderlake,bios.amberlake,bios.arrowlake,bios.cannonlake,bios.coffeelake,bios.cometlake,bios.icelake-client,bios.kabylake,bios.kabylake_r,bios.lunarlake,bios.meteorlake,bios.raptorlake,bios.raptorlake_refresh,bios.tigerlake,bios.whiskeylake</t>
  </si>
  <si>
    <t>bios.alderlake,bios.arrowlake,bios.lunarlake,bios.meteorlake,bios.raptorlake,ifwi.cometlake,ifwi.icelake,ifwi.tigerlake,ifwi.whiskeylake</t>
  </si>
  <si>
    <t>bios.alderlake,bios.arrowlake,bios.lunarlake,bios.meteorlake,bios.raptorlake,ifwi.cometlake,ifwi.icelake,ifwi.lakefield,ifwi.raptorlake,ifwi.tigerlake,ifwi.whiskeylake</t>
  </si>
  <si>
    <t>bios.alderlake,bios.apollolake,bios.arrowlake,bios.cannonlake,bios.coffeelake,bios.cometlake,bios.icelake-client,bios.jasperlake,bios.kabylake,bios.kabylake_r,bios.lakefield,bios.lunarlake,bios.meteorlake,bios.raptorlake,bios.raptorlake_refresh,bios.tigerlake,bios.whiskeylake,ifwi.lunarlake,ifwi.meteorlake,ifwi.raptorlake,ifwi.raptorlake_refresh</t>
  </si>
  <si>
    <t>bios.alderlake,bios.amberlake,bios.arrowlake,bios.cannonlake,bios.coffeelake,bios.icelake-client,bios.jasperlake,bios.kabylake,bios.lakefield,bios.lunarlake,bios.meteorlake,bios.raptorlake,bios.raptorlake_refresh,bios.tigerlake,bios.whiskeylake</t>
  </si>
  <si>
    <t>bios.alderlake,bios.amberlake,bios.apollolake,bios.arrowlake,bios.cannonlake,bios.coffeelake,bios.cometlake,bios.geminilake,bios.icelake-client,bios.jasperlake,bios.kabylake,bios.kabylake_r,bios.lakefield,bios.lunarlake,bios.meteorlake,bios.raptorlake,bios.raptorlake_refresh,bios.rocketlake,bios.tigerlake,bios.whiskeylake</t>
  </si>
  <si>
    <t>Verify Single touch functionality when both controllers (THC0 and THC1) Disabled</t>
  </si>
  <si>
    <t>bios.alderlake,bios.amberlake,bios.arrowlake,bios.cannonlake,bios.coffeelake,bios.icelake-client,bios.kabylake,bios.kabylake_r,bios.lunarlake,bios.meteorlake,bios.raptorlake,bios.tigerlake</t>
  </si>
  <si>
    <t>bios.alderlake,bios.arrowlake,bios.lunarlake,bios.meteorlake,bios.raptorlake,bios.raptorlake_refresh,bios.rocketlake,bios.tigerlake</t>
  </si>
  <si>
    <t>CLID-8696</t>
  </si>
  <si>
    <t>bios.alderlake,bios.amberlake,bios.arrowlake,bios.cannonlake,bios.coffeelake,bios.cometlake,bios.icelake-client,bios.kabylake,bios.kabylake_r,bios.lunarlake,bios.meteorlake,bios.raptorlake,bios.tigerlake,bios.whiskeylake</t>
  </si>
  <si>
    <t>bios.alderlake,bios.arrowlake,bios.icelake-client,bios.jasperlake,bios.lakefield,bios.lunarlake,bios.meteorlake,bios.raptorlake,bios.raptorlake_refresh,bios.tigerlake</t>
  </si>
  <si>
    <t>bios.alderlake,bios.arrowlake,bios.lunarlake,bios.meteorlake,bios.raptorlake,bios.tigerlake</t>
  </si>
  <si>
    <t>bios.alderlake,bios.arrowlake,bios.lunarlake,bios.meteorlake,bios.raptorlake,bios.raptorlake_refresh,bios.tigerlake</t>
  </si>
  <si>
    <t>pseudo G3</t>
  </si>
  <si>
    <t>bios.alderlake,bios.amberlake,bios.apollolake,bios.arrowlake,bios.cannonlake,bios.coffeelake,bios.cometlake,bios.geminilake,bios.icelake-client,bios.jasperlake,bios.kabylake,bios.kabylake_r,bios.lunarlake,bios.meteorlake,bios.raptorlake,bios.raptorlake_refresh,bios.rocketlake,bios.tigerlake,bios.whiskeylake,ifwi.arrowlake,ifwi.meteorlake,ifwi.raptorlake_refresh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</si>
  <si>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ocketlake,bios.tigerlake,bios.whiskeylake</t>
  </si>
  <si>
    <t>bios.alderlake,bios.apollolake,bios.arrowlake,bios.broxton,bios.cannonlake,bios.cometlake,bios.geminilake,bios.icelake-client,bios.kabylake,bios.lunarlake,bios.meteorlake,bios.raptorlake,bios.rocketlake,bios.tigerlake,ifwi.arrowlake,ifwi.meteorlake</t>
  </si>
  <si>
    <t>bios.alderlake,bios.arrowlake,bios.broxton,bios.cometlake,bios.geminilake,bios.icelake-client,bios.jasperlake,bios.lunarlake,bios.meteorlake,bios.raptorlake,bios.rocketlake,bios.tigerlake</t>
  </si>
  <si>
    <t>HG card</t>
  </si>
  <si>
    <t>bios.alderlake,bios.amberlake,bios.amberlake_7w,bios.arrowlake,bios.cannonlake,bios.coffeelake,bios.cometlake,bios.kabylake,bios.kabylake_r,bios.lunarlake,bios.meteorlake,bios.raptorlake,bios.raptorlake_refresh,bios.rocketlake,bios.skylake,bios.tigerlake,bios.whiskeylake</t>
  </si>
  <si>
    <t>gfx card</t>
  </si>
  <si>
    <t>bios.alderlake,bios.arrowlake,bios.cannonlake,bios.coffeelake,bios.cometlake,bios.icelake-client,bios.kabylake,bios.kabylake_r,bios.lunarlake,bios.meteorlake,bios.raptorlake,bios.raptorlake_refresh,bios.rocketlake,bios.tigerlake,bios.whiskeylake</t>
  </si>
  <si>
    <t>bios.alderlake,bios.amberlake,bios.arrowlake,bios.cannonlake,bios.coffeelake,bios.cometlake,bios.icelake-client,bios.jasperlake,bios.kabylake,bios.meteorlake,bios.raptorlake,bios.raptorlake_refresh,bios.rocketlake,bios.tigerlake,bios.whiskeylake</t>
  </si>
  <si>
    <t>bios.alderlake,bios.amberlake,bios.amberlake_7w,bios.arrowlake,bios.cannonlake,bios.coffeelake,bios.cometlake,bios.icelake-client,bios.jasperlake,bios.kabylake,bios.kabylake_r,bios.meteorlake,bios.raptorlake,bios.raptorlake_refresh,bios.rocketlake,bios.skylake,bios.tigerlake,bios.whiskeylake</t>
  </si>
  <si>
    <t>bios.alderlake,bios.amberlake,bios.amberlake_7w,bios.arrowlake,bios.cannonlake,bios.coffeelake,bios.cometlake,bios.jasperlake,bios.kabylake,bios.kabylake_r,bios.meteorlake,bios.raptorlake,bios.raptorlake_refresh,bios.rocketlake,bios.skylake,bios.tigerlake,bios.whiskeylake</t>
  </si>
  <si>
    <t>bios.alderlake,bios.amberlake,bios.amberlake_7w,bios.apollolake,bios.arrowlake,bios.coffeelake,bios.cometlake,bios.geminilake,bios.icelake-client,bios.kabylake,bios.lunarlake,bios.meteorlake,bios.raptorlake,bios.raptorlake_refresh,bios.rocketlake,bios.skylake,bios.tigerlake,bios.whiskeylake,ifwi.apollolake,ifwi.arrowlake,ifwi.geminilake,ifwi.icelake,ifwi.lunarlake,ifwi.meteorlake,ifwi.raptorlake,ifwi.raptorlake_refresh,ifwi.tigerlake</t>
  </si>
  <si>
    <t>bios.alderlake,bios.amberlake,bios.amberlake_7w,bios.apollolake,bios.arrowlake,bios.coffeelake,bios.cometlake,bios.geminilake,bios.icelake-client,bios.kabylake,bios.meteorlake,bios.raptorlake,bios.raptorlake_refresh,bios.rocketlake,bios.skylake,bios.tigerlake,bios.whiskeylake</t>
  </si>
  <si>
    <t>odc</t>
  </si>
  <si>
    <t>manohar</t>
  </si>
  <si>
    <t>bios.alderlake,bios.arrowlake,bios.cannonlake,bios.coffeelake,bios.icelake-client,bios.jasperlake,bios.lunarlake,bios.meteorlake,bios.raptorlake,bios.raptorlake_refresh,bios.rocketlake,bios.tigerlake,bios.whiskeylake</t>
  </si>
  <si>
    <t>bios.alderlake,bios.arrowlake,bios.cannonlake,bios.coffeelake,bios.cometlake,bios.lunarlake,bios.meteorlake,bios.raptorlake,bios.raptorlake_refresh,bios.rocketlake,bios.tigerlake,bios.whiskeylake</t>
  </si>
  <si>
    <t>bios.alderlake,bios.apollolake,bios.arrowlake,bios.broxton,bios.cannonlake,bios.coffeelake,bios.cometlake,bios.icelake-client,bios.jasperlake,bios.kabylake,bios.kabylake_r,bios.lunarlake,bios.meteorlake,bios.raptorlake,bios.raptorlake_refresh,bios.rocketlake,bios.tigerlake,bios.whiskeylake</t>
  </si>
  <si>
    <t>bios.alderlake,bios.arrowlake,bios.cannonlake,bios.coffeelake,bios.cometlake,bios.icelake-client,bios.jasperlake,bios.lakefield,bios.lunarlake,bios.meteorlake,bios.raptorlake,bios.raptorlake_refresh,bios.rocketlake,bios.tigerlake,bios.whiskeylake,ifwi.arrowlake,ifwi.lunarlake,ifwi.meteorlake,ifwi.raptorlake,ifwi.raptorlake_refresh</t>
  </si>
  <si>
    <t>bios.alderlake,bios.arrowlake,bios.cannonlake,bios.coffeelake,bios.cometlake,bios.icelake-client,bios.jasperlake,bios.lunarlake,bios.meteorlake,bios.raptorlake,bios.raptorlake_refresh,bios.rocketlake,bios.tigerlake,bios.whiskeylake</t>
  </si>
  <si>
    <t>bios.alderlake,bios.arrowlake,bios.meteorlake,bios.raptorlake,bios.raptorlake_refresh,bios.tigerlake</t>
  </si>
  <si>
    <t>bios.alderlake,bios.arrowlake,bios.lunarlake,bios.meteorlake,bios.raptorlake,bios.raptorlake_refresh</t>
  </si>
  <si>
    <t>bios.alderlake,bios.arrowlake,bios.jasperlake,bios.lunarlake,bios.meteorlake,bios.raptorlake,bios.rocketlake</t>
  </si>
  <si>
    <t>bios.alderlake,bios.apollolake,bios.arrowlake,bios.broxton,bios.geminilake,bios.jasperlake,bios.lunarlake,bios.meteorlake,bios.raptorlake,ifwi.apollolake,ifwi.broxton,ifwi.geminilake</t>
  </si>
  <si>
    <t>bios.alderlake,bios.amberlake,bios.arrowlake,bios.broxton,bios.cannonlake,bios.cometlake,bios.icelake-client,bios.jasperlake,bios.kabylake,bios.kabylake_r,bios.lakefield,bios.lunarlake,bios.meteorlake,bios.raptorlake,bios.raptorlake_refresh,bios.rocketlake,bios.tigerlake,bios.whiskeylake</t>
  </si>
  <si>
    <t>touchpanel is NA for GC</t>
  </si>
  <si>
    <t>bios.alderlake,bios.arrowlake,bios.jasperlake,bios.lunarlake,bios.meteorlake,bios.raptorlake,bios.tigerlake</t>
  </si>
  <si>
    <t>bios.alderlake,bios.amberlake,bios.arrowlake,bios.coffeelake,bios.cometlake,bios.kabylake,bios.lunarlake,bios.meteorlake,bios.raptorlake,bios.raptorlake_refresh,bios.rocketlake,bios.skylake,bios.tigerlake,bios.whiskeylake,ifwi.arrowlake,ifwi.meteorlake,ifwi.raptorlake,ifwi.raptorlake_refresh,ifwi.tigerlake</t>
  </si>
  <si>
    <t>bios.alderlake,bios.amberlake,bios.arrowlake,bios.coffeelake,bios.cometlake,bios.kabylake,bios.lunarlake,bios.meteorlake,bios.raptorlake,bios.raptorlake_refresh,bios.rocketlake,bios.skylake,bios.tigerlake,bios.whiskeylake,ifwi.raptorlake,ifwi.raptorlake_refresh,ifwi.tigerlake</t>
  </si>
  <si>
    <t>bios.alderlake,bios.arrowlake,bios.jasperlake,bios.lunarlake,bios.meteorlake,bios.raptorlake,bios.raptorlake_refresh,bios.rocketlake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</si>
  <si>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aptorlake_refresh,bios.rocketlake,bios.tigerlake,bios.whiskeylake,ifwi.amberlake,ifwi.apollolake,ifwi.arrowlake,ifwi.broxton,ifwi.cannonlake,ifwi.coffeelake,ifwi.cometlake,ifwi.geminilake,ifwi.icelake,ifwi.kabylake,ifwi.kabylake_r,ifwi.lunarlake,ifwi.meteorlake,ifwi.raptorlake,ifwi.raptorlake_refresh,ifwi.tigerlake,ifwi.whiskeylake</t>
  </si>
  <si>
    <t>bios.alderlake,bios.apollolake,bios.arrowlake,bios.cannonlake,bios.coffeelake,bios.cometlake,bios.geminilake,bios.icelake-client,bios.jasperlake,bios.kabylake,bios.kabylake_r,bios.meteorlake,bios.raptorlake,bios.raptorlake_refresh,bios.rocketlake,bios.tigerlake,bios.whiskeylake,ifwi.apollolake,ifwi.arrowlake,ifwi.cannonlake,ifwi.coffeelake,ifwi.cometlake,ifwi.geminilake,ifwi.icelake,ifwi.kabylake,ifwi.kabylake_r,ifwi.meteorlake,ifwi.raptorlake,ifwi.raptorlake_refresh,ifwi.tigerlake,ifwi.whiskeylake</t>
  </si>
  <si>
    <t>bios.alderlake,bios.apollolake,bios.arrowlake,bios.broxton,bios.cannonlake,bios.cometlake,bios.geminilake,bios.icelake-client,bios.kabylake,bios.kabylake_r,bios.lakefield,bios.meteorlake,bios.raptorlake,bios.raptorlake_refresh,bios.rocketlake,bios.tigerlake,ifwi.apollolake,ifwi.arrowlake,ifwi.broxton,ifwi.cannonlake,ifwi.cometlake,ifwi.geminilake,ifwi.icelake,ifwi.kabylake,ifwi.kabylake_r,ifwi.lakefield,ifwi.meteorlake,ifwi.raptorlake,ifwi.raptorlake_refresh,ifwi.tigerlake</t>
  </si>
  <si>
    <t>2 edp port is NA</t>
  </si>
  <si>
    <t>bios.alderlake,bios.arrowlake,bios.lunarlake,bios.meteorlake,bios.raptorlake</t>
  </si>
  <si>
    <t>bios.alderlake,bios.raptorlake,bios.raptorlake_refresh</t>
  </si>
  <si>
    <t>bios.amberlake,bios.amberlake_7w,bios.arrowlake,bios.coffeelake,bios.cometlake,bios.kabylake,bios.lunarlake,bios.meteorlake,bios.raptorlake,bios.raptorlake_refresh,bios.rocketlake,bios.skylake,bios.whiskeylake</t>
  </si>
  <si>
    <t>bios.arrowlake,bios.lunarlake,bios.meteorlake,bios.raptorlake,bios.raptorlake_refresh</t>
  </si>
  <si>
    <t>Dvpu</t>
  </si>
  <si>
    <t>bios.raptorlake,bios.raptorlake_refresh</t>
  </si>
  <si>
    <t>freq-3200MHz &amp; total memory- 16GB</t>
  </si>
  <si>
    <t>bios.alderlake,bios.arrowlake,bios.cometlake,bios.meteorlake,bios.raptorlake,bios.raptorlake_refresh,bios.whiskeylake</t>
  </si>
  <si>
    <t>Verify _DSD method for D3 with NVMe connected to M.2 PCH slot  in AHCI mode</t>
  </si>
  <si>
    <t>DC3</t>
  </si>
  <si>
    <t>CSS-IVE-145802</t>
  </si>
  <si>
    <t>PCH slot is not applicable as per config sheet / MAIL sent</t>
  </si>
  <si>
    <t>Ambika</t>
  </si>
  <si>
    <t>Verify remapped NVME RTD3 cold support with default config</t>
  </si>
  <si>
    <t>CSS-IVE-147213</t>
  </si>
  <si>
    <t>Verify BIOS setting change for CPU DMI UNRD</t>
  </si>
  <si>
    <t>CSS-IVE-147234</t>
  </si>
  <si>
    <t>Install OS from external USB Flash Disk to UFS</t>
  </si>
  <si>
    <t>CSS-IVE-67699</t>
  </si>
  <si>
    <t xml:space="preserve">UFS </t>
  </si>
  <si>
    <t>Verify Memory-DDR5_SODIMM_3200Mhz_2_RANK_1DPC_CH0_8GB is functioning</t>
  </si>
  <si>
    <t>CSS-IVE-113633</t>
  </si>
  <si>
    <t>ddr5</t>
  </si>
  <si>
    <t>Liberty_harbor-SSD</t>
  </si>
  <si>
    <t>Verify  SUT boot with DDR5_UDIMM_2DPC_memory configuration at 4267 MHz</t>
  </si>
  <si>
    <t>CSS-IVE-113807</t>
  </si>
  <si>
    <t>Verify Memory-DDR4_SODIMM_3200MHz_2_RANK_1DPC_CH1_8GB is functioning</t>
  </si>
  <si>
    <t>CSS-IVE-100151</t>
  </si>
  <si>
    <t>Verify dual channel memory SODIMM DDR5 3733Mhz-2x8GB is functioning</t>
  </si>
  <si>
    <t>CSS-IVE-114564</t>
  </si>
  <si>
    <t>Verify  SUT boot with DDR5_SODIMM_1DPC_memory configuration at 4800 MHz</t>
  </si>
  <si>
    <t>CSS-IVE-114569</t>
  </si>
  <si>
    <t>Verify  SUT boot with DDR5_UDIMM_2DPC_memory configuration at 3733 MHz</t>
  </si>
  <si>
    <t>CSS-IVE-114596</t>
  </si>
  <si>
    <t>Perbios</t>
  </si>
  <si>
    <t>Verify Bios options in TPV device manager with RAID enabled &amp; disabled</t>
  </si>
  <si>
    <t>CSS-IVE-71582</t>
  </si>
  <si>
    <t>Verify Sx cycle after OS install on SUT with SSD configured as RAID 1</t>
  </si>
  <si>
    <t>CSS-IVE-70897</t>
  </si>
  <si>
    <t>2 sata port is not there</t>
  </si>
  <si>
    <t>Verify Successful Boot after changes made to RAID configuration under SATA settings in BIOS &amp; RAID 5 Config</t>
  </si>
  <si>
    <t>CSS-IVE-70898</t>
  </si>
  <si>
    <t>3 sata ports</t>
  </si>
  <si>
    <t>Verify BIOS support to spin up a drive that is in the PUIS state when resuming from S3</t>
  </si>
  <si>
    <t>CSS-IVE-84970</t>
  </si>
  <si>
    <t>CLID-8947</t>
  </si>
  <si>
    <t>Verify boot to OS from Intel RST premium(RAID) configured storage device</t>
  </si>
  <si>
    <t>CSS-IVE-86550</t>
  </si>
  <si>
    <t>Loydstar-SSD</t>
  </si>
  <si>
    <t>Verify BIOS shall resume a ZPODD device from Sx state</t>
  </si>
  <si>
    <t>CSS-IVE-85702</t>
  </si>
  <si>
    <t>Inventiry block</t>
  </si>
  <si>
    <t>Verify RST driver version in OS device manager with RAID mode</t>
  </si>
  <si>
    <t>CSS-IVE-97241</t>
  </si>
  <si>
    <t>BIOS should allow the user to set their own values for DEVSLP Idle Timeout (DITO) and DITO Multiplier (DM)</t>
  </si>
  <si>
    <t>CSS-IVE-97349</t>
  </si>
  <si>
    <t>sata</t>
  </si>
  <si>
    <t>Verify NVMe SSD achieve SLP_S0 residency during CS</t>
  </si>
  <si>
    <t>CSS-IVE-101337</t>
  </si>
  <si>
    <t>Verify LPSS SPI need to be on PCI mode by default</t>
  </si>
  <si>
    <t>CSS-IVE-105573</t>
  </si>
  <si>
    <t>Verify remapped NVME RTD3 support with default config in DC Mode</t>
  </si>
  <si>
    <t>CSS-IVE-113650</t>
  </si>
  <si>
    <t>Verify RST driver installation and uninstallation in OS with AHCI/RAID mode</t>
  </si>
  <si>
    <t>CSS-IVE-113845</t>
  </si>
  <si>
    <t>Verify BIOS support for Early Hard disk Spin up</t>
  </si>
  <si>
    <t>CSS-IVE-114237</t>
  </si>
  <si>
    <t>CLID-8734</t>
  </si>
  <si>
    <t>Verify warm reset and Sx cycle with PCIe Gen4 NVMe SSD connected over PCIe Gen4 supported X4 slot</t>
  </si>
  <si>
    <t>CSS-IVE-119125</t>
  </si>
  <si>
    <t>Verify RAID 1 configuration in NVME interface using VMD</t>
  </si>
  <si>
    <t>CSS-IVE-129710</t>
  </si>
  <si>
    <t>Verify RAID 0 configuration in NVME interface using VMD</t>
  </si>
  <si>
    <t>CSS-IVE-129711</t>
  </si>
  <si>
    <t>Verify configuration of RAID 0 volume in PreOS with NVMe</t>
  </si>
  <si>
    <t>CSS-IVE-129712</t>
  </si>
  <si>
    <t>Verify user can create/delete RAID volume using RstVmdConfig.efi</t>
  </si>
  <si>
    <t>CSS-IVE-129713</t>
  </si>
  <si>
    <t>Verify configuration of RAID 1 volume in PreOS with NVMe</t>
  </si>
  <si>
    <t>CSS-IVE-129714</t>
  </si>
  <si>
    <t>Verify NVMe device boot and system stability after Sx with VMD port enabled</t>
  </si>
  <si>
    <t>CSS-IVE-129735</t>
  </si>
  <si>
    <t>3rd party</t>
  </si>
  <si>
    <t>Verify RAID0 with CPU Attached Storage Devices connected over x16 &amp; x8 Gen5 slots and system stability after Sx cycles</t>
  </si>
  <si>
    <t>CSS-IVE-144407</t>
  </si>
  <si>
    <t>x16 Slot is not there</t>
  </si>
  <si>
    <t>Verify RAID1 with CPU Attached Storage Devices connected over x16 &amp; x8 Gen5 slots and system stability after Sx cycles</t>
  </si>
  <si>
    <t>CSS-IVE-144408</t>
  </si>
  <si>
    <t>Verify that the PCH SATA Controller is set and operating in RAID Mode Through VMD</t>
  </si>
  <si>
    <t>CSS-IVE-144540</t>
  </si>
  <si>
    <t>Verify RAID creation with CPU Attached Storage Device and PCH attached device(on PCIe4 controller) through EFI shell via VMD</t>
  </si>
  <si>
    <t>CSS-IVE-144673</t>
  </si>
  <si>
    <t>Verify Sx cycles before and after remapping of NVMe device Through VMD</t>
  </si>
  <si>
    <t>CSS-IVE-144696</t>
  </si>
  <si>
    <t>Verify RAID0 with two SATA Storage Devices and system stability after Sx cycles Through VMD</t>
  </si>
  <si>
    <t>CSS-IVE-145696</t>
  </si>
  <si>
    <t>Verify RAID 1 with two SATA Storage Devices and system stability after Sx cycles Through VMD</t>
  </si>
  <si>
    <t>CSS-IVE-145699</t>
  </si>
  <si>
    <t>CLID-8531</t>
  </si>
  <si>
    <t>Verify hot-plug/unplug functionality with discrete graphics (DGfx) with/without PCIE Resizable BAR support with DashG graphics card on X8 PEG slot</t>
  </si>
  <si>
    <t>CSS-IVE-145212</t>
  </si>
  <si>
    <t>CLID-8945</t>
  </si>
  <si>
    <t>CLID- 9194</t>
  </si>
  <si>
    <t>DC4</t>
  </si>
  <si>
    <t>Hussain Mohammed</t>
  </si>
  <si>
    <t>Verify BIOS options for HD Audio, Soundwire and I2S Configuration</t>
  </si>
  <si>
    <t>CSS-IVE-51162</t>
  </si>
  <si>
    <t xml:space="preserve">kalyani pm </t>
  </si>
  <si>
    <t>Validate Hybrid Graphics (HG) enumeration at OS with DP display connected on SUT</t>
  </si>
  <si>
    <t>CSS-IVE-52477</t>
  </si>
  <si>
    <t>Sindhura</t>
  </si>
  <si>
    <t>Touch NA</t>
  </si>
  <si>
    <t>UFS not a POR</t>
  </si>
  <si>
    <t>Verify Dual Touch functionality in OS after DeepS4 and DeepS5</t>
  </si>
  <si>
    <t>CSS-IVE-113808</t>
  </si>
  <si>
    <t>Deep S4</t>
  </si>
  <si>
    <t>Memory Module</t>
  </si>
  <si>
    <t>Verfied with d3 hot</t>
  </si>
  <si>
    <t>Reshma</t>
  </si>
  <si>
    <t>Check the LED/Fan indication on the Hybrid Graphics (HG) card during boot and OS</t>
  </si>
  <si>
    <t>CSS-IVE-71190</t>
  </si>
  <si>
    <t>Verify iGFX functionality of Hybrid Graphics (HG) card connected system after disabling HG</t>
  </si>
  <si>
    <t>CSS-IVE-71248</t>
  </si>
  <si>
    <t>Check no BSOD on HG Setup with MSFT Inbox Driver</t>
  </si>
  <si>
    <t>CSS-IVE-71252</t>
  </si>
  <si>
    <t>Validate Discrete Graphics enumeration at OS with DGFX card connected</t>
  </si>
  <si>
    <t>CSS-IVE-80985</t>
  </si>
  <si>
    <t>Validate basic display functionality of Discrete Graphics  at Pre-OS and Post OS when HG card connected on x4 PCIe slot</t>
  </si>
  <si>
    <t>CSS-IVE-80986</t>
  </si>
  <si>
    <t>Check system stability during uninstalling and installing different Hybrid Graphics (HG) cards with Drivers</t>
  </si>
  <si>
    <t>CSS-IVE-88804</t>
  </si>
  <si>
    <t>Gujjari, AnilkumarX</t>
  </si>
  <si>
    <t>Verify C10 and Slp-S0 is achieved in Connected MOS during 3D Game with HG Card connected on PCIe x4 Gen4 slot</t>
  </si>
  <si>
    <t>CSS-IVE-119072</t>
  </si>
  <si>
    <t>Verify _DSM functions defined for the PCIe RTD3 in ACPI</t>
  </si>
  <si>
    <t>CSS-IVE-120117</t>
  </si>
  <si>
    <t>Verify Gen4 Discrete Graphics basic functionality on x4 PCIE Gen4 slot with Sx cycles</t>
  </si>
  <si>
    <t>CSS-IVE-133865</t>
  </si>
  <si>
    <t>Verify Gen4 Discrete Graphics basic functionality on x4 PCIE Gen4 slot with CMS cycles</t>
  </si>
  <si>
    <t>CSS-IVE-133866</t>
  </si>
  <si>
    <t>Verify System completes S4/S5 cycles successfully with Discrete graphics when external graphics card connected</t>
  </si>
  <si>
    <t>CSS-IVE-145166</t>
  </si>
  <si>
    <t>Verify Gen4 Discrete Graphics basic functionality on x4 PCIE Gen4 slot with warm and cold reboot cycles</t>
  </si>
  <si>
    <t>CSS-IVE-145393</t>
  </si>
  <si>
    <t xml:space="preserve">SATA </t>
  </si>
  <si>
    <t>Verify display check on HDMI when connected via DP 1.2 to HDMI dongle</t>
  </si>
  <si>
    <t>CSS-IVE-71258</t>
  </si>
  <si>
    <t>Display Port Not available</t>
  </si>
  <si>
    <t>Verify Clover Falls (CVF) Camera functionality via capturing Image/Video with pre and post DMS cycles in OS</t>
  </si>
  <si>
    <t>CSS-IVE-147192</t>
  </si>
  <si>
    <t>CVF camera</t>
  </si>
  <si>
    <t>raise cl by hussian</t>
  </si>
  <si>
    <t>Verify discrete graphics (DGfx) functionality with/without PCIE Resizable BAR support with external graphics card on X4 PCIE slot, post S4, S5, warm/cold reset cycles</t>
  </si>
  <si>
    <t>Verify hot-plug/unplug functionality with discrete graphics (DGfx) with/without PCIE Resizable BAR support with external graphics card on X4 PCIE slot</t>
  </si>
  <si>
    <t>ver with available memory</t>
  </si>
  <si>
    <t>DC5</t>
  </si>
  <si>
    <t>Pass</t>
  </si>
  <si>
    <t>Type c</t>
  </si>
  <si>
    <t>Verified with available memory</t>
  </si>
  <si>
    <t>SATA is not available</t>
  </si>
  <si>
    <t>Verify that NR build of the BIOS does not support enabling Testmenu</t>
  </si>
  <si>
    <t>2SDC1</t>
  </si>
  <si>
    <t>CSS-IVE-52387</t>
  </si>
  <si>
    <t>Verify Dual OS Boot functionality</t>
  </si>
  <si>
    <t>CSS-IVE-53973</t>
  </si>
  <si>
    <t>CLID-8084</t>
  </si>
  <si>
    <t>Verify "Boot Performance Mode" bios options and CPU frequency reflects according to the option in BIOS</t>
  </si>
  <si>
    <t>CSS-IVE-44273</t>
  </si>
  <si>
    <t>Machine Check Architecture Support</t>
  </si>
  <si>
    <t>CSS-IVE-44358</t>
  </si>
  <si>
    <t>Verify if Bios detects two previous processor steppings</t>
  </si>
  <si>
    <t>CSS-IVE-80050</t>
  </si>
  <si>
    <t>verified with N'th stepping</t>
  </si>
  <si>
    <t>Verify CPU C10 residency when system connected to Wi-Fi Network</t>
  </si>
  <si>
    <t>CSS-IVE-101394</t>
  </si>
  <si>
    <t>ver with NVME SSD</t>
  </si>
  <si>
    <t>Anil Kumar,Anju</t>
  </si>
  <si>
    <t>connectivity.wifi</t>
  </si>
  <si>
    <t>Verify  ER debug mode enabled status get reflected correctly in  ETR3 Register</t>
  </si>
  <si>
    <t>CSS-IVE-133841</t>
  </si>
  <si>
    <t xml:space="preserve">CLID- 9212 </t>
  </si>
  <si>
    <t>Verify ACPI implementation to control WIFI 6 11AX support based on _DSM Method</t>
  </si>
  <si>
    <t>CSS-IVE-133051</t>
  </si>
  <si>
    <t>Verify Windows OS presents the Boot repair options on 2 consecutive boot failures with fast boot enabled</t>
  </si>
  <si>
    <t>CSS-IVE-44546</t>
  </si>
  <si>
    <t>Verify system stability after S3 and S4 cycles using LAN as wake source.</t>
  </si>
  <si>
    <t>CSS-IVE-69924</t>
  </si>
  <si>
    <t>connectivity.ethernet</t>
  </si>
  <si>
    <t>All cores initialization check in normal and after S4 mode</t>
  </si>
  <si>
    <t>CSS-IVE-69989</t>
  </si>
  <si>
    <t>Verification of CPU-HID (Core SKU) values in ACPI dump for Micro-PEP devices</t>
  </si>
  <si>
    <t>CSS-IVE-78915</t>
  </si>
  <si>
    <t>Validate SUT wake from S3 &amp; S4 Using USB-LAN device AC mode</t>
  </si>
  <si>
    <t>CSS-IVE-80239</t>
  </si>
  <si>
    <t>Verify if BIOS displays Firmware Status 1, Status 2 values and check if the same is displayed in OS</t>
  </si>
  <si>
    <t>CSS-IVE-80247</t>
  </si>
  <si>
    <t>Verify Bluetooth power management profile for DT SKU through ACPI table</t>
  </si>
  <si>
    <t>CSS-IVE-79891</t>
  </si>
  <si>
    <t>ver with value 02[Mobile]</t>
  </si>
  <si>
    <t>manasa</t>
  </si>
  <si>
    <t>Verify ISH device ID"s are displayed in EFI Log</t>
  </si>
  <si>
    <t>CSS-IVE-84951</t>
  </si>
  <si>
    <t>'Device 51FC' from step 6log</t>
  </si>
  <si>
    <t>Verify RTD3 flow for CNVi BT Device</t>
  </si>
  <si>
    <t>CSS-IVE-101183</t>
  </si>
  <si>
    <t>CLID-8206</t>
  </si>
  <si>
    <t>Verify CNVi Wi-Fi/BT do not enumerate in OS with CNVi option Disabled in BIOS</t>
  </si>
  <si>
    <t>CSS-IVE-101273</t>
  </si>
  <si>
    <t>Altimeter is not POR</t>
  </si>
  <si>
    <t>Verify Connect/Disconnect Wi-Fi Hotspot in OS</t>
  </si>
  <si>
    <t>CSS-IVE-102506</t>
  </si>
  <si>
    <t>Verify CNVi Bluetooth Enumeration in OS before / after Connected Standby (CMS) cycle</t>
  </si>
  <si>
    <t>CSS-IVE-105405</t>
  </si>
  <si>
    <t>Verify SUT wakes from S3 using Bluetooth (BT Devices)</t>
  </si>
  <si>
    <t>CSS-IVE-105757</t>
  </si>
  <si>
    <t>Verify SUT wakes from S4 using Bluetooth (BT Devices)</t>
  </si>
  <si>
    <t>CSS-IVE-114273</t>
  </si>
  <si>
    <t>Validate SUT wake from S0i3 Using USB-LAN</t>
  </si>
  <si>
    <t>CSS-IVE-114799</t>
  </si>
  <si>
    <t>CLID - 8244</t>
  </si>
  <si>
    <t>Verify BIOS shall provide support to increase the SPLC default power limit to 65535 mW for Wi-Fi</t>
  </si>
  <si>
    <t>CSS-IVE-117070</t>
  </si>
  <si>
    <t>Verify BIOS shall provide support to change WGDS default MAX_ALLOWED values</t>
  </si>
  <si>
    <t>CSS-IVE-117071</t>
  </si>
  <si>
    <t>Validate CNVi Wi-Fi for RTD3 support</t>
  </si>
  <si>
    <t>CSS-IVE-115565</t>
  </si>
  <si>
    <t>ver with D0</t>
  </si>
  <si>
    <t>Verify BIOS have ability to enable and disable Wake on WLAN</t>
  </si>
  <si>
    <t>CSS-IVE-115601</t>
  </si>
  <si>
    <t>CLID-9295</t>
  </si>
  <si>
    <t>Verify BIOS have ability to enable and disable Wake on Bluetooth</t>
  </si>
  <si>
    <t>CSS-IVE-115602</t>
  </si>
  <si>
    <t>Verify Bluetooth Regulatory Updates in BIOS</t>
  </si>
  <si>
    <t>CSS-IVE-117956</t>
  </si>
  <si>
    <t>Verify stability of Wi-Fi and BT functionality after S3, S4, S5, Warm and cold reboot cycles with PPAG (Per Platform Antenna Gain) option enabled in BIOS</t>
  </si>
  <si>
    <t>CSS-IVE-118411</t>
  </si>
  <si>
    <t>Verify stability of Wi-Fi and BT functionality after CMS cycles with PPAG (Per Platform Antenna Gain) option enabled in BIOS</t>
  </si>
  <si>
    <t>CSS-IVE-118412</t>
  </si>
  <si>
    <t>Verify stability of Wi-Fi and BT functionality after S3, S4, S5, Warm and cold reboot cycles with ECKV (External Clock Valid) option enabled in BIOS</t>
  </si>
  <si>
    <t>CSS-IVE-118415</t>
  </si>
  <si>
    <t>Verify stability of Wi-Fi and BT functionality after CMS cycles with ECKV (External Clock Valid) enabled in BIOS</t>
  </si>
  <si>
    <t>CSS-IVE-118416</t>
  </si>
  <si>
    <t>Validate on board LAN device for RTD3</t>
  </si>
  <si>
    <t>CSS-IVE-122356</t>
  </si>
  <si>
    <t>Verify S0i3 residency when system connected to Wi-Fi Network</t>
  </si>
  <si>
    <t>CSS-IVE-133709</t>
  </si>
  <si>
    <t>ver with S0i2.0</t>
  </si>
  <si>
    <t>Verify CNVi Bluetooth Functionality in OS before/after warm reset cycle</t>
  </si>
  <si>
    <t>CSS-IVE-135471</t>
  </si>
  <si>
    <t>Verify system stability after S3 and S4 cycles using LAN connect over Foxville Port as wake source.</t>
  </si>
  <si>
    <t>CSS-IVE-136346</t>
  </si>
  <si>
    <t>Validate on PCIe LAN device for RTD3</t>
  </si>
  <si>
    <t>CSS-IVE-136395</t>
  </si>
  <si>
    <t>Verify Wi-Fi Device Entry in ACPI table</t>
  </si>
  <si>
    <t>CSS-IVE-144717</t>
  </si>
  <si>
    <t>Verify additional restart occurs when system falls back from fast boot to full boot with TPM enabled</t>
  </si>
  <si>
    <t>CSS-IVE-80322</t>
  </si>
  <si>
    <t>CLID-8555</t>
  </si>
  <si>
    <t>BIOS should skip Optional ROM code during fast boot if device associated with Optional ROM is not present</t>
  </si>
  <si>
    <t>CSS-IVE-99235</t>
  </si>
  <si>
    <t>CLID- 9248</t>
  </si>
  <si>
    <t>Verify system attains responsiveness metrics with PTT enabled Consumer IFWI and with OS installed on Optane enabled drive with SSD</t>
  </si>
  <si>
    <t>CSS-IVE-101031</t>
  </si>
  <si>
    <t>Verify responsiveness metrics are attained with Pre-boot DMA protection enabled without any TBT devices plugged in</t>
  </si>
  <si>
    <t>CSS-IVE-118832</t>
  </si>
  <si>
    <t>Verify that system boots successfully after enabling SAGV and MRC fast boot options</t>
  </si>
  <si>
    <t>CSS-IVE-70391</t>
  </si>
  <si>
    <t>Verify Scroll Lock/Num/caps Lock on-board LED Functionality using Scan Matrix Keyboard</t>
  </si>
  <si>
    <t>CSS-IVE-72294</t>
  </si>
  <si>
    <t>CLID-9334</t>
  </si>
  <si>
    <t>Verify when the system is reset, the 7 segment POST code display is cleared</t>
  </si>
  <si>
    <t>CSS-IVE-71571</t>
  </si>
  <si>
    <t>[FSP] [GCC]:Boot mode Check (Full Configuration,S3 Resume &amp; S4 Resume)</t>
  </si>
  <si>
    <t>CSS-IVE-132859</t>
  </si>
  <si>
    <t>CLID- 9301</t>
  </si>
  <si>
    <t>Verify SUT wake from S0i3 using PCIE LAN devices (WOL)</t>
  </si>
  <si>
    <t>CSS-IVE-76027</t>
  </si>
  <si>
    <t>CLID - 8287</t>
  </si>
  <si>
    <t>Verify Data Transfer Over Internet - WLAN</t>
  </si>
  <si>
    <t>CSS-IVE-94980</t>
  </si>
  <si>
    <t>Verify Opal supported NVMe SSD detection in BIOS Opal menu</t>
  </si>
  <si>
    <t>CSS-IVE-95021</t>
  </si>
  <si>
    <t>ver with available NVME</t>
  </si>
  <si>
    <t>Verify VMD NVMe device boot and system stability after Sx cycles</t>
  </si>
  <si>
    <t>CSS-IVE-115637</t>
  </si>
  <si>
    <t>Verify ASPM and L1 substate Values in OS with NVMe remapping</t>
  </si>
  <si>
    <t>CSS-IVE-116781</t>
  </si>
  <si>
    <t>SATA-HDD</t>
  </si>
  <si>
    <t>Verify NVMe device boot and system stability after Sx with VMD port disabled</t>
  </si>
  <si>
    <t>CSS-IVE-129730</t>
  </si>
  <si>
    <t>intel NVME - Intel</t>
  </si>
  <si>
    <t>Madhu</t>
  </si>
  <si>
    <t>Verify OS installation and system stability after Sx with NVME connected in PCH slot with VMD port enabled</t>
  </si>
  <si>
    <t>CSS-IVE-129737</t>
  </si>
  <si>
    <t>Verify BT audio Offload Bios policy for CNVi and discrete Module</t>
  </si>
  <si>
    <t>CSS-IVE-129967</t>
  </si>
  <si>
    <t>connectivity.bluetooth</t>
  </si>
  <si>
    <t>X-16 slot</t>
  </si>
  <si>
    <t>Verify RST device manager menu for PCIe and Sata Storage device Through VMD</t>
  </si>
  <si>
    <t>CSS-IVE-144538</t>
  </si>
  <si>
    <t>SATA-SSD</t>
  </si>
  <si>
    <t>Verify reboot cycles before and after remapping of NVMe device Through VMD</t>
  </si>
  <si>
    <t>CSS-IVE-144697</t>
  </si>
  <si>
    <t>Validate Foxville LAN device for RTD3</t>
  </si>
  <si>
    <t>CSS-IVE-145161</t>
  </si>
  <si>
    <t>Verify BIOS support for [CNV][WIFI] New ACPI table SGOM- SAR GEO Offset Mapping</t>
  </si>
  <si>
    <t>CSS-IVE-145680</t>
  </si>
  <si>
    <t>CLID- 9215</t>
  </si>
  <si>
    <t>Verify BIOS support for [CNV][WIFI] New ACPI table WTAS - Wi-Fi time Average SAR</t>
  </si>
  <si>
    <t>CSS-IVE-145681</t>
  </si>
  <si>
    <t>Verify preconfigured BLE HID devices are auto connected in UEFI mode after S4 , S5 , cold reboot and warm reboot cycles</t>
  </si>
  <si>
    <t>CSS-IVE-145054</t>
  </si>
  <si>
    <t>Verify CNVi WLAN Functionality in OS  pre and post S4 , S5 , warm and cold reboot cycles</t>
  </si>
  <si>
    <t>CSS-IVE-145041</t>
  </si>
  <si>
    <t>Verify Device Specific Method(_DSM) support  in the ACPI dump for Bluetooth device</t>
  </si>
  <si>
    <t>CSS-IVE-145804</t>
  </si>
  <si>
    <t>Verify BIOS support for [CNV][BLUETOOTH] ACPI table BTLC   Bluetooth Tile Configuration</t>
  </si>
  <si>
    <t>CSS-IVE-145805</t>
  </si>
  <si>
    <t>CLID-8809</t>
  </si>
  <si>
    <t>Verify CNVi WLAN and Bluetooth functionality in Pre-OS with RF Kill switch enabled on board</t>
  </si>
  <si>
    <t>CSS-IVE-113961</t>
  </si>
  <si>
    <t>CLID-8306</t>
  </si>
  <si>
    <t>Verify SUT wakes from S0i3/C-MoS using Bluetooth (BT Devices)</t>
  </si>
  <si>
    <t>CSS-IVE-65480</t>
  </si>
  <si>
    <t>Verify system attains responsiveness metrics with PTT disabled Consumer IFWI with dTPM connected</t>
  </si>
  <si>
    <t>CSS-IVE-91104</t>
  </si>
  <si>
    <t>Verify system attains responsiveness metrics with PTT enabled Consumer IFWI and with OS installed on SATA HDD</t>
  </si>
  <si>
    <t>CSS-IVE-92258</t>
  </si>
  <si>
    <t>Verify system attains responsiveness metrics with PTT disabled Consumer IFWI with dTPM connected and with OS installed on SATA HDD</t>
  </si>
  <si>
    <t>CSS-IVE-92260</t>
  </si>
  <si>
    <t>Verify CNVi WLAN Functionality in OS before/after S3 cycle</t>
  </si>
  <si>
    <t>CSS-IVE-95149</t>
  </si>
  <si>
    <t>Verify CNVi WLAN and Bluetooth functionality in OS with RF Kill switch enabled on board</t>
  </si>
  <si>
    <t>CSS-IVE-95225</t>
  </si>
  <si>
    <t>Verify if BIOS S3 resume time and suspend time are exceeded with VMD enabled</t>
  </si>
  <si>
    <t>Verify bluetooth Low Energy(LE) audio feature</t>
  </si>
  <si>
    <t>Verify changed BIOS settings do not effective on power button press before saving settings</t>
  </si>
  <si>
    <t>CSS-IVE-119229</t>
  </si>
  <si>
    <t>Verify changed BIOS settings intact on power button press after saving settings</t>
  </si>
  <si>
    <t>CSS-IVE-119230</t>
  </si>
  <si>
    <t>Verify SUT should not crash by Random PWR BTN press during BIOS Boot</t>
  </si>
  <si>
    <t>CSS-IVE-119235</t>
  </si>
  <si>
    <t>4SP2</t>
  </si>
  <si>
    <t>Verify yellow bang checks on waking system from S5 for in both AC and DC mode</t>
  </si>
  <si>
    <t>CSS-IVE-52481</t>
  </si>
  <si>
    <t>CLID - 8084</t>
  </si>
  <si>
    <t>verified with Nth stepping</t>
  </si>
  <si>
    <t>SATA ssd  is not appplicable</t>
  </si>
  <si>
    <t>Verify SUT wake from S0i3/C-MoS using LAN</t>
  </si>
  <si>
    <t>CSS-IVE-114803</t>
  </si>
  <si>
    <t>Verify system does not wake from Sx via LAN with "wake on LAN" option disabled in BIOS</t>
  </si>
  <si>
    <t>CSS-IVE-114943</t>
  </si>
  <si>
    <t>Verify SUT wake from Sx states (S3, S4) using discrete WLAN module</t>
  </si>
  <si>
    <t>CSS-IVE-115058</t>
  </si>
  <si>
    <t>Verify BIOS have ability to enable and disable Wake on LAN</t>
  </si>
  <si>
    <t>CSS-IVE-115600</t>
  </si>
  <si>
    <t>CSS-IVE-117848</t>
  </si>
  <si>
    <t>Verify SUT wakes from S3 using Touchpad</t>
  </si>
  <si>
    <t>CSS-IVE-147135</t>
  </si>
  <si>
    <t>NA for DDR5 or LPDDR5</t>
  </si>
  <si>
    <t>HDMI is Not applicable</t>
  </si>
  <si>
    <t>Verify S3,S4 &amp; S5 entry &amp; exit using power button in Hybrid Graphics (HG) mode</t>
  </si>
  <si>
    <t>CSS-IVE-71189</t>
  </si>
  <si>
    <t>Verify disable/enable of Internal GbE Controller in BIOS</t>
  </si>
  <si>
    <t>CSS-IVE-62149</t>
  </si>
  <si>
    <t>SATA HDD</t>
  </si>
  <si>
    <t>x16 slot</t>
  </si>
  <si>
    <t>CLID - 8540</t>
  </si>
  <si>
    <t xml:space="preserve"> pleasant star SSd</t>
  </si>
  <si>
    <t>HSD Link: 16017986280: [RPL][RPL_U][Jo][BIOS]:while connecting graphics card, SUT is Auto waking  While performing Hibernate (S4) cycle</t>
  </si>
  <si>
    <t>HSD Link: 16017665894: [IFWI][RPL-HX B1 Production][DDR5][DDR4]: Observing multiple errors after running latest selftest tool v140</t>
  </si>
  <si>
    <t>HSD Link: 16017115455: BIOS[RPL][RPL_P][J0]: Not getting EC offset in 0x4E with Bit 1 as 1 after connecting type C PD 60W</t>
  </si>
  <si>
    <t>14013159108</t>
  </si>
  <si>
    <t>[RPL][RPL_P][J0][BIOS]:peer to peer functionality is not working at OS level</t>
  </si>
  <si>
    <t>14013159136</t>
  </si>
  <si>
    <t>14013159138</t>
  </si>
  <si>
    <t>14013159172</t>
  </si>
  <si>
    <t>14013159278</t>
  </si>
  <si>
    <t>14013159280</t>
  </si>
  <si>
    <t>14013159282</t>
  </si>
  <si>
    <t>14013159285</t>
  </si>
  <si>
    <t>PS_ON NA</t>
  </si>
  <si>
    <t>https://hsdes.intel.com/appstore/article/#/16017073834</t>
  </si>
  <si>
    <t>CLID-8777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</si>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</sst>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color rgb="FF242424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7"/>
      <color rgb="FF212529"/>
      <name val="Roboto"/>
    </font>
    <font>
      <sz val="8"/>
      <color rgb="FF212529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0" xfId="0" applyFont="1" applyFill="1"/>
    <xf numFmtId="14" fontId="0" fillId="0" borderId="0" xfId="0" applyNumberFormat="1"/>
    <xf numFmtId="164" fontId="0" fillId="0" borderId="0" xfId="0" applyNumberForma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3" borderId="0" xfId="0" applyFill="1"/>
    <xf numFmtId="0" fontId="5" fillId="0" borderId="1" xfId="0" applyFont="1" applyBorder="1"/>
    <xf numFmtId="0" fontId="6" fillId="0" borderId="1" xfId="0" applyFont="1" applyBorder="1"/>
    <xf numFmtId="0" fontId="0" fillId="0" borderId="1" xfId="0" applyBorder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left" vertical="center" wrapText="1"/>
    </xf>
    <xf numFmtId="0" fontId="9" fillId="0" borderId="1" xfId="0" applyFont="1" applyBorder="1"/>
    <xf numFmtId="0" fontId="2" fillId="0" borderId="0" xfId="1"/>
    <xf numFmtId="0" fontId="2" fillId="4" borderId="2" xfId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javascript:WebForm_DoPostBackWithOptions(new%20WebForm_PostBackOptions(%22ctl00$MainContent$gdvClarification$ctl02$lnkTCID%22,%20%22%22,%20true,%20%22%22,%20%22%22,%20false,%20true))" TargetMode="Externa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28CD8-0BD3-4D06-8143-9530FC8FF132}">
  <dimension ref="A1:R1835"/>
  <sheetViews>
    <sheetView tabSelected="1" topLeftCell="A1003" zoomScale="102" zoomScaleNormal="85" workbookViewId="0">
      <selection activeCell="A1021" sqref="A1021:XFD1021"/>
    </sheetView>
  </sheetViews>
  <sheetFormatPr defaultRowHeight="14.4" x14ac:dyDescent="0.3"/>
  <cols>
    <col min="1" max="1" width="13" bestFit="1" customWidth="1"/>
    <col min="2" max="2" width="58.77734375" customWidth="1"/>
    <col min="4" max="4" width="14.33203125" bestFit="1" customWidth="1"/>
    <col min="6" max="6" width="38.21875" customWidth="1"/>
    <col min="7" max="7" width="19.5546875" bestFit="1" customWidth="1"/>
    <col min="8" max="8" width="15.5546875" bestFit="1" customWidth="1"/>
    <col min="10" max="10" width="37.21875" bestFit="1" customWidth="1"/>
    <col min="11" max="11" width="34.44140625" bestFit="1" customWidth="1"/>
    <col min="12" max="12" width="39.33203125" bestFit="1" customWidth="1"/>
  </cols>
  <sheetData>
    <row r="1" spans="1:13" x14ac:dyDescent="0.3">
      <c r="A1" t="s">
        <v>3470</v>
      </c>
      <c r="B1" s="1" t="s">
        <v>3471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x14ac:dyDescent="0.3">
      <c r="A2" t="str">
        <f>HYPERLINK("https://hsdes.intel.com/resource/1509811849","1509811849")</f>
        <v>1509811849</v>
      </c>
      <c r="B2" t="s">
        <v>11</v>
      </c>
      <c r="C2" t="s">
        <v>12</v>
      </c>
      <c r="D2" t="s">
        <v>13</v>
      </c>
      <c r="E2" t="s">
        <v>14</v>
      </c>
      <c r="G2" t="s">
        <v>15</v>
      </c>
      <c r="H2" s="2">
        <v>44784</v>
      </c>
      <c r="I2" t="s">
        <v>16</v>
      </c>
      <c r="J2" t="s">
        <v>17</v>
      </c>
      <c r="L2" t="s">
        <v>18</v>
      </c>
      <c r="M2" t="s">
        <v>19</v>
      </c>
    </row>
    <row r="3" spans="1:13" x14ac:dyDescent="0.3">
      <c r="A3" t="str">
        <f>HYPERLINK("https://hsdes.intel.com/resource/14013114695","14013114695")</f>
        <v>14013114695</v>
      </c>
      <c r="B3" t="s">
        <v>20</v>
      </c>
      <c r="C3" t="s">
        <v>12</v>
      </c>
      <c r="D3" t="s">
        <v>21</v>
      </c>
      <c r="E3" t="s">
        <v>14</v>
      </c>
      <c r="G3" t="s">
        <v>15</v>
      </c>
      <c r="H3" s="2">
        <v>44783</v>
      </c>
      <c r="I3" t="s">
        <v>16</v>
      </c>
      <c r="J3" t="s">
        <v>17</v>
      </c>
      <c r="L3" t="s">
        <v>18</v>
      </c>
      <c r="M3" t="s">
        <v>22</v>
      </c>
    </row>
    <row r="4" spans="1:13" x14ac:dyDescent="0.3">
      <c r="A4" t="str">
        <f>HYPERLINK("https://hsdes.intel.com/resource/14013114711","14013114711")</f>
        <v>14013114711</v>
      </c>
      <c r="B4" t="s">
        <v>23</v>
      </c>
      <c r="C4" t="s">
        <v>12</v>
      </c>
      <c r="D4" t="s">
        <v>24</v>
      </c>
      <c r="E4" t="s">
        <v>14</v>
      </c>
      <c r="F4" t="s">
        <v>25</v>
      </c>
      <c r="G4" t="s">
        <v>15</v>
      </c>
      <c r="H4" s="2">
        <v>44784</v>
      </c>
      <c r="I4" t="s">
        <v>16</v>
      </c>
      <c r="J4" t="s">
        <v>17</v>
      </c>
      <c r="L4" t="s">
        <v>18</v>
      </c>
      <c r="M4" t="s">
        <v>26</v>
      </c>
    </row>
    <row r="5" spans="1:13" x14ac:dyDescent="0.3">
      <c r="A5" t="str">
        <f>HYPERLINK("https://hsdes.intel.com/resource/14013114734","14013114734")</f>
        <v>14013114734</v>
      </c>
      <c r="B5" t="s">
        <v>27</v>
      </c>
      <c r="C5" t="s">
        <v>12</v>
      </c>
      <c r="D5" t="s">
        <v>28</v>
      </c>
      <c r="E5" t="s">
        <v>14</v>
      </c>
      <c r="G5" t="s">
        <v>15</v>
      </c>
      <c r="H5" s="2">
        <v>44783</v>
      </c>
      <c r="I5" t="s">
        <v>16</v>
      </c>
      <c r="J5" t="s">
        <v>17</v>
      </c>
      <c r="L5" t="s">
        <v>18</v>
      </c>
      <c r="M5" t="s">
        <v>26</v>
      </c>
    </row>
    <row r="6" spans="1:13" x14ac:dyDescent="0.3">
      <c r="A6" t="str">
        <f>HYPERLINK("https://hsdes.intel.com/resource/14013114751","14013114751")</f>
        <v>14013114751</v>
      </c>
      <c r="B6" t="s">
        <v>29</v>
      </c>
      <c r="C6" t="s">
        <v>12</v>
      </c>
      <c r="D6" t="s">
        <v>30</v>
      </c>
      <c r="E6" t="s">
        <v>14</v>
      </c>
      <c r="G6" t="s">
        <v>31</v>
      </c>
      <c r="H6" s="2">
        <v>44798</v>
      </c>
      <c r="I6" t="s">
        <v>32</v>
      </c>
      <c r="J6" t="s">
        <v>33</v>
      </c>
      <c r="L6" t="s">
        <v>34</v>
      </c>
      <c r="M6" t="s">
        <v>26</v>
      </c>
    </row>
    <row r="7" spans="1:13" x14ac:dyDescent="0.3">
      <c r="A7" t="str">
        <f>HYPERLINK("https://hsdes.intel.com/resource/14013114769","14013114769")</f>
        <v>14013114769</v>
      </c>
      <c r="B7" t="s">
        <v>35</v>
      </c>
      <c r="C7" t="s">
        <v>12</v>
      </c>
      <c r="D7" t="s">
        <v>36</v>
      </c>
      <c r="E7" t="s">
        <v>14</v>
      </c>
      <c r="G7" t="s">
        <v>37</v>
      </c>
      <c r="H7" s="3">
        <v>44784</v>
      </c>
      <c r="I7" t="s">
        <v>38</v>
      </c>
      <c r="J7" t="s">
        <v>39</v>
      </c>
      <c r="L7" t="s">
        <v>40</v>
      </c>
      <c r="M7" t="s">
        <v>26</v>
      </c>
    </row>
    <row r="8" spans="1:13" x14ac:dyDescent="0.3">
      <c r="A8" t="str">
        <f>HYPERLINK("https://hsdes.intel.com/resource/14013114813","14013114813")</f>
        <v>14013114813</v>
      </c>
      <c r="B8" t="s">
        <v>41</v>
      </c>
      <c r="C8" t="s">
        <v>12</v>
      </c>
      <c r="D8" t="s">
        <v>42</v>
      </c>
      <c r="E8" t="s">
        <v>14</v>
      </c>
      <c r="G8" t="s">
        <v>43</v>
      </c>
      <c r="H8" s="2">
        <v>44783</v>
      </c>
      <c r="I8" t="s">
        <v>38</v>
      </c>
      <c r="J8" t="s">
        <v>39</v>
      </c>
      <c r="L8" t="s">
        <v>40</v>
      </c>
      <c r="M8" t="s">
        <v>26</v>
      </c>
    </row>
    <row r="9" spans="1:13" x14ac:dyDescent="0.3">
      <c r="A9" t="str">
        <f>HYPERLINK("https://hsdes.intel.com/resource/14013114842","14013114842")</f>
        <v>14013114842</v>
      </c>
      <c r="B9" t="s">
        <v>44</v>
      </c>
      <c r="C9" t="s">
        <v>12</v>
      </c>
      <c r="D9" t="s">
        <v>45</v>
      </c>
      <c r="E9" t="s">
        <v>14</v>
      </c>
      <c r="F9" t="s">
        <v>46</v>
      </c>
      <c r="G9" t="s">
        <v>47</v>
      </c>
      <c r="H9" s="2">
        <v>44802</v>
      </c>
      <c r="I9" t="s">
        <v>48</v>
      </c>
      <c r="J9" t="s">
        <v>49</v>
      </c>
      <c r="L9" t="s">
        <v>50</v>
      </c>
      <c r="M9" t="s">
        <v>22</v>
      </c>
    </row>
    <row r="10" spans="1:13" x14ac:dyDescent="0.3">
      <c r="A10" t="str">
        <f>HYPERLINK("https://hsdes.intel.com/resource/14013114861","14013114861")</f>
        <v>14013114861</v>
      </c>
      <c r="B10" t="s">
        <v>51</v>
      </c>
      <c r="C10" t="s">
        <v>12</v>
      </c>
      <c r="D10" t="s">
        <v>52</v>
      </c>
      <c r="E10" t="s">
        <v>14</v>
      </c>
      <c r="F10" t="s">
        <v>53</v>
      </c>
      <c r="G10" t="s">
        <v>43</v>
      </c>
      <c r="H10" s="2">
        <v>44802</v>
      </c>
      <c r="I10" t="s">
        <v>38</v>
      </c>
      <c r="J10" t="s">
        <v>33</v>
      </c>
      <c r="L10" t="s">
        <v>54</v>
      </c>
      <c r="M10" t="s">
        <v>26</v>
      </c>
    </row>
    <row r="11" spans="1:13" x14ac:dyDescent="0.3">
      <c r="A11" t="str">
        <f>HYPERLINK("https://hsdes.intel.com/resource/14013114878","14013114878")</f>
        <v>14013114878</v>
      </c>
      <c r="B11" t="s">
        <v>55</v>
      </c>
      <c r="C11" t="s">
        <v>12</v>
      </c>
      <c r="D11" t="s">
        <v>56</v>
      </c>
      <c r="E11" t="s">
        <v>14</v>
      </c>
      <c r="G11" t="s">
        <v>57</v>
      </c>
      <c r="H11" s="2">
        <v>44792</v>
      </c>
      <c r="I11" t="s">
        <v>32</v>
      </c>
      <c r="J11" t="s">
        <v>33</v>
      </c>
      <c r="L11" t="s">
        <v>34</v>
      </c>
      <c r="M11" t="s">
        <v>26</v>
      </c>
    </row>
    <row r="12" spans="1:13" x14ac:dyDescent="0.3">
      <c r="A12" t="str">
        <f>HYPERLINK("https://hsdes.intel.com/resource/14013114906","14013114906")</f>
        <v>14013114906</v>
      </c>
      <c r="B12" t="s">
        <v>58</v>
      </c>
      <c r="C12" t="s">
        <v>12</v>
      </c>
      <c r="D12" t="s">
        <v>59</v>
      </c>
      <c r="E12" t="s">
        <v>14</v>
      </c>
      <c r="F12" t="s">
        <v>60</v>
      </c>
      <c r="H12" s="2">
        <v>44784</v>
      </c>
      <c r="I12" t="s">
        <v>16</v>
      </c>
      <c r="J12" t="s">
        <v>17</v>
      </c>
      <c r="L12" t="s">
        <v>18</v>
      </c>
      <c r="M12" t="s">
        <v>22</v>
      </c>
    </row>
    <row r="13" spans="1:13" x14ac:dyDescent="0.3">
      <c r="A13" t="str">
        <f>HYPERLINK("https://hsdes.intel.com/resource/14013115084","14013115084")</f>
        <v>14013115084</v>
      </c>
      <c r="B13" t="s">
        <v>61</v>
      </c>
      <c r="C13" t="s">
        <v>12</v>
      </c>
      <c r="D13" t="s">
        <v>62</v>
      </c>
      <c r="E13" t="s">
        <v>14</v>
      </c>
      <c r="G13" t="s">
        <v>63</v>
      </c>
      <c r="H13" s="2">
        <v>44789</v>
      </c>
      <c r="I13" t="s">
        <v>64</v>
      </c>
      <c r="J13" t="s">
        <v>65</v>
      </c>
      <c r="L13" t="s">
        <v>66</v>
      </c>
      <c r="M13" t="s">
        <v>26</v>
      </c>
    </row>
    <row r="14" spans="1:13" x14ac:dyDescent="0.3">
      <c r="A14" t="str">
        <f>HYPERLINK("https://hsdes.intel.com/resource/14013115112","14013115112")</f>
        <v>14013115112</v>
      </c>
      <c r="B14" t="s">
        <v>67</v>
      </c>
      <c r="C14" t="s">
        <v>12</v>
      </c>
      <c r="D14" t="s">
        <v>68</v>
      </c>
      <c r="E14" t="s">
        <v>14</v>
      </c>
      <c r="G14" t="s">
        <v>69</v>
      </c>
      <c r="H14" s="2">
        <v>44785</v>
      </c>
      <c r="I14" t="s">
        <v>64</v>
      </c>
      <c r="J14" t="s">
        <v>65</v>
      </c>
      <c r="L14" t="s">
        <v>66</v>
      </c>
      <c r="M14" t="s">
        <v>26</v>
      </c>
    </row>
    <row r="15" spans="1:13" x14ac:dyDescent="0.3">
      <c r="A15" t="str">
        <f>HYPERLINK("https://hsdes.intel.com/resource/14013115234","14013115234")</f>
        <v>14013115234</v>
      </c>
      <c r="B15" t="s">
        <v>70</v>
      </c>
      <c r="C15" t="s">
        <v>12</v>
      </c>
      <c r="D15" t="s">
        <v>71</v>
      </c>
      <c r="E15" t="s">
        <v>14</v>
      </c>
      <c r="F15" t="s">
        <v>46</v>
      </c>
      <c r="G15" t="s">
        <v>72</v>
      </c>
      <c r="H15" s="2">
        <v>44800</v>
      </c>
      <c r="I15" t="s">
        <v>48</v>
      </c>
      <c r="J15" t="s">
        <v>49</v>
      </c>
      <c r="L15" t="s">
        <v>50</v>
      </c>
      <c r="M15" t="s">
        <v>22</v>
      </c>
    </row>
    <row r="16" spans="1:13" x14ac:dyDescent="0.3">
      <c r="A16" t="str">
        <f>HYPERLINK("https://hsdes.intel.com/resource/14013115275","14013115275")</f>
        <v>14013115275</v>
      </c>
      <c r="B16" t="s">
        <v>73</v>
      </c>
      <c r="C16" t="s">
        <v>12</v>
      </c>
      <c r="D16" t="s">
        <v>74</v>
      </c>
      <c r="E16" t="s">
        <v>14</v>
      </c>
      <c r="G16" t="s">
        <v>69</v>
      </c>
      <c r="H16" s="2">
        <v>44785</v>
      </c>
      <c r="I16" t="s">
        <v>64</v>
      </c>
      <c r="J16" t="s">
        <v>65</v>
      </c>
      <c r="L16" t="s">
        <v>66</v>
      </c>
      <c r="M16" t="s">
        <v>19</v>
      </c>
    </row>
    <row r="17" spans="1:13" x14ac:dyDescent="0.3">
      <c r="A17" t="str">
        <f>HYPERLINK("https://hsdes.intel.com/resource/14013115314","14013115314")</f>
        <v>14013115314</v>
      </c>
      <c r="B17" t="s">
        <v>75</v>
      </c>
      <c r="C17" t="s">
        <v>12</v>
      </c>
      <c r="D17" t="s">
        <v>76</v>
      </c>
      <c r="E17" t="s">
        <v>14</v>
      </c>
      <c r="H17" s="2">
        <v>44783</v>
      </c>
      <c r="I17" t="s">
        <v>38</v>
      </c>
      <c r="J17" t="s">
        <v>77</v>
      </c>
      <c r="L17" t="s">
        <v>78</v>
      </c>
      <c r="M17" t="s">
        <v>26</v>
      </c>
    </row>
    <row r="18" spans="1:13" x14ac:dyDescent="0.3">
      <c r="A18" t="str">
        <f>HYPERLINK("https://hsdes.intel.com/resource/14013115327","14013115327")</f>
        <v>14013115327</v>
      </c>
      <c r="B18" t="s">
        <v>79</v>
      </c>
      <c r="C18" t="s">
        <v>12</v>
      </c>
      <c r="D18" t="s">
        <v>80</v>
      </c>
      <c r="E18" t="s">
        <v>14</v>
      </c>
      <c r="G18" t="s">
        <v>81</v>
      </c>
      <c r="H18" s="2">
        <v>44792</v>
      </c>
      <c r="I18" t="s">
        <v>32</v>
      </c>
      <c r="J18" t="s">
        <v>82</v>
      </c>
      <c r="L18" t="s">
        <v>34</v>
      </c>
      <c r="M18" t="s">
        <v>26</v>
      </c>
    </row>
    <row r="19" spans="1:13" x14ac:dyDescent="0.3">
      <c r="A19" t="str">
        <f>HYPERLINK("https://hsdes.intel.com/resource/14013115427","14013115427")</f>
        <v>14013115427</v>
      </c>
      <c r="B19" t="s">
        <v>83</v>
      </c>
      <c r="C19" t="s">
        <v>12</v>
      </c>
      <c r="D19" t="s">
        <v>84</v>
      </c>
      <c r="E19" t="s">
        <v>14</v>
      </c>
      <c r="F19" t="s">
        <v>85</v>
      </c>
      <c r="G19" t="s">
        <v>86</v>
      </c>
      <c r="H19" s="2">
        <v>44799</v>
      </c>
      <c r="I19" t="s">
        <v>48</v>
      </c>
      <c r="J19" t="s">
        <v>49</v>
      </c>
      <c r="L19" t="s">
        <v>50</v>
      </c>
      <c r="M19" t="s">
        <v>26</v>
      </c>
    </row>
    <row r="20" spans="1:13" x14ac:dyDescent="0.3">
      <c r="A20" t="str">
        <f>HYPERLINK("https://hsdes.intel.com/resource/14013115566","14013115566")</f>
        <v>14013115566</v>
      </c>
      <c r="B20" t="s">
        <v>87</v>
      </c>
      <c r="C20" t="s">
        <v>12</v>
      </c>
      <c r="D20" t="s">
        <v>88</v>
      </c>
      <c r="E20" t="s">
        <v>14</v>
      </c>
      <c r="G20" t="s">
        <v>89</v>
      </c>
      <c r="H20" s="4">
        <v>44790</v>
      </c>
      <c r="I20" t="s">
        <v>48</v>
      </c>
      <c r="J20" t="s">
        <v>49</v>
      </c>
      <c r="L20" t="s">
        <v>50</v>
      </c>
      <c r="M20" t="s">
        <v>26</v>
      </c>
    </row>
    <row r="21" spans="1:13" x14ac:dyDescent="0.3">
      <c r="A21" t="str">
        <f>HYPERLINK("https://hsdes.intel.com/resource/14013116396","14013116396")</f>
        <v>14013116396</v>
      </c>
      <c r="B21" t="s">
        <v>90</v>
      </c>
      <c r="C21" t="s">
        <v>12</v>
      </c>
      <c r="D21" t="s">
        <v>91</v>
      </c>
      <c r="E21" t="s">
        <v>14</v>
      </c>
      <c r="G21" t="s">
        <v>31</v>
      </c>
      <c r="H21" s="2">
        <v>44796</v>
      </c>
      <c r="I21" t="s">
        <v>48</v>
      </c>
      <c r="J21" t="s">
        <v>49</v>
      </c>
      <c r="L21" t="s">
        <v>50</v>
      </c>
      <c r="M21" t="s">
        <v>26</v>
      </c>
    </row>
    <row r="22" spans="1:13" x14ac:dyDescent="0.3">
      <c r="A22" t="str">
        <f>HYPERLINK("https://hsdes.intel.com/resource/14013116815","14013116815")</f>
        <v>14013116815</v>
      </c>
      <c r="B22" t="s">
        <v>92</v>
      </c>
      <c r="C22" t="s">
        <v>12</v>
      </c>
      <c r="D22" t="s">
        <v>93</v>
      </c>
      <c r="E22" t="s">
        <v>14</v>
      </c>
      <c r="F22" t="s">
        <v>94</v>
      </c>
      <c r="G22" t="s">
        <v>63</v>
      </c>
      <c r="H22" s="2">
        <v>44789</v>
      </c>
      <c r="I22" t="s">
        <v>64</v>
      </c>
      <c r="J22" t="s">
        <v>65</v>
      </c>
      <c r="L22" t="s">
        <v>66</v>
      </c>
      <c r="M22" t="s">
        <v>26</v>
      </c>
    </row>
    <row r="23" spans="1:13" x14ac:dyDescent="0.3">
      <c r="A23" s="5" t="str">
        <f>HYPERLINK("https://hsdes.intel.com/resource/14013116828","14013116828")</f>
        <v>14013116828</v>
      </c>
      <c r="B23" t="s">
        <v>95</v>
      </c>
      <c r="C23" t="s">
        <v>12</v>
      </c>
      <c r="D23" t="s">
        <v>96</v>
      </c>
      <c r="E23" t="s">
        <v>97</v>
      </c>
      <c r="F23" t="s">
        <v>98</v>
      </c>
      <c r="G23" t="s">
        <v>81</v>
      </c>
      <c r="H23" s="2">
        <v>44802</v>
      </c>
      <c r="I23" t="s">
        <v>48</v>
      </c>
      <c r="J23" t="s">
        <v>49</v>
      </c>
      <c r="L23" t="s">
        <v>50</v>
      </c>
      <c r="M23" t="s">
        <v>26</v>
      </c>
    </row>
    <row r="24" spans="1:13" x14ac:dyDescent="0.3">
      <c r="A24" t="str">
        <f>HYPERLINK("https://hsdes.intel.com/resource/14013117106","14013117106")</f>
        <v>14013117106</v>
      </c>
      <c r="B24" t="s">
        <v>100</v>
      </c>
      <c r="C24" t="s">
        <v>12</v>
      </c>
      <c r="D24" t="s">
        <v>101</v>
      </c>
      <c r="E24" t="s">
        <v>14</v>
      </c>
      <c r="G24" t="s">
        <v>69</v>
      </c>
      <c r="H24" s="2">
        <v>44785</v>
      </c>
      <c r="I24" t="s">
        <v>64</v>
      </c>
      <c r="J24" t="s">
        <v>65</v>
      </c>
      <c r="L24" t="s">
        <v>66</v>
      </c>
      <c r="M24" t="s">
        <v>22</v>
      </c>
    </row>
    <row r="25" spans="1:13" x14ac:dyDescent="0.3">
      <c r="A25" t="str">
        <f>HYPERLINK("https://hsdes.intel.com/resource/14013117134","14013117134")</f>
        <v>14013117134</v>
      </c>
      <c r="B25" t="s">
        <v>102</v>
      </c>
      <c r="C25" t="s">
        <v>12</v>
      </c>
      <c r="D25" t="s">
        <v>103</v>
      </c>
      <c r="E25" t="s">
        <v>14</v>
      </c>
      <c r="G25" t="s">
        <v>43</v>
      </c>
      <c r="H25" s="2">
        <v>44789</v>
      </c>
      <c r="I25" t="s">
        <v>64</v>
      </c>
      <c r="J25" t="s">
        <v>65</v>
      </c>
      <c r="L25" t="s">
        <v>66</v>
      </c>
      <c r="M25" t="s">
        <v>19</v>
      </c>
    </row>
    <row r="26" spans="1:13" x14ac:dyDescent="0.3">
      <c r="A26" t="str">
        <f>HYPERLINK("https://hsdes.intel.com/resource/14013117177","14013117177")</f>
        <v>14013117177</v>
      </c>
      <c r="B26" t="s">
        <v>104</v>
      </c>
      <c r="C26" t="s">
        <v>12</v>
      </c>
      <c r="D26" t="s">
        <v>105</v>
      </c>
      <c r="E26" t="s">
        <v>14</v>
      </c>
      <c r="G26" t="s">
        <v>57</v>
      </c>
      <c r="H26" s="2">
        <v>44798</v>
      </c>
      <c r="I26" t="s">
        <v>38</v>
      </c>
      <c r="J26" t="s">
        <v>106</v>
      </c>
      <c r="L26" t="s">
        <v>54</v>
      </c>
      <c r="M26" t="s">
        <v>26</v>
      </c>
    </row>
    <row r="27" spans="1:13" x14ac:dyDescent="0.3">
      <c r="A27" t="str">
        <f>HYPERLINK("https://hsdes.intel.com/resource/14013117217","14013117217")</f>
        <v>14013117217</v>
      </c>
      <c r="B27" t="s">
        <v>107</v>
      </c>
      <c r="C27" t="s">
        <v>12</v>
      </c>
      <c r="D27" t="s">
        <v>108</v>
      </c>
      <c r="E27" t="s">
        <v>14</v>
      </c>
      <c r="F27" t="s">
        <v>85</v>
      </c>
      <c r="G27" t="s">
        <v>86</v>
      </c>
      <c r="H27" s="2">
        <v>44802</v>
      </c>
      <c r="I27" t="s">
        <v>48</v>
      </c>
      <c r="J27" t="s">
        <v>49</v>
      </c>
      <c r="L27" t="s">
        <v>50</v>
      </c>
      <c r="M27" t="s">
        <v>26</v>
      </c>
    </row>
    <row r="28" spans="1:13" x14ac:dyDescent="0.3">
      <c r="A28" t="str">
        <f>HYPERLINK("https://hsdes.intel.com/resource/14013117280","14013117280")</f>
        <v>14013117280</v>
      </c>
      <c r="B28" t="s">
        <v>109</v>
      </c>
      <c r="C28" t="s">
        <v>12</v>
      </c>
      <c r="D28" t="s">
        <v>110</v>
      </c>
      <c r="E28" t="s">
        <v>14</v>
      </c>
      <c r="G28" t="s">
        <v>111</v>
      </c>
      <c r="H28" s="2">
        <v>44783</v>
      </c>
      <c r="I28" t="s">
        <v>64</v>
      </c>
      <c r="J28" t="s">
        <v>112</v>
      </c>
      <c r="L28" t="s">
        <v>66</v>
      </c>
      <c r="M28" t="s">
        <v>26</v>
      </c>
    </row>
    <row r="29" spans="1:13" x14ac:dyDescent="0.3">
      <c r="A29" t="str">
        <f>HYPERLINK("https://hsdes.intel.com/resource/14013117320","14013117320")</f>
        <v>14013117320</v>
      </c>
      <c r="B29" t="s">
        <v>113</v>
      </c>
      <c r="C29" t="s">
        <v>12</v>
      </c>
      <c r="D29" t="s">
        <v>114</v>
      </c>
      <c r="E29" t="s">
        <v>14</v>
      </c>
      <c r="G29" t="s">
        <v>111</v>
      </c>
      <c r="H29" s="2">
        <v>44783</v>
      </c>
      <c r="I29" t="s">
        <v>38</v>
      </c>
      <c r="J29" t="s">
        <v>115</v>
      </c>
      <c r="L29" t="s">
        <v>54</v>
      </c>
      <c r="M29" t="s">
        <v>26</v>
      </c>
    </row>
    <row r="30" spans="1:13" x14ac:dyDescent="0.3">
      <c r="A30" t="str">
        <f>HYPERLINK("https://hsdes.intel.com/resource/14013117361","14013117361")</f>
        <v>14013117361</v>
      </c>
      <c r="B30" t="s">
        <v>116</v>
      </c>
      <c r="C30" t="s">
        <v>12</v>
      </c>
      <c r="D30" t="s">
        <v>117</v>
      </c>
      <c r="E30" t="s">
        <v>14</v>
      </c>
      <c r="G30" t="s">
        <v>31</v>
      </c>
      <c r="H30" s="2">
        <v>44796</v>
      </c>
      <c r="I30" t="s">
        <v>48</v>
      </c>
      <c r="J30" t="s">
        <v>49</v>
      </c>
      <c r="L30" t="s">
        <v>50</v>
      </c>
      <c r="M30" t="s">
        <v>26</v>
      </c>
    </row>
    <row r="31" spans="1:13" x14ac:dyDescent="0.3">
      <c r="A31" t="str">
        <f>HYPERLINK("https://hsdes.intel.com/resource/14013118179","14013118179")</f>
        <v>14013118179</v>
      </c>
      <c r="B31" t="s">
        <v>118</v>
      </c>
      <c r="C31" t="s">
        <v>12</v>
      </c>
      <c r="D31" t="s">
        <v>119</v>
      </c>
      <c r="E31" t="s">
        <v>120</v>
      </c>
      <c r="F31" t="s">
        <v>121</v>
      </c>
      <c r="G31" t="s">
        <v>111</v>
      </c>
      <c r="H31" s="2">
        <v>44792</v>
      </c>
      <c r="I31" t="s">
        <v>38</v>
      </c>
      <c r="J31" t="s">
        <v>122</v>
      </c>
      <c r="L31" t="s">
        <v>54</v>
      </c>
      <c r="M31" t="s">
        <v>19</v>
      </c>
    </row>
    <row r="32" spans="1:13" x14ac:dyDescent="0.3">
      <c r="A32" t="str">
        <f>HYPERLINK("https://hsdes.intel.com/resource/14013118472","14013118472")</f>
        <v>14013118472</v>
      </c>
      <c r="B32" t="s">
        <v>123</v>
      </c>
      <c r="C32" t="s">
        <v>12</v>
      </c>
      <c r="D32" t="s">
        <v>124</v>
      </c>
      <c r="E32" t="s">
        <v>14</v>
      </c>
      <c r="G32" t="s">
        <v>111</v>
      </c>
      <c r="H32" s="2">
        <v>44783</v>
      </c>
      <c r="I32" t="s">
        <v>32</v>
      </c>
      <c r="J32" t="s">
        <v>82</v>
      </c>
      <c r="L32" t="s">
        <v>125</v>
      </c>
      <c r="M32" t="s">
        <v>26</v>
      </c>
    </row>
    <row r="33" spans="1:13" x14ac:dyDescent="0.3">
      <c r="A33" t="str">
        <f>HYPERLINK("https://hsdes.intel.com/resource/14013118496","14013118496")</f>
        <v>14013118496</v>
      </c>
      <c r="B33" t="s">
        <v>126</v>
      </c>
      <c r="C33" t="s">
        <v>12</v>
      </c>
      <c r="D33" t="s">
        <v>127</v>
      </c>
      <c r="E33" t="s">
        <v>14</v>
      </c>
      <c r="G33" t="s">
        <v>31</v>
      </c>
      <c r="H33" s="2">
        <v>44798</v>
      </c>
      <c r="I33" t="s">
        <v>32</v>
      </c>
      <c r="J33" t="s">
        <v>33</v>
      </c>
      <c r="L33" t="s">
        <v>34</v>
      </c>
      <c r="M33" t="s">
        <v>26</v>
      </c>
    </row>
    <row r="34" spans="1:13" x14ac:dyDescent="0.3">
      <c r="A34" t="str">
        <f>HYPERLINK("https://hsdes.intel.com/resource/14013118541","14013118541")</f>
        <v>14013118541</v>
      </c>
      <c r="B34" t="s">
        <v>128</v>
      </c>
      <c r="C34" t="s">
        <v>12</v>
      </c>
      <c r="D34" t="s">
        <v>129</v>
      </c>
      <c r="E34" t="s">
        <v>14</v>
      </c>
      <c r="G34" t="s">
        <v>111</v>
      </c>
      <c r="H34" s="2">
        <v>44784</v>
      </c>
      <c r="I34" t="s">
        <v>32</v>
      </c>
      <c r="J34" t="s">
        <v>82</v>
      </c>
      <c r="L34" t="s">
        <v>125</v>
      </c>
      <c r="M34" t="s">
        <v>26</v>
      </c>
    </row>
    <row r="35" spans="1:13" x14ac:dyDescent="0.3">
      <c r="A35" t="str">
        <f>HYPERLINK("https://hsdes.intel.com/resource/14013118672","14013118672")</f>
        <v>14013118672</v>
      </c>
      <c r="B35" t="s">
        <v>130</v>
      </c>
      <c r="C35" t="s">
        <v>12</v>
      </c>
      <c r="D35" t="s">
        <v>131</v>
      </c>
      <c r="E35" t="s">
        <v>14</v>
      </c>
      <c r="G35" t="s">
        <v>57</v>
      </c>
      <c r="H35" s="2">
        <v>44798</v>
      </c>
      <c r="I35" t="s">
        <v>132</v>
      </c>
      <c r="J35" t="s">
        <v>115</v>
      </c>
      <c r="L35" t="s">
        <v>133</v>
      </c>
      <c r="M35" t="s">
        <v>26</v>
      </c>
    </row>
    <row r="36" spans="1:13" x14ac:dyDescent="0.3">
      <c r="A36" t="str">
        <f>HYPERLINK("https://hsdes.intel.com/resource/14013118721","14013118721")</f>
        <v>14013118721</v>
      </c>
      <c r="B36" t="s">
        <v>134</v>
      </c>
      <c r="C36" t="s">
        <v>12</v>
      </c>
      <c r="D36" t="s">
        <v>135</v>
      </c>
      <c r="E36" t="s">
        <v>14</v>
      </c>
      <c r="G36" t="s">
        <v>31</v>
      </c>
      <c r="H36" s="2">
        <v>44798</v>
      </c>
      <c r="I36" t="s">
        <v>32</v>
      </c>
      <c r="J36" t="s">
        <v>82</v>
      </c>
      <c r="L36" t="s">
        <v>34</v>
      </c>
      <c r="M36" t="s">
        <v>26</v>
      </c>
    </row>
    <row r="37" spans="1:13" x14ac:dyDescent="0.3">
      <c r="A37" t="str">
        <f>HYPERLINK("https://hsdes.intel.com/resource/14013118785","14013118785")</f>
        <v>14013118785</v>
      </c>
      <c r="B37" t="s">
        <v>136</v>
      </c>
      <c r="C37" t="s">
        <v>12</v>
      </c>
      <c r="D37" t="s">
        <v>137</v>
      </c>
      <c r="E37" t="s">
        <v>14</v>
      </c>
      <c r="G37" t="s">
        <v>111</v>
      </c>
      <c r="H37" s="2">
        <v>44784</v>
      </c>
      <c r="I37" t="s">
        <v>32</v>
      </c>
      <c r="J37" t="s">
        <v>82</v>
      </c>
      <c r="L37" t="s">
        <v>125</v>
      </c>
      <c r="M37" t="s">
        <v>26</v>
      </c>
    </row>
    <row r="38" spans="1:13" x14ac:dyDescent="0.3">
      <c r="A38" t="str">
        <f>HYPERLINK("https://hsdes.intel.com/resource/14013118908","14013118908")</f>
        <v>14013118908</v>
      </c>
      <c r="B38" t="s">
        <v>138</v>
      </c>
      <c r="C38" t="s">
        <v>12</v>
      </c>
      <c r="D38" t="s">
        <v>139</v>
      </c>
      <c r="E38" t="s">
        <v>14</v>
      </c>
      <c r="G38" t="s">
        <v>81</v>
      </c>
      <c r="H38" s="2">
        <v>44792</v>
      </c>
      <c r="I38" t="s">
        <v>32</v>
      </c>
      <c r="J38" t="s">
        <v>82</v>
      </c>
      <c r="L38" t="s">
        <v>34</v>
      </c>
      <c r="M38" t="s">
        <v>26</v>
      </c>
    </row>
    <row r="39" spans="1:13" x14ac:dyDescent="0.3">
      <c r="A39" t="str">
        <f>HYPERLINK("https://hsdes.intel.com/resource/14013119169","14013119169")</f>
        <v>14013119169</v>
      </c>
      <c r="B39" t="s">
        <v>140</v>
      </c>
      <c r="C39" t="s">
        <v>12</v>
      </c>
      <c r="D39" t="s">
        <v>141</v>
      </c>
      <c r="E39" t="s">
        <v>14</v>
      </c>
      <c r="G39" t="s">
        <v>111</v>
      </c>
      <c r="H39" s="2">
        <v>44783</v>
      </c>
      <c r="I39" t="s">
        <v>38</v>
      </c>
      <c r="J39" t="s">
        <v>77</v>
      </c>
      <c r="L39" t="s">
        <v>78</v>
      </c>
      <c r="M39" t="s">
        <v>26</v>
      </c>
    </row>
    <row r="40" spans="1:13" x14ac:dyDescent="0.3">
      <c r="A40" t="str">
        <f>HYPERLINK("https://hsdes.intel.com/resource/14013119238","14013119238")</f>
        <v>14013119238</v>
      </c>
      <c r="B40" t="s">
        <v>142</v>
      </c>
      <c r="C40" t="s">
        <v>12</v>
      </c>
      <c r="D40" t="s">
        <v>143</v>
      </c>
      <c r="E40" t="s">
        <v>14</v>
      </c>
      <c r="G40" t="s">
        <v>37</v>
      </c>
      <c r="I40" t="s">
        <v>32</v>
      </c>
      <c r="J40" t="s">
        <v>82</v>
      </c>
      <c r="L40" t="s">
        <v>34</v>
      </c>
      <c r="M40" t="s">
        <v>26</v>
      </c>
    </row>
    <row r="41" spans="1:13" x14ac:dyDescent="0.3">
      <c r="A41" t="str">
        <f>HYPERLINK("https://hsdes.intel.com/resource/14013119299","14013119299")</f>
        <v>14013119299</v>
      </c>
      <c r="B41" t="s">
        <v>144</v>
      </c>
      <c r="C41" t="s">
        <v>12</v>
      </c>
      <c r="D41" t="s">
        <v>145</v>
      </c>
      <c r="E41" t="s">
        <v>97</v>
      </c>
      <c r="F41" t="s">
        <v>146</v>
      </c>
      <c r="G41" t="s">
        <v>43</v>
      </c>
      <c r="H41" s="2">
        <v>44802</v>
      </c>
      <c r="I41" t="s">
        <v>32</v>
      </c>
      <c r="J41" t="s">
        <v>115</v>
      </c>
      <c r="L41" t="s">
        <v>147</v>
      </c>
      <c r="M41" t="s">
        <v>22</v>
      </c>
    </row>
    <row r="42" spans="1:13" x14ac:dyDescent="0.3">
      <c r="A42" t="str">
        <f>HYPERLINK("https://hsdes.intel.com/resource/14013119442","14013119442")</f>
        <v>14013119442</v>
      </c>
      <c r="B42" t="s">
        <v>148</v>
      </c>
      <c r="C42" t="s">
        <v>12</v>
      </c>
      <c r="D42" t="s">
        <v>149</v>
      </c>
      <c r="E42" t="s">
        <v>120</v>
      </c>
      <c r="F42" t="s">
        <v>150</v>
      </c>
      <c r="G42" t="s">
        <v>111</v>
      </c>
      <c r="H42" s="2">
        <v>44790</v>
      </c>
      <c r="I42" t="s">
        <v>48</v>
      </c>
      <c r="J42" t="s">
        <v>151</v>
      </c>
      <c r="L42" t="s">
        <v>152</v>
      </c>
      <c r="M42" t="s">
        <v>22</v>
      </c>
    </row>
    <row r="43" spans="1:13" x14ac:dyDescent="0.3">
      <c r="A43" t="str">
        <f>HYPERLINK("https://hsdes.intel.com/resource/14013119607","14013119607")</f>
        <v>14013119607</v>
      </c>
      <c r="B43" t="s">
        <v>153</v>
      </c>
      <c r="C43" t="s">
        <v>12</v>
      </c>
      <c r="D43" t="s">
        <v>154</v>
      </c>
      <c r="E43" t="s">
        <v>14</v>
      </c>
      <c r="G43" t="s">
        <v>72</v>
      </c>
      <c r="H43" s="2">
        <v>44785</v>
      </c>
      <c r="I43" t="s">
        <v>38</v>
      </c>
      <c r="J43" t="s">
        <v>77</v>
      </c>
      <c r="L43" t="s">
        <v>78</v>
      </c>
      <c r="M43" t="s">
        <v>26</v>
      </c>
    </row>
    <row r="44" spans="1:13" x14ac:dyDescent="0.3">
      <c r="A44" t="str">
        <f>HYPERLINK("https://hsdes.intel.com/resource/14013119621","14013119621")</f>
        <v>14013119621</v>
      </c>
      <c r="B44" t="s">
        <v>155</v>
      </c>
      <c r="C44" t="s">
        <v>12</v>
      </c>
      <c r="D44" t="s">
        <v>156</v>
      </c>
      <c r="E44" t="s">
        <v>14</v>
      </c>
      <c r="G44" t="s">
        <v>72</v>
      </c>
      <c r="H44" s="2">
        <v>44785</v>
      </c>
      <c r="I44" t="s">
        <v>16</v>
      </c>
      <c r="J44" t="s">
        <v>77</v>
      </c>
      <c r="L44" t="s">
        <v>157</v>
      </c>
      <c r="M44" t="s">
        <v>26</v>
      </c>
    </row>
    <row r="45" spans="1:13" x14ac:dyDescent="0.3">
      <c r="A45" t="str">
        <f>HYPERLINK("https://hsdes.intel.com/resource/14013119649","14013119649")</f>
        <v>14013119649</v>
      </c>
      <c r="B45" t="s">
        <v>158</v>
      </c>
      <c r="C45" t="s">
        <v>12</v>
      </c>
      <c r="D45" t="s">
        <v>159</v>
      </c>
      <c r="E45" t="s">
        <v>14</v>
      </c>
      <c r="F45" t="s">
        <v>160</v>
      </c>
      <c r="G45" t="s">
        <v>111</v>
      </c>
      <c r="H45" s="2">
        <v>44792</v>
      </c>
      <c r="I45" t="s">
        <v>38</v>
      </c>
      <c r="J45" t="s">
        <v>77</v>
      </c>
      <c r="L45" t="s">
        <v>78</v>
      </c>
      <c r="M45" t="s">
        <v>26</v>
      </c>
    </row>
    <row r="46" spans="1:13" x14ac:dyDescent="0.3">
      <c r="A46" t="str">
        <f>HYPERLINK("https://hsdes.intel.com/resource/14013119741","14013119741")</f>
        <v>14013119741</v>
      </c>
      <c r="B46" t="s">
        <v>161</v>
      </c>
      <c r="C46" t="s">
        <v>12</v>
      </c>
      <c r="D46" t="s">
        <v>162</v>
      </c>
      <c r="E46" t="s">
        <v>14</v>
      </c>
      <c r="G46" t="s">
        <v>63</v>
      </c>
      <c r="H46" s="2">
        <v>44789</v>
      </c>
      <c r="I46" t="s">
        <v>64</v>
      </c>
      <c r="J46" t="s">
        <v>65</v>
      </c>
      <c r="L46" t="s">
        <v>66</v>
      </c>
      <c r="M46" t="s">
        <v>26</v>
      </c>
    </row>
    <row r="47" spans="1:13" x14ac:dyDescent="0.3">
      <c r="A47" t="str">
        <f>HYPERLINK("https://hsdes.intel.com/resource/14013120050","14013120050")</f>
        <v>14013120050</v>
      </c>
      <c r="B47" t="s">
        <v>163</v>
      </c>
      <c r="C47" t="s">
        <v>12</v>
      </c>
      <c r="D47" t="s">
        <v>164</v>
      </c>
      <c r="E47" t="s">
        <v>14</v>
      </c>
      <c r="G47" t="s">
        <v>72</v>
      </c>
      <c r="H47" s="2">
        <v>44785</v>
      </c>
      <c r="I47" t="s">
        <v>38</v>
      </c>
      <c r="J47" t="s">
        <v>77</v>
      </c>
      <c r="L47" t="s">
        <v>78</v>
      </c>
      <c r="M47" t="s">
        <v>26</v>
      </c>
    </row>
    <row r="48" spans="1:13" x14ac:dyDescent="0.3">
      <c r="A48" t="str">
        <f>HYPERLINK("https://hsdes.intel.com/resource/14013120106","14013120106")</f>
        <v>14013120106</v>
      </c>
      <c r="B48" t="s">
        <v>165</v>
      </c>
      <c r="C48" t="s">
        <v>12</v>
      </c>
      <c r="D48" t="s">
        <v>166</v>
      </c>
      <c r="E48" t="s">
        <v>14</v>
      </c>
      <c r="G48" t="s">
        <v>111</v>
      </c>
      <c r="H48" s="2">
        <v>44801</v>
      </c>
      <c r="I48" t="s">
        <v>167</v>
      </c>
      <c r="J48" t="s">
        <v>168</v>
      </c>
      <c r="L48" t="s">
        <v>147</v>
      </c>
      <c r="M48" t="s">
        <v>22</v>
      </c>
    </row>
    <row r="49" spans="1:13" x14ac:dyDescent="0.3">
      <c r="A49" t="str">
        <f>HYPERLINK("https://hsdes.intel.com/resource/14013120118","14013120118")</f>
        <v>14013120118</v>
      </c>
      <c r="B49" t="s">
        <v>169</v>
      </c>
      <c r="C49" t="s">
        <v>12</v>
      </c>
      <c r="D49" t="s">
        <v>170</v>
      </c>
      <c r="E49" t="s">
        <v>14</v>
      </c>
      <c r="G49" t="s">
        <v>111</v>
      </c>
      <c r="H49" s="2">
        <v>44783</v>
      </c>
      <c r="I49" t="s">
        <v>167</v>
      </c>
      <c r="J49" t="s">
        <v>168</v>
      </c>
      <c r="L49" t="s">
        <v>147</v>
      </c>
      <c r="M49" t="s">
        <v>22</v>
      </c>
    </row>
    <row r="50" spans="1:13" x14ac:dyDescent="0.3">
      <c r="A50" t="str">
        <f>HYPERLINK("https://hsdes.intel.com/resource/14013120187","14013120187")</f>
        <v>14013120187</v>
      </c>
      <c r="B50" t="s">
        <v>171</v>
      </c>
      <c r="C50" t="s">
        <v>12</v>
      </c>
      <c r="D50" t="s">
        <v>172</v>
      </c>
      <c r="E50" t="s">
        <v>14</v>
      </c>
      <c r="G50" t="s">
        <v>69</v>
      </c>
      <c r="H50" s="2">
        <v>44785</v>
      </c>
      <c r="I50" t="s">
        <v>64</v>
      </c>
      <c r="J50" t="s">
        <v>65</v>
      </c>
      <c r="L50" t="s">
        <v>66</v>
      </c>
      <c r="M50" t="s">
        <v>26</v>
      </c>
    </row>
    <row r="51" spans="1:13" x14ac:dyDescent="0.3">
      <c r="A51" t="str">
        <f>HYPERLINK("https://hsdes.intel.com/resource/14013120372","14013120372")</f>
        <v>14013120372</v>
      </c>
      <c r="B51" t="s">
        <v>173</v>
      </c>
      <c r="C51" t="s">
        <v>12</v>
      </c>
      <c r="D51" t="s">
        <v>174</v>
      </c>
      <c r="E51" t="s">
        <v>14</v>
      </c>
      <c r="G51" t="s">
        <v>37</v>
      </c>
      <c r="I51" t="s">
        <v>32</v>
      </c>
      <c r="J51" t="s">
        <v>82</v>
      </c>
      <c r="L51" t="s">
        <v>34</v>
      </c>
      <c r="M51" t="s">
        <v>26</v>
      </c>
    </row>
    <row r="52" spans="1:13" x14ac:dyDescent="0.3">
      <c r="A52" t="str">
        <f>HYPERLINK("https://hsdes.intel.com/resource/14013120386","14013120386")</f>
        <v>14013120386</v>
      </c>
      <c r="B52" t="s">
        <v>175</v>
      </c>
      <c r="C52" t="s">
        <v>12</v>
      </c>
      <c r="D52" t="s">
        <v>176</v>
      </c>
      <c r="E52" t="s">
        <v>14</v>
      </c>
      <c r="G52" t="s">
        <v>31</v>
      </c>
      <c r="H52" s="2">
        <v>44798</v>
      </c>
      <c r="I52" t="s">
        <v>38</v>
      </c>
      <c r="J52" t="s">
        <v>46</v>
      </c>
      <c r="L52" t="s">
        <v>177</v>
      </c>
      <c r="M52" t="s">
        <v>26</v>
      </c>
    </row>
    <row r="53" spans="1:13" x14ac:dyDescent="0.3">
      <c r="A53" t="str">
        <f>HYPERLINK("https://hsdes.intel.com/resource/14013120401","14013120401")</f>
        <v>14013120401</v>
      </c>
      <c r="B53" t="s">
        <v>178</v>
      </c>
      <c r="C53" t="s">
        <v>12</v>
      </c>
      <c r="D53" t="s">
        <v>179</v>
      </c>
      <c r="E53" t="s">
        <v>120</v>
      </c>
      <c r="F53" t="s">
        <v>180</v>
      </c>
      <c r="G53" t="s">
        <v>111</v>
      </c>
      <c r="H53" s="2">
        <v>44785</v>
      </c>
      <c r="I53" t="s">
        <v>132</v>
      </c>
      <c r="J53" t="s">
        <v>106</v>
      </c>
      <c r="L53" t="s">
        <v>54</v>
      </c>
      <c r="M53" t="s">
        <v>19</v>
      </c>
    </row>
    <row r="54" spans="1:13" x14ac:dyDescent="0.3">
      <c r="A54" t="str">
        <f>HYPERLINK("https://hsdes.intel.com/resource/14013120427","14013120427")</f>
        <v>14013120427</v>
      </c>
      <c r="B54" t="s">
        <v>181</v>
      </c>
      <c r="C54" t="s">
        <v>12</v>
      </c>
      <c r="D54" t="s">
        <v>182</v>
      </c>
      <c r="E54" t="s">
        <v>14</v>
      </c>
      <c r="G54" t="s">
        <v>111</v>
      </c>
      <c r="H54" s="2">
        <v>44783</v>
      </c>
      <c r="I54" t="s">
        <v>38</v>
      </c>
      <c r="J54" t="s">
        <v>183</v>
      </c>
      <c r="L54" t="s">
        <v>54</v>
      </c>
      <c r="M54" t="s">
        <v>22</v>
      </c>
    </row>
    <row r="55" spans="1:13" x14ac:dyDescent="0.3">
      <c r="A55" t="str">
        <f>HYPERLINK("https://hsdes.intel.com/resource/14013120472","14013120472")</f>
        <v>14013120472</v>
      </c>
      <c r="B55" t="s">
        <v>184</v>
      </c>
      <c r="C55" t="s">
        <v>12</v>
      </c>
      <c r="D55" t="s">
        <v>185</v>
      </c>
      <c r="E55" t="s">
        <v>14</v>
      </c>
      <c r="G55" t="s">
        <v>111</v>
      </c>
      <c r="H55" s="2">
        <v>44783</v>
      </c>
      <c r="I55" t="s">
        <v>167</v>
      </c>
      <c r="J55" t="s">
        <v>186</v>
      </c>
      <c r="L55" t="s">
        <v>147</v>
      </c>
      <c r="M55" t="s">
        <v>26</v>
      </c>
    </row>
    <row r="56" spans="1:13" x14ac:dyDescent="0.3">
      <c r="A56" t="str">
        <f>HYPERLINK("https://hsdes.intel.com/resource/14013120520","14013120520")</f>
        <v>14013120520</v>
      </c>
      <c r="B56" t="s">
        <v>187</v>
      </c>
      <c r="C56" t="s">
        <v>12</v>
      </c>
      <c r="D56" t="s">
        <v>188</v>
      </c>
      <c r="E56" t="s">
        <v>14</v>
      </c>
      <c r="G56" t="s">
        <v>37</v>
      </c>
      <c r="I56" t="s">
        <v>32</v>
      </c>
      <c r="J56" t="s">
        <v>82</v>
      </c>
      <c r="L56" t="s">
        <v>34</v>
      </c>
      <c r="M56" t="s">
        <v>26</v>
      </c>
    </row>
    <row r="57" spans="1:13" x14ac:dyDescent="0.3">
      <c r="A57" t="str">
        <f>HYPERLINK("https://hsdes.intel.com/resource/14013120543","14013120543")</f>
        <v>14013120543</v>
      </c>
      <c r="B57" t="s">
        <v>189</v>
      </c>
      <c r="C57" t="s">
        <v>12</v>
      </c>
      <c r="D57" t="s">
        <v>190</v>
      </c>
      <c r="E57" t="s">
        <v>14</v>
      </c>
      <c r="G57" t="s">
        <v>111</v>
      </c>
      <c r="H57" s="2">
        <v>44783</v>
      </c>
      <c r="I57" t="s">
        <v>64</v>
      </c>
      <c r="J57" t="s">
        <v>191</v>
      </c>
      <c r="L57" t="s">
        <v>192</v>
      </c>
      <c r="M57" t="s">
        <v>26</v>
      </c>
    </row>
    <row r="58" spans="1:13" x14ac:dyDescent="0.3">
      <c r="A58" t="str">
        <f>HYPERLINK("https://hsdes.intel.com/resource/14013120567","14013120567")</f>
        <v>14013120567</v>
      </c>
      <c r="B58" t="s">
        <v>193</v>
      </c>
      <c r="C58" t="s">
        <v>12</v>
      </c>
      <c r="D58" t="s">
        <v>194</v>
      </c>
      <c r="E58" t="s">
        <v>14</v>
      </c>
      <c r="G58" t="s">
        <v>111</v>
      </c>
      <c r="H58" s="2">
        <v>44783</v>
      </c>
      <c r="I58" t="s">
        <v>64</v>
      </c>
      <c r="J58" t="s">
        <v>191</v>
      </c>
      <c r="L58" t="s">
        <v>192</v>
      </c>
      <c r="M58" t="s">
        <v>26</v>
      </c>
    </row>
    <row r="59" spans="1:13" x14ac:dyDescent="0.3">
      <c r="A59" t="str">
        <f>HYPERLINK("https://hsdes.intel.com/resource/14013120573","14013120573")</f>
        <v>14013120573</v>
      </c>
      <c r="B59" t="s">
        <v>195</v>
      </c>
      <c r="C59" t="s">
        <v>12</v>
      </c>
      <c r="D59" t="s">
        <v>196</v>
      </c>
      <c r="E59" t="s">
        <v>14</v>
      </c>
      <c r="G59" t="s">
        <v>111</v>
      </c>
      <c r="H59" s="2">
        <v>44783</v>
      </c>
      <c r="I59" t="s">
        <v>64</v>
      </c>
      <c r="J59" t="s">
        <v>191</v>
      </c>
      <c r="L59" t="s">
        <v>192</v>
      </c>
      <c r="M59" t="s">
        <v>26</v>
      </c>
    </row>
    <row r="60" spans="1:13" x14ac:dyDescent="0.3">
      <c r="A60" t="str">
        <f>HYPERLINK("https://hsdes.intel.com/resource/14013120607","14013120607")</f>
        <v>14013120607</v>
      </c>
      <c r="B60" t="s">
        <v>197</v>
      </c>
      <c r="C60" t="s">
        <v>12</v>
      </c>
      <c r="D60" t="s">
        <v>198</v>
      </c>
      <c r="E60" t="s">
        <v>14</v>
      </c>
      <c r="G60" t="s">
        <v>31</v>
      </c>
      <c r="H60" s="2">
        <v>44798</v>
      </c>
      <c r="I60" t="s">
        <v>64</v>
      </c>
      <c r="J60" t="s">
        <v>191</v>
      </c>
      <c r="L60" t="s">
        <v>192</v>
      </c>
      <c r="M60" t="s">
        <v>26</v>
      </c>
    </row>
    <row r="61" spans="1:13" x14ac:dyDescent="0.3">
      <c r="A61" t="str">
        <f>HYPERLINK("https://hsdes.intel.com/resource/14013120621","14013120621")</f>
        <v>14013120621</v>
      </c>
      <c r="B61" t="s">
        <v>199</v>
      </c>
      <c r="C61" t="s">
        <v>12</v>
      </c>
      <c r="D61" t="s">
        <v>200</v>
      </c>
      <c r="E61" t="s">
        <v>14</v>
      </c>
      <c r="G61" t="s">
        <v>111</v>
      </c>
      <c r="H61" s="2">
        <v>44783</v>
      </c>
      <c r="I61" t="s">
        <v>64</v>
      </c>
      <c r="J61" t="s">
        <v>191</v>
      </c>
      <c r="L61" t="s">
        <v>192</v>
      </c>
      <c r="M61" t="s">
        <v>26</v>
      </c>
    </row>
    <row r="62" spans="1:13" x14ac:dyDescent="0.3">
      <c r="A62" t="str">
        <f>HYPERLINK("https://hsdes.intel.com/resource/14013120629","14013120629")</f>
        <v>14013120629</v>
      </c>
      <c r="B62" t="s">
        <v>201</v>
      </c>
      <c r="C62" t="s">
        <v>12</v>
      </c>
      <c r="D62" t="s">
        <v>202</v>
      </c>
      <c r="E62" t="s">
        <v>14</v>
      </c>
      <c r="G62" t="s">
        <v>111</v>
      </c>
      <c r="H62" s="2">
        <v>44783</v>
      </c>
      <c r="I62" t="s">
        <v>64</v>
      </c>
      <c r="J62" t="s">
        <v>191</v>
      </c>
      <c r="L62" t="s">
        <v>192</v>
      </c>
      <c r="M62" t="s">
        <v>26</v>
      </c>
    </row>
    <row r="63" spans="1:13" x14ac:dyDescent="0.3">
      <c r="A63" t="str">
        <f>HYPERLINK("https://hsdes.intel.com/resource/14013120639","14013120639")</f>
        <v>14013120639</v>
      </c>
      <c r="B63" t="s">
        <v>203</v>
      </c>
      <c r="C63" t="s">
        <v>12</v>
      </c>
      <c r="D63" t="s">
        <v>204</v>
      </c>
      <c r="E63" t="s">
        <v>14</v>
      </c>
      <c r="G63" t="s">
        <v>111</v>
      </c>
      <c r="H63" s="2">
        <v>44783</v>
      </c>
      <c r="I63" t="s">
        <v>64</v>
      </c>
      <c r="J63" t="s">
        <v>191</v>
      </c>
      <c r="L63" t="s">
        <v>192</v>
      </c>
      <c r="M63" t="s">
        <v>26</v>
      </c>
    </row>
    <row r="64" spans="1:13" x14ac:dyDescent="0.3">
      <c r="A64" t="str">
        <f>HYPERLINK("https://hsdes.intel.com/resource/14013120644","14013120644")</f>
        <v>14013120644</v>
      </c>
      <c r="B64" t="s">
        <v>205</v>
      </c>
      <c r="C64" t="s">
        <v>12</v>
      </c>
      <c r="D64" t="s">
        <v>206</v>
      </c>
      <c r="E64" t="s">
        <v>14</v>
      </c>
      <c r="G64" t="s">
        <v>111</v>
      </c>
      <c r="H64" s="2">
        <v>44783</v>
      </c>
      <c r="I64" t="s">
        <v>64</v>
      </c>
      <c r="J64" t="s">
        <v>191</v>
      </c>
      <c r="L64" t="s">
        <v>192</v>
      </c>
      <c r="M64" t="s">
        <v>26</v>
      </c>
    </row>
    <row r="65" spans="1:13" x14ac:dyDescent="0.3">
      <c r="A65" t="str">
        <f>HYPERLINK("https://hsdes.intel.com/resource/14013120671","14013120671")</f>
        <v>14013120671</v>
      </c>
      <c r="B65" t="s">
        <v>207</v>
      </c>
      <c r="C65" t="s">
        <v>12</v>
      </c>
      <c r="D65" t="s">
        <v>208</v>
      </c>
      <c r="E65" t="s">
        <v>14</v>
      </c>
      <c r="G65" t="s">
        <v>43</v>
      </c>
      <c r="H65" s="2">
        <v>44783</v>
      </c>
      <c r="I65" t="s">
        <v>64</v>
      </c>
      <c r="J65" t="s">
        <v>191</v>
      </c>
      <c r="L65" t="s">
        <v>192</v>
      </c>
      <c r="M65" t="s">
        <v>26</v>
      </c>
    </row>
    <row r="66" spans="1:13" x14ac:dyDescent="0.3">
      <c r="A66" t="str">
        <f>HYPERLINK("https://hsdes.intel.com/resource/14013120685","14013120685")</f>
        <v>14013120685</v>
      </c>
      <c r="B66" t="s">
        <v>209</v>
      </c>
      <c r="C66" t="s">
        <v>12</v>
      </c>
      <c r="D66" t="s">
        <v>210</v>
      </c>
      <c r="E66" t="s">
        <v>14</v>
      </c>
      <c r="G66" t="s">
        <v>43</v>
      </c>
      <c r="H66" s="2">
        <v>44783</v>
      </c>
      <c r="I66" t="s">
        <v>64</v>
      </c>
      <c r="J66" t="s">
        <v>191</v>
      </c>
      <c r="L66" t="s">
        <v>192</v>
      </c>
      <c r="M66" t="s">
        <v>26</v>
      </c>
    </row>
    <row r="67" spans="1:13" x14ac:dyDescent="0.3">
      <c r="A67" t="str">
        <f>HYPERLINK("https://hsdes.intel.com/resource/14013120696","14013120696")</f>
        <v>14013120696</v>
      </c>
      <c r="B67" t="s">
        <v>211</v>
      </c>
      <c r="C67" t="s">
        <v>12</v>
      </c>
      <c r="D67" t="s">
        <v>212</v>
      </c>
      <c r="E67" t="s">
        <v>14</v>
      </c>
      <c r="G67" t="s">
        <v>43</v>
      </c>
      <c r="H67" s="2">
        <v>44783</v>
      </c>
      <c r="I67" t="s">
        <v>64</v>
      </c>
      <c r="J67" t="s">
        <v>191</v>
      </c>
      <c r="L67" t="s">
        <v>192</v>
      </c>
      <c r="M67" t="s">
        <v>26</v>
      </c>
    </row>
    <row r="68" spans="1:13" x14ac:dyDescent="0.3">
      <c r="A68" t="str">
        <f>HYPERLINK("https://hsdes.intel.com/resource/14013120707","14013120707")</f>
        <v>14013120707</v>
      </c>
      <c r="B68" t="s">
        <v>213</v>
      </c>
      <c r="C68" t="s">
        <v>12</v>
      </c>
      <c r="D68" t="s">
        <v>214</v>
      </c>
      <c r="E68" t="s">
        <v>14</v>
      </c>
      <c r="G68" t="s">
        <v>43</v>
      </c>
      <c r="H68" s="2">
        <v>44783</v>
      </c>
      <c r="I68" t="s">
        <v>64</v>
      </c>
      <c r="J68" t="s">
        <v>191</v>
      </c>
      <c r="L68" t="s">
        <v>192</v>
      </c>
      <c r="M68" t="s">
        <v>26</v>
      </c>
    </row>
    <row r="69" spans="1:13" x14ac:dyDescent="0.3">
      <c r="A69" t="str">
        <f>HYPERLINK("https://hsdes.intel.com/resource/14013120730","14013120730")</f>
        <v>14013120730</v>
      </c>
      <c r="B69" t="s">
        <v>215</v>
      </c>
      <c r="C69" t="s">
        <v>12</v>
      </c>
      <c r="D69" t="s">
        <v>216</v>
      </c>
      <c r="E69" t="s">
        <v>14</v>
      </c>
      <c r="G69" t="s">
        <v>15</v>
      </c>
      <c r="H69" s="2">
        <v>44784</v>
      </c>
      <c r="I69" t="s">
        <v>64</v>
      </c>
      <c r="J69" t="s">
        <v>191</v>
      </c>
      <c r="L69" t="s">
        <v>192</v>
      </c>
      <c r="M69" t="s">
        <v>26</v>
      </c>
    </row>
    <row r="70" spans="1:13" x14ac:dyDescent="0.3">
      <c r="A70" t="str">
        <f>HYPERLINK("https://hsdes.intel.com/resource/14013120738","14013120738")</f>
        <v>14013120738</v>
      </c>
      <c r="B70" t="s">
        <v>217</v>
      </c>
      <c r="C70" t="s">
        <v>12</v>
      </c>
      <c r="D70" t="s">
        <v>218</v>
      </c>
      <c r="E70" t="s">
        <v>14</v>
      </c>
      <c r="F70" t="s">
        <v>46</v>
      </c>
      <c r="G70" t="s">
        <v>47</v>
      </c>
      <c r="H70" s="2">
        <v>44802</v>
      </c>
      <c r="I70" t="s">
        <v>64</v>
      </c>
      <c r="J70" t="s">
        <v>191</v>
      </c>
      <c r="L70" t="s">
        <v>50</v>
      </c>
      <c r="M70" t="s">
        <v>22</v>
      </c>
    </row>
    <row r="71" spans="1:13" x14ac:dyDescent="0.3">
      <c r="A71" t="str">
        <f>HYPERLINK("https://hsdes.intel.com/resource/14013120756","14013120756")</f>
        <v>14013120756</v>
      </c>
      <c r="B71" t="s">
        <v>219</v>
      </c>
      <c r="C71" t="s">
        <v>12</v>
      </c>
      <c r="D71" t="s">
        <v>220</v>
      </c>
      <c r="E71" t="s">
        <v>14</v>
      </c>
      <c r="F71" t="s">
        <v>221</v>
      </c>
      <c r="G71" t="s">
        <v>111</v>
      </c>
      <c r="H71" s="2">
        <v>44783</v>
      </c>
      <c r="I71" t="s">
        <v>64</v>
      </c>
      <c r="J71" t="s">
        <v>191</v>
      </c>
      <c r="L71" t="s">
        <v>192</v>
      </c>
      <c r="M71" t="s">
        <v>26</v>
      </c>
    </row>
    <row r="72" spans="1:13" x14ac:dyDescent="0.3">
      <c r="A72" t="str">
        <f>HYPERLINK("https://hsdes.intel.com/resource/14013120765","14013120765")</f>
        <v>14013120765</v>
      </c>
      <c r="B72" t="s">
        <v>222</v>
      </c>
      <c r="C72" t="s">
        <v>12</v>
      </c>
      <c r="D72" t="s">
        <v>223</v>
      </c>
      <c r="E72" t="s">
        <v>14</v>
      </c>
      <c r="F72" t="s">
        <v>224</v>
      </c>
      <c r="G72" t="s">
        <v>15</v>
      </c>
      <c r="H72" s="2">
        <v>44784</v>
      </c>
      <c r="I72" t="s">
        <v>64</v>
      </c>
      <c r="J72" t="s">
        <v>191</v>
      </c>
      <c r="L72" t="s">
        <v>192</v>
      </c>
      <c r="M72" t="s">
        <v>26</v>
      </c>
    </row>
    <row r="73" spans="1:13" x14ac:dyDescent="0.3">
      <c r="A73" t="str">
        <f>HYPERLINK("https://hsdes.intel.com/resource/14013120780","14013120780")</f>
        <v>14013120780</v>
      </c>
      <c r="B73" t="s">
        <v>225</v>
      </c>
      <c r="C73" t="s">
        <v>12</v>
      </c>
      <c r="D73" t="s">
        <v>226</v>
      </c>
      <c r="E73" t="s">
        <v>14</v>
      </c>
      <c r="G73" t="s">
        <v>15</v>
      </c>
      <c r="H73" s="2">
        <v>44784</v>
      </c>
      <c r="I73" t="s">
        <v>64</v>
      </c>
      <c r="J73" t="s">
        <v>191</v>
      </c>
      <c r="L73" t="s">
        <v>192</v>
      </c>
      <c r="M73" t="s">
        <v>26</v>
      </c>
    </row>
    <row r="74" spans="1:13" x14ac:dyDescent="0.3">
      <c r="A74" t="str">
        <f>HYPERLINK("https://hsdes.intel.com/resource/14013120792","14013120792")</f>
        <v>14013120792</v>
      </c>
      <c r="B74" t="s">
        <v>227</v>
      </c>
      <c r="C74" t="s">
        <v>12</v>
      </c>
      <c r="D74" t="s">
        <v>228</v>
      </c>
      <c r="E74" t="s">
        <v>14</v>
      </c>
      <c r="G74" t="s">
        <v>111</v>
      </c>
      <c r="H74" s="2">
        <v>44790</v>
      </c>
      <c r="I74" t="s">
        <v>64</v>
      </c>
      <c r="J74" t="s">
        <v>191</v>
      </c>
      <c r="L74" t="s">
        <v>192</v>
      </c>
      <c r="M74" t="s">
        <v>26</v>
      </c>
    </row>
    <row r="75" spans="1:13" x14ac:dyDescent="0.3">
      <c r="A75" t="str">
        <f>HYPERLINK("https://hsdes.intel.com/resource/14013120808","14013120808")</f>
        <v>14013120808</v>
      </c>
      <c r="B75" t="s">
        <v>229</v>
      </c>
      <c r="C75" t="s">
        <v>12</v>
      </c>
      <c r="D75" t="s">
        <v>230</v>
      </c>
      <c r="E75" t="s">
        <v>14</v>
      </c>
      <c r="G75" t="s">
        <v>31</v>
      </c>
      <c r="H75" s="2">
        <v>44798</v>
      </c>
      <c r="I75" t="s">
        <v>64</v>
      </c>
      <c r="J75" t="s">
        <v>191</v>
      </c>
      <c r="L75" t="s">
        <v>192</v>
      </c>
      <c r="M75" t="s">
        <v>26</v>
      </c>
    </row>
    <row r="76" spans="1:13" x14ac:dyDescent="0.3">
      <c r="A76" t="str">
        <f>HYPERLINK("https://hsdes.intel.com/resource/14013120822","14013120822")</f>
        <v>14013120822</v>
      </c>
      <c r="B76" t="s">
        <v>231</v>
      </c>
      <c r="C76" t="s">
        <v>12</v>
      </c>
      <c r="D76" t="s">
        <v>232</v>
      </c>
      <c r="E76" t="s">
        <v>14</v>
      </c>
      <c r="G76" t="s">
        <v>81</v>
      </c>
      <c r="H76" s="2">
        <v>44791</v>
      </c>
      <c r="I76" t="s">
        <v>64</v>
      </c>
      <c r="J76" t="s">
        <v>191</v>
      </c>
      <c r="L76" t="s">
        <v>192</v>
      </c>
      <c r="M76" t="s">
        <v>26</v>
      </c>
    </row>
    <row r="77" spans="1:13" x14ac:dyDescent="0.3">
      <c r="A77" t="str">
        <f>HYPERLINK("https://hsdes.intel.com/resource/14013120858","14013120858")</f>
        <v>14013120858</v>
      </c>
      <c r="B77" t="s">
        <v>233</v>
      </c>
      <c r="C77" t="s">
        <v>12</v>
      </c>
      <c r="D77" t="s">
        <v>234</v>
      </c>
      <c r="E77" t="s">
        <v>14</v>
      </c>
      <c r="G77" t="s">
        <v>43</v>
      </c>
      <c r="H77" s="2">
        <v>44783</v>
      </c>
      <c r="I77" t="s">
        <v>64</v>
      </c>
      <c r="J77" t="s">
        <v>191</v>
      </c>
      <c r="L77" t="s">
        <v>192</v>
      </c>
      <c r="M77" t="s">
        <v>26</v>
      </c>
    </row>
    <row r="78" spans="1:13" x14ac:dyDescent="0.3">
      <c r="A78" t="str">
        <f>HYPERLINK("https://hsdes.intel.com/resource/14013120864","14013120864")</f>
        <v>14013120864</v>
      </c>
      <c r="B78" t="s">
        <v>235</v>
      </c>
      <c r="C78" t="s">
        <v>12</v>
      </c>
      <c r="D78" t="s">
        <v>236</v>
      </c>
      <c r="E78" t="s">
        <v>14</v>
      </c>
      <c r="G78" t="s">
        <v>15</v>
      </c>
      <c r="H78" s="2">
        <v>44784</v>
      </c>
      <c r="I78" t="s">
        <v>64</v>
      </c>
      <c r="J78" t="s">
        <v>191</v>
      </c>
      <c r="L78" t="s">
        <v>192</v>
      </c>
      <c r="M78" t="s">
        <v>26</v>
      </c>
    </row>
    <row r="79" spans="1:13" x14ac:dyDescent="0.3">
      <c r="A79" t="str">
        <f>HYPERLINK("https://hsdes.intel.com/resource/14013120874","14013120874")</f>
        <v>14013120874</v>
      </c>
      <c r="B79" t="s">
        <v>237</v>
      </c>
      <c r="C79" t="s">
        <v>12</v>
      </c>
      <c r="D79" t="s">
        <v>238</v>
      </c>
      <c r="E79" t="s">
        <v>14</v>
      </c>
      <c r="G79" t="s">
        <v>111</v>
      </c>
      <c r="H79" s="2">
        <v>44784</v>
      </c>
      <c r="I79" t="s">
        <v>64</v>
      </c>
      <c r="J79" t="s">
        <v>191</v>
      </c>
      <c r="L79" t="s">
        <v>192</v>
      </c>
      <c r="M79" t="s">
        <v>26</v>
      </c>
    </row>
    <row r="80" spans="1:13" x14ac:dyDescent="0.3">
      <c r="A80" t="str">
        <f>HYPERLINK("https://hsdes.intel.com/resource/14013120896","14013120896")</f>
        <v>14013120896</v>
      </c>
      <c r="B80" t="s">
        <v>239</v>
      </c>
      <c r="C80" t="s">
        <v>12</v>
      </c>
      <c r="D80" t="s">
        <v>240</v>
      </c>
      <c r="E80" t="s">
        <v>14</v>
      </c>
      <c r="G80" t="s">
        <v>111</v>
      </c>
      <c r="H80" s="2">
        <v>44783</v>
      </c>
      <c r="I80" t="s">
        <v>38</v>
      </c>
      <c r="J80" t="s">
        <v>77</v>
      </c>
      <c r="L80" t="s">
        <v>78</v>
      </c>
      <c r="M80" t="s">
        <v>26</v>
      </c>
    </row>
    <row r="81" spans="1:13" x14ac:dyDescent="0.3">
      <c r="A81" t="str">
        <f>HYPERLINK("https://hsdes.intel.com/resource/14013120901","14013120901")</f>
        <v>14013120901</v>
      </c>
      <c r="B81" t="s">
        <v>241</v>
      </c>
      <c r="C81" t="s">
        <v>12</v>
      </c>
      <c r="D81" t="s">
        <v>242</v>
      </c>
      <c r="E81" t="s">
        <v>14</v>
      </c>
      <c r="G81" t="s">
        <v>111</v>
      </c>
      <c r="H81" s="2">
        <v>44783</v>
      </c>
      <c r="I81" t="s">
        <v>38</v>
      </c>
      <c r="J81" t="s">
        <v>77</v>
      </c>
      <c r="L81" t="s">
        <v>78</v>
      </c>
      <c r="M81" t="s">
        <v>26</v>
      </c>
    </row>
    <row r="82" spans="1:13" x14ac:dyDescent="0.3">
      <c r="A82" t="str">
        <f>HYPERLINK("https://hsdes.intel.com/resource/14013120907","14013120907")</f>
        <v>14013120907</v>
      </c>
      <c r="B82" t="s">
        <v>243</v>
      </c>
      <c r="C82" t="s">
        <v>12</v>
      </c>
      <c r="D82" t="s">
        <v>244</v>
      </c>
      <c r="E82" t="s">
        <v>14</v>
      </c>
      <c r="G82" t="s">
        <v>43</v>
      </c>
      <c r="H82" s="2">
        <v>44783</v>
      </c>
      <c r="I82" t="s">
        <v>38</v>
      </c>
      <c r="J82" t="s">
        <v>77</v>
      </c>
      <c r="L82" t="s">
        <v>78</v>
      </c>
      <c r="M82" t="s">
        <v>26</v>
      </c>
    </row>
    <row r="83" spans="1:13" x14ac:dyDescent="0.3">
      <c r="A83" t="str">
        <f>HYPERLINK("https://hsdes.intel.com/resource/14013120914","14013120914")</f>
        <v>14013120914</v>
      </c>
      <c r="B83" t="s">
        <v>245</v>
      </c>
      <c r="C83" t="s">
        <v>12</v>
      </c>
      <c r="D83" t="s">
        <v>246</v>
      </c>
      <c r="E83" t="s">
        <v>14</v>
      </c>
      <c r="G83" t="s">
        <v>43</v>
      </c>
      <c r="H83" s="2">
        <v>44783</v>
      </c>
      <c r="I83" t="s">
        <v>38</v>
      </c>
      <c r="J83" t="s">
        <v>77</v>
      </c>
      <c r="L83" t="s">
        <v>78</v>
      </c>
      <c r="M83" t="s">
        <v>26</v>
      </c>
    </row>
    <row r="84" spans="1:13" x14ac:dyDescent="0.3">
      <c r="A84" t="str">
        <f>HYPERLINK("https://hsdes.intel.com/resource/14013120930","14013120930")</f>
        <v>14013120930</v>
      </c>
      <c r="B84" t="s">
        <v>247</v>
      </c>
      <c r="C84" t="s">
        <v>12</v>
      </c>
      <c r="D84" t="s">
        <v>248</v>
      </c>
      <c r="E84" t="s">
        <v>14</v>
      </c>
      <c r="G84" t="s">
        <v>37</v>
      </c>
      <c r="H84" s="3">
        <v>44789</v>
      </c>
      <c r="I84" t="s">
        <v>32</v>
      </c>
      <c r="J84" t="s">
        <v>46</v>
      </c>
      <c r="L84" t="s">
        <v>177</v>
      </c>
      <c r="M84" t="s">
        <v>19</v>
      </c>
    </row>
    <row r="85" spans="1:13" x14ac:dyDescent="0.3">
      <c r="A85" t="str">
        <f>HYPERLINK("https://hsdes.intel.com/resource/14013120937","14013120937")</f>
        <v>14013120937</v>
      </c>
      <c r="B85" t="s">
        <v>249</v>
      </c>
      <c r="C85" t="s">
        <v>12</v>
      </c>
      <c r="D85" t="s">
        <v>250</v>
      </c>
      <c r="E85" t="s">
        <v>14</v>
      </c>
      <c r="G85" t="s">
        <v>111</v>
      </c>
      <c r="H85" s="2">
        <v>44784</v>
      </c>
      <c r="I85" t="s">
        <v>38</v>
      </c>
      <c r="J85" t="s">
        <v>106</v>
      </c>
      <c r="L85" t="s">
        <v>54</v>
      </c>
      <c r="M85" t="s">
        <v>22</v>
      </c>
    </row>
    <row r="86" spans="1:13" x14ac:dyDescent="0.3">
      <c r="A86" t="str">
        <f>HYPERLINK("https://hsdes.intel.com/resource/14013121015","14013121015")</f>
        <v>14013121015</v>
      </c>
      <c r="B86" t="s">
        <v>251</v>
      </c>
      <c r="C86" t="s">
        <v>12</v>
      </c>
      <c r="D86" t="s">
        <v>252</v>
      </c>
      <c r="E86" t="s">
        <v>14</v>
      </c>
      <c r="G86" t="s">
        <v>57</v>
      </c>
      <c r="H86" s="2">
        <v>44798</v>
      </c>
      <c r="I86" t="s">
        <v>38</v>
      </c>
      <c r="J86" t="s">
        <v>77</v>
      </c>
      <c r="L86" t="s">
        <v>78</v>
      </c>
      <c r="M86" t="s">
        <v>26</v>
      </c>
    </row>
    <row r="87" spans="1:13" x14ac:dyDescent="0.3">
      <c r="A87" t="str">
        <f>HYPERLINK("https://hsdes.intel.com/resource/14013121204","14013121204")</f>
        <v>14013121204</v>
      </c>
      <c r="B87" t="s">
        <v>253</v>
      </c>
      <c r="C87" t="s">
        <v>12</v>
      </c>
      <c r="D87" t="s">
        <v>254</v>
      </c>
      <c r="E87" t="s">
        <v>14</v>
      </c>
      <c r="G87" t="s">
        <v>15</v>
      </c>
      <c r="H87" s="2">
        <v>44783</v>
      </c>
      <c r="I87" t="s">
        <v>16</v>
      </c>
      <c r="J87" t="s">
        <v>17</v>
      </c>
      <c r="L87" t="s">
        <v>18</v>
      </c>
      <c r="M87" t="s">
        <v>19</v>
      </c>
    </row>
    <row r="88" spans="1:13" x14ac:dyDescent="0.3">
      <c r="A88" t="str">
        <f>HYPERLINK("https://hsdes.intel.com/resource/14013121214","14013121214")</f>
        <v>14013121214</v>
      </c>
      <c r="B88" t="s">
        <v>255</v>
      </c>
      <c r="C88" t="s">
        <v>12</v>
      </c>
      <c r="D88" t="s">
        <v>256</v>
      </c>
      <c r="E88" t="s">
        <v>14</v>
      </c>
      <c r="G88" t="s">
        <v>15</v>
      </c>
      <c r="H88" s="2">
        <v>44783</v>
      </c>
      <c r="I88" t="s">
        <v>16</v>
      </c>
      <c r="J88" t="s">
        <v>17</v>
      </c>
      <c r="L88" t="s">
        <v>18</v>
      </c>
      <c r="M88" t="s">
        <v>22</v>
      </c>
    </row>
    <row r="89" spans="1:13" x14ac:dyDescent="0.3">
      <c r="A89" t="str">
        <f>HYPERLINK("https://hsdes.intel.com/resource/14013121224","14013121224")</f>
        <v>14013121224</v>
      </c>
      <c r="B89" t="s">
        <v>257</v>
      </c>
      <c r="C89" t="s">
        <v>12</v>
      </c>
      <c r="D89" t="s">
        <v>258</v>
      </c>
      <c r="E89" t="s">
        <v>14</v>
      </c>
      <c r="G89" t="s">
        <v>15</v>
      </c>
      <c r="H89" s="2">
        <v>44783</v>
      </c>
      <c r="I89" t="s">
        <v>16</v>
      </c>
      <c r="J89" t="s">
        <v>17</v>
      </c>
      <c r="L89" t="s">
        <v>18</v>
      </c>
      <c r="M89" t="s">
        <v>19</v>
      </c>
    </row>
    <row r="90" spans="1:13" x14ac:dyDescent="0.3">
      <c r="A90" t="str">
        <f>HYPERLINK("https://hsdes.intel.com/resource/14013121230","14013121230")</f>
        <v>14013121230</v>
      </c>
      <c r="B90" t="s">
        <v>259</v>
      </c>
      <c r="C90" t="s">
        <v>12</v>
      </c>
      <c r="D90" t="s">
        <v>260</v>
      </c>
      <c r="E90" t="s">
        <v>14</v>
      </c>
      <c r="G90" t="s">
        <v>15</v>
      </c>
      <c r="H90" s="2">
        <v>44783</v>
      </c>
      <c r="I90" t="s">
        <v>16</v>
      </c>
      <c r="J90" t="s">
        <v>17</v>
      </c>
      <c r="L90" t="s">
        <v>18</v>
      </c>
      <c r="M90" t="s">
        <v>19</v>
      </c>
    </row>
    <row r="91" spans="1:13" x14ac:dyDescent="0.3">
      <c r="A91" t="str">
        <f>HYPERLINK("https://hsdes.intel.com/resource/14013121241","14013121241")</f>
        <v>14013121241</v>
      </c>
      <c r="B91" t="s">
        <v>261</v>
      </c>
      <c r="C91" t="s">
        <v>12</v>
      </c>
      <c r="D91" t="s">
        <v>262</v>
      </c>
      <c r="E91" t="s">
        <v>14</v>
      </c>
      <c r="G91" t="s">
        <v>15</v>
      </c>
      <c r="H91" s="2">
        <v>44783</v>
      </c>
      <c r="I91" t="s">
        <v>16</v>
      </c>
      <c r="J91" t="s">
        <v>17</v>
      </c>
      <c r="L91" t="s">
        <v>18</v>
      </c>
      <c r="M91" t="s">
        <v>19</v>
      </c>
    </row>
    <row r="92" spans="1:13" x14ac:dyDescent="0.3">
      <c r="A92" t="str">
        <f>HYPERLINK("https://hsdes.intel.com/resource/14013121267","14013121267")</f>
        <v>14013121267</v>
      </c>
      <c r="B92" t="s">
        <v>263</v>
      </c>
      <c r="C92" t="s">
        <v>12</v>
      </c>
      <c r="D92" t="s">
        <v>264</v>
      </c>
      <c r="E92" t="s">
        <v>14</v>
      </c>
      <c r="G92" t="s">
        <v>111</v>
      </c>
      <c r="H92" s="2">
        <v>44785</v>
      </c>
      <c r="I92" t="s">
        <v>16</v>
      </c>
      <c r="J92" t="s">
        <v>17</v>
      </c>
      <c r="L92" t="s">
        <v>18</v>
      </c>
      <c r="M92" t="s">
        <v>19</v>
      </c>
    </row>
    <row r="93" spans="1:13" x14ac:dyDescent="0.3">
      <c r="A93" t="str">
        <f>HYPERLINK("https://hsdes.intel.com/resource/14013121275","14013121275")</f>
        <v>14013121275</v>
      </c>
      <c r="B93" t="s">
        <v>265</v>
      </c>
      <c r="C93" t="s">
        <v>12</v>
      </c>
      <c r="D93" t="s">
        <v>266</v>
      </c>
      <c r="E93" t="s">
        <v>14</v>
      </c>
      <c r="G93" t="s">
        <v>15</v>
      </c>
      <c r="H93" s="2">
        <v>44783</v>
      </c>
      <c r="I93" t="s">
        <v>16</v>
      </c>
      <c r="J93" t="s">
        <v>17</v>
      </c>
      <c r="L93" t="s">
        <v>18</v>
      </c>
      <c r="M93" t="s">
        <v>19</v>
      </c>
    </row>
    <row r="94" spans="1:13" x14ac:dyDescent="0.3">
      <c r="A94" t="str">
        <f>HYPERLINK("https://hsdes.intel.com/resource/14013121432","14013121432")</f>
        <v>14013121432</v>
      </c>
      <c r="B94" t="s">
        <v>267</v>
      </c>
      <c r="C94" t="s">
        <v>12</v>
      </c>
      <c r="D94" t="s">
        <v>268</v>
      </c>
      <c r="E94" t="s">
        <v>14</v>
      </c>
      <c r="G94" t="s">
        <v>72</v>
      </c>
      <c r="H94" s="2">
        <v>44784</v>
      </c>
      <c r="I94" t="s">
        <v>16</v>
      </c>
      <c r="J94" t="s">
        <v>82</v>
      </c>
      <c r="L94" t="s">
        <v>157</v>
      </c>
      <c r="M94" t="s">
        <v>26</v>
      </c>
    </row>
    <row r="95" spans="1:13" x14ac:dyDescent="0.3">
      <c r="A95" t="str">
        <f>HYPERLINK("https://hsdes.intel.com/resource/14013156701","14013156701")</f>
        <v>14013156701</v>
      </c>
      <c r="B95" t="s">
        <v>269</v>
      </c>
      <c r="C95" t="s">
        <v>12</v>
      </c>
      <c r="D95" t="s">
        <v>270</v>
      </c>
      <c r="E95" t="s">
        <v>14</v>
      </c>
      <c r="G95" t="s">
        <v>15</v>
      </c>
      <c r="H95" s="2">
        <v>44783</v>
      </c>
      <c r="I95" t="s">
        <v>48</v>
      </c>
      <c r="J95" t="s">
        <v>271</v>
      </c>
      <c r="L95" t="s">
        <v>272</v>
      </c>
      <c r="M95" t="s">
        <v>26</v>
      </c>
    </row>
    <row r="96" spans="1:13" x14ac:dyDescent="0.3">
      <c r="A96" t="str">
        <f>HYPERLINK("https://hsdes.intel.com/resource/14013156703","14013156703")</f>
        <v>14013156703</v>
      </c>
      <c r="B96" t="s">
        <v>273</v>
      </c>
      <c r="C96" t="s">
        <v>12</v>
      </c>
      <c r="D96" t="s">
        <v>274</v>
      </c>
      <c r="E96" t="s">
        <v>14</v>
      </c>
      <c r="G96" t="s">
        <v>15</v>
      </c>
      <c r="H96" s="2">
        <v>44783</v>
      </c>
      <c r="I96" t="s">
        <v>48</v>
      </c>
      <c r="J96" t="s">
        <v>271</v>
      </c>
      <c r="L96" t="s">
        <v>272</v>
      </c>
      <c r="M96" t="s">
        <v>26</v>
      </c>
    </row>
    <row r="97" spans="1:13" x14ac:dyDescent="0.3">
      <c r="A97" t="str">
        <f>HYPERLINK("https://hsdes.intel.com/resource/14013156704","14013156704")</f>
        <v>14013156704</v>
      </c>
      <c r="B97" t="s">
        <v>275</v>
      </c>
      <c r="C97" t="s">
        <v>12</v>
      </c>
      <c r="D97" t="s">
        <v>276</v>
      </c>
      <c r="E97" t="s">
        <v>14</v>
      </c>
      <c r="G97" t="s">
        <v>15</v>
      </c>
      <c r="H97" s="2">
        <v>44789</v>
      </c>
      <c r="I97" t="s">
        <v>48</v>
      </c>
      <c r="J97" t="s">
        <v>271</v>
      </c>
      <c r="L97" t="s">
        <v>272</v>
      </c>
      <c r="M97" t="s">
        <v>26</v>
      </c>
    </row>
    <row r="98" spans="1:13" x14ac:dyDescent="0.3">
      <c r="A98" t="str">
        <f>HYPERLINK("https://hsdes.intel.com/resource/14013156715","14013156715")</f>
        <v>14013156715</v>
      </c>
      <c r="B98" t="s">
        <v>277</v>
      </c>
      <c r="C98" t="s">
        <v>12</v>
      </c>
      <c r="D98" t="s">
        <v>278</v>
      </c>
      <c r="E98" t="s">
        <v>14</v>
      </c>
      <c r="G98" t="s">
        <v>15</v>
      </c>
      <c r="H98" s="2">
        <v>44783</v>
      </c>
      <c r="I98" t="s">
        <v>48</v>
      </c>
      <c r="J98" t="s">
        <v>271</v>
      </c>
      <c r="L98" t="s">
        <v>272</v>
      </c>
      <c r="M98" t="s">
        <v>26</v>
      </c>
    </row>
    <row r="99" spans="1:13" x14ac:dyDescent="0.3">
      <c r="A99" t="str">
        <f>HYPERLINK("https://hsdes.intel.com/resource/14013156719","14013156719")</f>
        <v>14013156719</v>
      </c>
      <c r="B99" t="s">
        <v>279</v>
      </c>
      <c r="C99" t="s">
        <v>12</v>
      </c>
      <c r="D99" t="s">
        <v>280</v>
      </c>
      <c r="E99" t="s">
        <v>14</v>
      </c>
      <c r="G99" t="s">
        <v>15</v>
      </c>
      <c r="H99" s="2">
        <v>44783</v>
      </c>
      <c r="I99" t="s">
        <v>48</v>
      </c>
      <c r="J99" t="s">
        <v>271</v>
      </c>
      <c r="L99" t="s">
        <v>272</v>
      </c>
      <c r="M99" t="s">
        <v>26</v>
      </c>
    </row>
    <row r="100" spans="1:13" x14ac:dyDescent="0.3">
      <c r="A100" t="str">
        <f>HYPERLINK("https://hsdes.intel.com/resource/14013156723","14013156723")</f>
        <v>14013156723</v>
      </c>
      <c r="B100" t="s">
        <v>281</v>
      </c>
      <c r="C100" t="s">
        <v>12</v>
      </c>
      <c r="D100" t="s">
        <v>282</v>
      </c>
      <c r="E100" t="s">
        <v>14</v>
      </c>
      <c r="G100" t="s">
        <v>15</v>
      </c>
      <c r="H100" s="2">
        <v>44783</v>
      </c>
      <c r="I100" t="s">
        <v>48</v>
      </c>
      <c r="J100" t="s">
        <v>271</v>
      </c>
      <c r="L100" t="s">
        <v>272</v>
      </c>
      <c r="M100" t="s">
        <v>26</v>
      </c>
    </row>
    <row r="101" spans="1:13" x14ac:dyDescent="0.3">
      <c r="A101" t="str">
        <f>HYPERLINK("https://hsdes.intel.com/resource/14013156724","14013156724")</f>
        <v>14013156724</v>
      </c>
      <c r="B101" t="s">
        <v>283</v>
      </c>
      <c r="C101" t="s">
        <v>12</v>
      </c>
      <c r="D101" t="s">
        <v>284</v>
      </c>
      <c r="E101" t="s">
        <v>14</v>
      </c>
      <c r="G101" t="s">
        <v>15</v>
      </c>
      <c r="H101" s="2">
        <v>44789</v>
      </c>
      <c r="I101" t="s">
        <v>48</v>
      </c>
      <c r="J101" t="s">
        <v>271</v>
      </c>
      <c r="L101" t="s">
        <v>272</v>
      </c>
      <c r="M101" t="s">
        <v>26</v>
      </c>
    </row>
    <row r="102" spans="1:13" x14ac:dyDescent="0.3">
      <c r="A102" t="str">
        <f>HYPERLINK("https://hsdes.intel.com/resource/14013156725","14013156725")</f>
        <v>14013156725</v>
      </c>
      <c r="B102" t="s">
        <v>285</v>
      </c>
      <c r="C102" t="s">
        <v>12</v>
      </c>
      <c r="D102" t="s">
        <v>286</v>
      </c>
      <c r="E102" t="s">
        <v>14</v>
      </c>
      <c r="G102" t="s">
        <v>15</v>
      </c>
      <c r="H102" s="2">
        <v>44783</v>
      </c>
      <c r="I102" t="s">
        <v>48</v>
      </c>
      <c r="J102" t="s">
        <v>271</v>
      </c>
      <c r="L102" t="s">
        <v>272</v>
      </c>
      <c r="M102" t="s">
        <v>22</v>
      </c>
    </row>
    <row r="103" spans="1:13" x14ac:dyDescent="0.3">
      <c r="A103" t="str">
        <f>HYPERLINK("https://hsdes.intel.com/resource/14013156728","14013156728")</f>
        <v>14013156728</v>
      </c>
      <c r="B103" t="s">
        <v>287</v>
      </c>
      <c r="C103" t="s">
        <v>12</v>
      </c>
      <c r="D103" t="s">
        <v>288</v>
      </c>
      <c r="E103" t="s">
        <v>14</v>
      </c>
      <c r="G103" t="s">
        <v>15</v>
      </c>
      <c r="H103" s="2">
        <v>44789</v>
      </c>
      <c r="I103" t="s">
        <v>48</v>
      </c>
      <c r="J103" t="s">
        <v>271</v>
      </c>
      <c r="L103" t="s">
        <v>272</v>
      </c>
      <c r="M103" t="s">
        <v>22</v>
      </c>
    </row>
    <row r="104" spans="1:13" x14ac:dyDescent="0.3">
      <c r="A104" t="str">
        <f>HYPERLINK("https://hsdes.intel.com/resource/14013156733","14013156733")</f>
        <v>14013156733</v>
      </c>
      <c r="B104" t="s">
        <v>289</v>
      </c>
      <c r="C104" t="s">
        <v>12</v>
      </c>
      <c r="D104" t="s">
        <v>290</v>
      </c>
      <c r="E104" t="s">
        <v>14</v>
      </c>
      <c r="G104" t="s">
        <v>31</v>
      </c>
      <c r="H104" s="2">
        <v>44790</v>
      </c>
      <c r="I104" t="s">
        <v>48</v>
      </c>
      <c r="J104" t="s">
        <v>271</v>
      </c>
      <c r="L104" t="s">
        <v>272</v>
      </c>
      <c r="M104" t="s">
        <v>22</v>
      </c>
    </row>
    <row r="105" spans="1:13" x14ac:dyDescent="0.3">
      <c r="A105" t="str">
        <f>HYPERLINK("https://hsdes.intel.com/resource/14013156736","14013156736")</f>
        <v>14013156736</v>
      </c>
      <c r="B105" t="s">
        <v>291</v>
      </c>
      <c r="C105" t="s">
        <v>12</v>
      </c>
      <c r="D105" t="s">
        <v>292</v>
      </c>
      <c r="E105" t="s">
        <v>14</v>
      </c>
      <c r="G105" t="s">
        <v>63</v>
      </c>
      <c r="H105" s="2">
        <v>44789</v>
      </c>
      <c r="I105" t="s">
        <v>64</v>
      </c>
      <c r="J105" t="s">
        <v>112</v>
      </c>
      <c r="L105" t="s">
        <v>66</v>
      </c>
      <c r="M105" t="s">
        <v>22</v>
      </c>
    </row>
    <row r="106" spans="1:13" x14ac:dyDescent="0.3">
      <c r="A106" t="str">
        <f>HYPERLINK("https://hsdes.intel.com/resource/14013156770","14013156770")</f>
        <v>14013156770</v>
      </c>
      <c r="B106" t="s">
        <v>293</v>
      </c>
      <c r="C106" t="s">
        <v>12</v>
      </c>
      <c r="D106" t="s">
        <v>294</v>
      </c>
      <c r="E106" t="s">
        <v>14</v>
      </c>
      <c r="G106" t="s">
        <v>111</v>
      </c>
      <c r="H106" s="2">
        <v>44785</v>
      </c>
      <c r="I106" t="s">
        <v>64</v>
      </c>
      <c r="J106" t="s">
        <v>65</v>
      </c>
      <c r="L106" t="s">
        <v>54</v>
      </c>
      <c r="M106" t="s">
        <v>22</v>
      </c>
    </row>
    <row r="107" spans="1:13" x14ac:dyDescent="0.3">
      <c r="A107" t="str">
        <f>HYPERLINK("https://hsdes.intel.com/resource/14013156774","14013156774")</f>
        <v>14013156774</v>
      </c>
      <c r="B107" t="s">
        <v>295</v>
      </c>
      <c r="C107" t="s">
        <v>12</v>
      </c>
      <c r="D107" t="s">
        <v>296</v>
      </c>
      <c r="E107" t="s">
        <v>14</v>
      </c>
      <c r="G107" t="s">
        <v>81</v>
      </c>
      <c r="H107" s="2">
        <v>44785</v>
      </c>
      <c r="I107" t="s">
        <v>132</v>
      </c>
      <c r="J107" t="s">
        <v>115</v>
      </c>
      <c r="L107" t="s">
        <v>133</v>
      </c>
      <c r="M107" t="s">
        <v>26</v>
      </c>
    </row>
    <row r="108" spans="1:13" x14ac:dyDescent="0.3">
      <c r="A108" t="str">
        <f>HYPERLINK("https://hsdes.intel.com/resource/14013156776","14013156776")</f>
        <v>14013156776</v>
      </c>
      <c r="B108" t="s">
        <v>297</v>
      </c>
      <c r="C108" t="s">
        <v>12</v>
      </c>
      <c r="D108" t="s">
        <v>298</v>
      </c>
      <c r="E108" t="s">
        <v>14</v>
      </c>
      <c r="G108" t="s">
        <v>57</v>
      </c>
      <c r="H108" s="2">
        <v>44786</v>
      </c>
      <c r="I108" t="s">
        <v>132</v>
      </c>
      <c r="J108" t="s">
        <v>299</v>
      </c>
      <c r="L108" t="s">
        <v>133</v>
      </c>
      <c r="M108" t="s">
        <v>26</v>
      </c>
    </row>
    <row r="109" spans="1:13" x14ac:dyDescent="0.3">
      <c r="A109" t="str">
        <f>HYPERLINK("https://hsdes.intel.com/resource/14013156780","14013156780")</f>
        <v>14013156780</v>
      </c>
      <c r="B109" t="s">
        <v>300</v>
      </c>
      <c r="C109" t="s">
        <v>12</v>
      </c>
      <c r="D109" t="s">
        <v>301</v>
      </c>
      <c r="E109" t="s">
        <v>14</v>
      </c>
      <c r="F109" t="s">
        <v>46</v>
      </c>
      <c r="G109" t="s">
        <v>43</v>
      </c>
      <c r="H109" s="2">
        <v>44784</v>
      </c>
      <c r="I109" t="s">
        <v>32</v>
      </c>
      <c r="J109" t="s">
        <v>46</v>
      </c>
      <c r="L109" t="s">
        <v>177</v>
      </c>
      <c r="M109" t="s">
        <v>26</v>
      </c>
    </row>
    <row r="110" spans="1:13" x14ac:dyDescent="0.3">
      <c r="A110" t="str">
        <f>HYPERLINK("https://hsdes.intel.com/resource/14013156783","14013156783")</f>
        <v>14013156783</v>
      </c>
      <c r="B110" t="s">
        <v>302</v>
      </c>
      <c r="C110" t="s">
        <v>12</v>
      </c>
      <c r="D110" t="s">
        <v>303</v>
      </c>
      <c r="E110" t="s">
        <v>14</v>
      </c>
      <c r="F110" t="s">
        <v>46</v>
      </c>
      <c r="G110" t="s">
        <v>43</v>
      </c>
      <c r="H110" s="2">
        <v>44784</v>
      </c>
      <c r="I110" t="s">
        <v>32</v>
      </c>
      <c r="J110" t="s">
        <v>46</v>
      </c>
      <c r="L110" t="s">
        <v>177</v>
      </c>
      <c r="M110" t="s">
        <v>26</v>
      </c>
    </row>
    <row r="111" spans="1:13" x14ac:dyDescent="0.3">
      <c r="A111" t="str">
        <f>HYPERLINK("https://hsdes.intel.com/resource/14013156787","14013156787")</f>
        <v>14013156787</v>
      </c>
      <c r="B111" t="s">
        <v>304</v>
      </c>
      <c r="C111" t="s">
        <v>12</v>
      </c>
      <c r="D111" t="s">
        <v>305</v>
      </c>
      <c r="E111" t="s">
        <v>14</v>
      </c>
      <c r="G111" t="s">
        <v>81</v>
      </c>
      <c r="H111" s="2">
        <v>44791</v>
      </c>
      <c r="I111" t="s">
        <v>16</v>
      </c>
      <c r="J111" t="s">
        <v>39</v>
      </c>
      <c r="L111" t="s">
        <v>40</v>
      </c>
      <c r="M111" t="s">
        <v>22</v>
      </c>
    </row>
    <row r="112" spans="1:13" x14ac:dyDescent="0.3">
      <c r="A112" t="str">
        <f>HYPERLINK("https://hsdes.intel.com/resource/14013156788","14013156788")</f>
        <v>14013156788</v>
      </c>
      <c r="B112" t="s">
        <v>306</v>
      </c>
      <c r="C112" t="s">
        <v>12</v>
      </c>
      <c r="D112" t="s">
        <v>307</v>
      </c>
      <c r="E112" t="s">
        <v>14</v>
      </c>
      <c r="G112" t="s">
        <v>111</v>
      </c>
      <c r="H112" s="2">
        <v>44802</v>
      </c>
      <c r="I112" t="s">
        <v>132</v>
      </c>
      <c r="J112" t="s">
        <v>115</v>
      </c>
      <c r="L112" t="s">
        <v>133</v>
      </c>
      <c r="M112" t="s">
        <v>22</v>
      </c>
    </row>
    <row r="113" spans="1:13" x14ac:dyDescent="0.3">
      <c r="A113" t="str">
        <f>HYPERLINK("https://hsdes.intel.com/resource/14013156791","14013156791")</f>
        <v>14013156791</v>
      </c>
      <c r="B113" t="s">
        <v>308</v>
      </c>
      <c r="C113" t="s">
        <v>12</v>
      </c>
      <c r="D113" t="s">
        <v>309</v>
      </c>
      <c r="E113" t="s">
        <v>14</v>
      </c>
      <c r="G113" t="s">
        <v>81</v>
      </c>
      <c r="H113" s="2">
        <v>44791</v>
      </c>
      <c r="I113" t="s">
        <v>16</v>
      </c>
      <c r="J113" t="s">
        <v>39</v>
      </c>
      <c r="L113" t="s">
        <v>40</v>
      </c>
      <c r="M113" t="s">
        <v>22</v>
      </c>
    </row>
    <row r="114" spans="1:13" x14ac:dyDescent="0.3">
      <c r="A114" t="str">
        <f>HYPERLINK("https://hsdes.intel.com/resource/14013156792","14013156792")</f>
        <v>14013156792</v>
      </c>
      <c r="B114" t="s">
        <v>310</v>
      </c>
      <c r="C114" t="s">
        <v>12</v>
      </c>
      <c r="D114" t="s">
        <v>311</v>
      </c>
      <c r="E114" t="s">
        <v>14</v>
      </c>
      <c r="G114" t="s">
        <v>57</v>
      </c>
      <c r="H114" s="2">
        <v>44786</v>
      </c>
      <c r="I114" t="s">
        <v>16</v>
      </c>
      <c r="J114" t="s">
        <v>39</v>
      </c>
      <c r="L114" t="s">
        <v>40</v>
      </c>
      <c r="M114" t="s">
        <v>22</v>
      </c>
    </row>
    <row r="115" spans="1:13" x14ac:dyDescent="0.3">
      <c r="A115" t="str">
        <f>HYPERLINK("https://hsdes.intel.com/resource/14013156795","14013156795")</f>
        <v>14013156795</v>
      </c>
      <c r="B115" t="s">
        <v>312</v>
      </c>
      <c r="C115" t="s">
        <v>12</v>
      </c>
      <c r="D115" t="s">
        <v>313</v>
      </c>
      <c r="E115" t="s">
        <v>14</v>
      </c>
      <c r="G115" t="s">
        <v>81</v>
      </c>
      <c r="H115" s="2">
        <v>44791</v>
      </c>
      <c r="I115" t="s">
        <v>16</v>
      </c>
      <c r="J115" t="s">
        <v>39</v>
      </c>
      <c r="L115" t="s">
        <v>40</v>
      </c>
      <c r="M115" t="s">
        <v>22</v>
      </c>
    </row>
    <row r="116" spans="1:13" x14ac:dyDescent="0.3">
      <c r="A116" t="str">
        <f>HYPERLINK("https://hsdes.intel.com/resource/14013156796","14013156796")</f>
        <v>14013156796</v>
      </c>
      <c r="B116" t="s">
        <v>314</v>
      </c>
      <c r="C116" t="s">
        <v>12</v>
      </c>
      <c r="D116" t="s">
        <v>315</v>
      </c>
      <c r="E116" t="s">
        <v>14</v>
      </c>
      <c r="G116" t="s">
        <v>43</v>
      </c>
      <c r="H116" s="2">
        <v>44783</v>
      </c>
      <c r="I116" t="s">
        <v>38</v>
      </c>
      <c r="J116" t="s">
        <v>77</v>
      </c>
      <c r="L116" t="s">
        <v>78</v>
      </c>
      <c r="M116" t="s">
        <v>26</v>
      </c>
    </row>
    <row r="117" spans="1:13" x14ac:dyDescent="0.3">
      <c r="A117" t="str">
        <f>HYPERLINK("https://hsdes.intel.com/resource/14013156798","14013156798")</f>
        <v>14013156798</v>
      </c>
      <c r="B117" t="s">
        <v>316</v>
      </c>
      <c r="C117" t="s">
        <v>12</v>
      </c>
      <c r="D117" t="s">
        <v>317</v>
      </c>
      <c r="E117" t="s">
        <v>14</v>
      </c>
      <c r="G117" t="s">
        <v>81</v>
      </c>
      <c r="H117" s="2">
        <v>44791</v>
      </c>
      <c r="I117" t="s">
        <v>16</v>
      </c>
      <c r="J117" t="s">
        <v>39</v>
      </c>
      <c r="L117" t="s">
        <v>40</v>
      </c>
      <c r="M117" t="s">
        <v>22</v>
      </c>
    </row>
    <row r="118" spans="1:13" x14ac:dyDescent="0.3">
      <c r="A118" t="str">
        <f>HYPERLINK("https://hsdes.intel.com/resource/14013156799","14013156799")</f>
        <v>14013156799</v>
      </c>
      <c r="B118" t="s">
        <v>318</v>
      </c>
      <c r="C118" t="s">
        <v>12</v>
      </c>
      <c r="D118" t="s">
        <v>319</v>
      </c>
      <c r="E118" t="s">
        <v>14</v>
      </c>
      <c r="G118" t="s">
        <v>72</v>
      </c>
      <c r="H118" s="2">
        <v>44783</v>
      </c>
      <c r="I118" t="s">
        <v>38</v>
      </c>
      <c r="J118" t="s">
        <v>77</v>
      </c>
      <c r="L118" t="s">
        <v>78</v>
      </c>
      <c r="M118" t="s">
        <v>26</v>
      </c>
    </row>
    <row r="119" spans="1:13" x14ac:dyDescent="0.3">
      <c r="A119" t="str">
        <f>HYPERLINK("https://hsdes.intel.com/resource/14013156800","14013156800")</f>
        <v>14013156800</v>
      </c>
      <c r="B119" t="s">
        <v>320</v>
      </c>
      <c r="C119" t="s">
        <v>12</v>
      </c>
      <c r="D119" t="s">
        <v>321</v>
      </c>
      <c r="E119" t="s">
        <v>14</v>
      </c>
      <c r="G119" t="s">
        <v>81</v>
      </c>
      <c r="H119" s="2">
        <v>44791</v>
      </c>
      <c r="I119" t="s">
        <v>16</v>
      </c>
      <c r="J119" t="s">
        <v>39</v>
      </c>
      <c r="L119" t="s">
        <v>40</v>
      </c>
      <c r="M119" t="s">
        <v>26</v>
      </c>
    </row>
    <row r="120" spans="1:13" x14ac:dyDescent="0.3">
      <c r="A120" t="str">
        <f>HYPERLINK("https://hsdes.intel.com/resource/14013156801","14013156801")</f>
        <v>14013156801</v>
      </c>
      <c r="B120" t="s">
        <v>322</v>
      </c>
      <c r="C120" t="s">
        <v>12</v>
      </c>
      <c r="D120" t="s">
        <v>323</v>
      </c>
      <c r="E120" t="s">
        <v>14</v>
      </c>
      <c r="G120" t="s">
        <v>57</v>
      </c>
      <c r="H120" s="2">
        <v>44786</v>
      </c>
      <c r="I120" t="s">
        <v>16</v>
      </c>
      <c r="J120" t="s">
        <v>324</v>
      </c>
      <c r="L120" t="s">
        <v>40</v>
      </c>
      <c r="M120" t="s">
        <v>26</v>
      </c>
    </row>
    <row r="121" spans="1:13" x14ac:dyDescent="0.3">
      <c r="A121" t="str">
        <f>HYPERLINK("https://hsdes.intel.com/resource/14013156802","14013156802")</f>
        <v>14013156802</v>
      </c>
      <c r="B121" t="s">
        <v>325</v>
      </c>
      <c r="C121" t="s">
        <v>12</v>
      </c>
      <c r="D121" t="s">
        <v>326</v>
      </c>
      <c r="E121" t="s">
        <v>14</v>
      </c>
      <c r="G121" t="s">
        <v>81</v>
      </c>
      <c r="H121" s="2">
        <v>44791</v>
      </c>
      <c r="I121" t="s">
        <v>16</v>
      </c>
      <c r="J121" t="s">
        <v>39</v>
      </c>
      <c r="L121" t="s">
        <v>40</v>
      </c>
      <c r="M121" t="s">
        <v>22</v>
      </c>
    </row>
    <row r="122" spans="1:13" x14ac:dyDescent="0.3">
      <c r="A122" t="str">
        <f>HYPERLINK("https://hsdes.intel.com/resource/14013156804","14013156804")</f>
        <v>14013156804</v>
      </c>
      <c r="B122" t="s">
        <v>327</v>
      </c>
      <c r="C122" t="s">
        <v>12</v>
      </c>
      <c r="D122" t="s">
        <v>328</v>
      </c>
      <c r="E122" t="s">
        <v>14</v>
      </c>
      <c r="G122" t="s">
        <v>72</v>
      </c>
      <c r="H122" s="2">
        <v>44783</v>
      </c>
      <c r="I122" t="s">
        <v>38</v>
      </c>
      <c r="J122" t="s">
        <v>77</v>
      </c>
      <c r="L122" t="s">
        <v>78</v>
      </c>
      <c r="M122" t="s">
        <v>26</v>
      </c>
    </row>
    <row r="123" spans="1:13" x14ac:dyDescent="0.3">
      <c r="A123" t="str">
        <f>HYPERLINK("https://hsdes.intel.com/resource/14013156805","14013156805")</f>
        <v>14013156805</v>
      </c>
      <c r="B123" t="s">
        <v>329</v>
      </c>
      <c r="C123" t="s">
        <v>12</v>
      </c>
      <c r="D123" t="s">
        <v>330</v>
      </c>
      <c r="E123" t="s">
        <v>14</v>
      </c>
      <c r="G123" t="s">
        <v>57</v>
      </c>
      <c r="H123" s="2">
        <v>44786</v>
      </c>
      <c r="I123" t="s">
        <v>16</v>
      </c>
      <c r="J123" t="s">
        <v>39</v>
      </c>
      <c r="L123" t="s">
        <v>40</v>
      </c>
      <c r="M123" t="s">
        <v>19</v>
      </c>
    </row>
    <row r="124" spans="1:13" x14ac:dyDescent="0.3">
      <c r="A124" t="str">
        <f>HYPERLINK("https://hsdes.intel.com/resource/14013156807","14013156807")</f>
        <v>14013156807</v>
      </c>
      <c r="B124" t="s">
        <v>331</v>
      </c>
      <c r="C124" t="s">
        <v>12</v>
      </c>
      <c r="D124" t="s">
        <v>332</v>
      </c>
      <c r="E124" t="s">
        <v>14</v>
      </c>
      <c r="G124" t="s">
        <v>72</v>
      </c>
      <c r="H124" s="2">
        <v>44783</v>
      </c>
      <c r="I124" t="s">
        <v>38</v>
      </c>
      <c r="J124" t="s">
        <v>77</v>
      </c>
      <c r="L124" t="s">
        <v>78</v>
      </c>
      <c r="M124" t="s">
        <v>26</v>
      </c>
    </row>
    <row r="125" spans="1:13" x14ac:dyDescent="0.3">
      <c r="A125" t="str">
        <f>HYPERLINK("https://hsdes.intel.com/resource/14013156809","14013156809")</f>
        <v>14013156809</v>
      </c>
      <c r="B125" t="s">
        <v>333</v>
      </c>
      <c r="C125" t="s">
        <v>12</v>
      </c>
      <c r="D125" t="s">
        <v>334</v>
      </c>
      <c r="E125" t="s">
        <v>14</v>
      </c>
      <c r="G125" t="s">
        <v>72</v>
      </c>
      <c r="H125" s="2">
        <v>44785</v>
      </c>
      <c r="I125" t="s">
        <v>38</v>
      </c>
      <c r="J125" t="s">
        <v>77</v>
      </c>
      <c r="L125" t="s">
        <v>78</v>
      </c>
      <c r="M125" t="s">
        <v>26</v>
      </c>
    </row>
    <row r="126" spans="1:13" x14ac:dyDescent="0.3">
      <c r="A126" t="str">
        <f>HYPERLINK("https://hsdes.intel.com/resource/14013156833","14013156833")</f>
        <v>14013156833</v>
      </c>
      <c r="B126" t="s">
        <v>335</v>
      </c>
      <c r="C126" t="s">
        <v>12</v>
      </c>
      <c r="D126" t="s">
        <v>336</v>
      </c>
      <c r="E126" t="s">
        <v>14</v>
      </c>
      <c r="G126" t="s">
        <v>111</v>
      </c>
      <c r="H126" s="2">
        <v>44783</v>
      </c>
      <c r="I126" t="s">
        <v>38</v>
      </c>
      <c r="J126" t="s">
        <v>77</v>
      </c>
      <c r="L126" t="s">
        <v>78</v>
      </c>
      <c r="M126" t="s">
        <v>26</v>
      </c>
    </row>
    <row r="127" spans="1:13" x14ac:dyDescent="0.3">
      <c r="A127" t="str">
        <f>HYPERLINK("https://hsdes.intel.com/resource/14013156839","14013156839")</f>
        <v>14013156839</v>
      </c>
      <c r="B127" t="s">
        <v>337</v>
      </c>
      <c r="C127" t="s">
        <v>12</v>
      </c>
      <c r="D127" t="s">
        <v>338</v>
      </c>
      <c r="E127" t="s">
        <v>14</v>
      </c>
      <c r="G127" t="s">
        <v>72</v>
      </c>
      <c r="H127" s="2">
        <v>44783</v>
      </c>
      <c r="I127" t="s">
        <v>38</v>
      </c>
      <c r="J127" t="s">
        <v>77</v>
      </c>
      <c r="L127" t="s">
        <v>78</v>
      </c>
      <c r="M127" t="s">
        <v>26</v>
      </c>
    </row>
    <row r="128" spans="1:13" x14ac:dyDescent="0.3">
      <c r="A128" t="str">
        <f>HYPERLINK("https://hsdes.intel.com/resource/14013156842","14013156842")</f>
        <v>14013156842</v>
      </c>
      <c r="B128" t="s">
        <v>339</v>
      </c>
      <c r="C128" t="s">
        <v>12</v>
      </c>
      <c r="D128" t="s">
        <v>340</v>
      </c>
      <c r="E128" t="s">
        <v>14</v>
      </c>
      <c r="G128" t="s">
        <v>43</v>
      </c>
      <c r="H128" s="2">
        <v>44783</v>
      </c>
      <c r="I128" t="s">
        <v>38</v>
      </c>
      <c r="J128" t="s">
        <v>77</v>
      </c>
      <c r="L128" t="s">
        <v>78</v>
      </c>
      <c r="M128" t="s">
        <v>26</v>
      </c>
    </row>
    <row r="129" spans="1:13" x14ac:dyDescent="0.3">
      <c r="A129" t="str">
        <f>HYPERLINK("https://hsdes.intel.com/resource/14013156844","14013156844")</f>
        <v>14013156844</v>
      </c>
      <c r="B129" t="s">
        <v>341</v>
      </c>
      <c r="C129" t="s">
        <v>12</v>
      </c>
      <c r="D129" t="s">
        <v>342</v>
      </c>
      <c r="E129" t="s">
        <v>14</v>
      </c>
      <c r="G129" t="s">
        <v>31</v>
      </c>
      <c r="H129" s="2">
        <v>44798</v>
      </c>
      <c r="I129" t="s">
        <v>32</v>
      </c>
      <c r="J129" t="s">
        <v>33</v>
      </c>
      <c r="L129" t="s">
        <v>34</v>
      </c>
      <c r="M129" t="s">
        <v>26</v>
      </c>
    </row>
    <row r="130" spans="1:13" x14ac:dyDescent="0.3">
      <c r="A130" t="str">
        <f>HYPERLINK("https://hsdes.intel.com/resource/14013156845","14013156845")</f>
        <v>14013156845</v>
      </c>
      <c r="B130" t="s">
        <v>343</v>
      </c>
      <c r="C130" t="s">
        <v>12</v>
      </c>
      <c r="D130" t="s">
        <v>344</v>
      </c>
      <c r="E130" t="s">
        <v>14</v>
      </c>
      <c r="G130" t="s">
        <v>31</v>
      </c>
      <c r="H130" s="2">
        <v>44798</v>
      </c>
      <c r="I130" t="s">
        <v>32</v>
      </c>
      <c r="J130" t="s">
        <v>33</v>
      </c>
      <c r="L130" t="s">
        <v>34</v>
      </c>
      <c r="M130" t="s">
        <v>26</v>
      </c>
    </row>
    <row r="131" spans="1:13" x14ac:dyDescent="0.3">
      <c r="A131" t="str">
        <f>HYPERLINK("https://hsdes.intel.com/resource/14013156846","14013156846")</f>
        <v>14013156846</v>
      </c>
      <c r="B131" t="s">
        <v>345</v>
      </c>
      <c r="C131" t="s">
        <v>12</v>
      </c>
      <c r="D131" t="s">
        <v>346</v>
      </c>
      <c r="E131" t="s">
        <v>14</v>
      </c>
      <c r="F131" t="s">
        <v>347</v>
      </c>
      <c r="G131" t="s">
        <v>81</v>
      </c>
      <c r="H131" s="2">
        <v>44791</v>
      </c>
      <c r="I131" t="s">
        <v>38</v>
      </c>
      <c r="J131" t="s">
        <v>77</v>
      </c>
      <c r="L131" t="s">
        <v>78</v>
      </c>
      <c r="M131" t="s">
        <v>19</v>
      </c>
    </row>
    <row r="132" spans="1:13" x14ac:dyDescent="0.3">
      <c r="A132" t="str">
        <f>HYPERLINK("https://hsdes.intel.com/resource/14013156847","14013156847")</f>
        <v>14013156847</v>
      </c>
      <c r="B132" t="s">
        <v>348</v>
      </c>
      <c r="C132" t="s">
        <v>12</v>
      </c>
      <c r="D132" t="s">
        <v>349</v>
      </c>
      <c r="E132" t="s">
        <v>14</v>
      </c>
      <c r="F132" t="s">
        <v>350</v>
      </c>
      <c r="G132" t="s">
        <v>43</v>
      </c>
      <c r="H132" s="2">
        <v>44783</v>
      </c>
      <c r="I132" t="s">
        <v>38</v>
      </c>
      <c r="J132" t="s">
        <v>77</v>
      </c>
      <c r="L132" t="s">
        <v>78</v>
      </c>
      <c r="M132" t="s">
        <v>26</v>
      </c>
    </row>
    <row r="133" spans="1:13" x14ac:dyDescent="0.3">
      <c r="A133" t="str">
        <f>HYPERLINK("https://hsdes.intel.com/resource/14013156848","14013156848")</f>
        <v>14013156848</v>
      </c>
      <c r="B133" t="s">
        <v>351</v>
      </c>
      <c r="C133" t="s">
        <v>12</v>
      </c>
      <c r="D133" t="s">
        <v>352</v>
      </c>
      <c r="E133" t="s">
        <v>14</v>
      </c>
      <c r="G133" t="s">
        <v>72</v>
      </c>
      <c r="H133" s="2">
        <v>44784</v>
      </c>
      <c r="I133" t="s">
        <v>38</v>
      </c>
      <c r="J133" t="s">
        <v>77</v>
      </c>
      <c r="L133" t="s">
        <v>78</v>
      </c>
      <c r="M133" t="s">
        <v>26</v>
      </c>
    </row>
    <row r="134" spans="1:13" x14ac:dyDescent="0.3">
      <c r="A134" t="str">
        <f>HYPERLINK("https://hsdes.intel.com/resource/14013156854","14013156854")</f>
        <v>14013156854</v>
      </c>
      <c r="B134" t="s">
        <v>353</v>
      </c>
      <c r="C134" t="s">
        <v>12</v>
      </c>
      <c r="D134" t="s">
        <v>354</v>
      </c>
      <c r="E134" t="s">
        <v>14</v>
      </c>
      <c r="H134" s="2">
        <v>44783</v>
      </c>
      <c r="I134" t="s">
        <v>38</v>
      </c>
      <c r="J134" t="s">
        <v>77</v>
      </c>
      <c r="L134" t="s">
        <v>78</v>
      </c>
      <c r="M134" t="s">
        <v>26</v>
      </c>
    </row>
    <row r="135" spans="1:13" x14ac:dyDescent="0.3">
      <c r="A135" t="str">
        <f>HYPERLINK("https://hsdes.intel.com/resource/14013156856","14013156856")</f>
        <v>14013156856</v>
      </c>
      <c r="B135" t="s">
        <v>355</v>
      </c>
      <c r="C135" t="s">
        <v>12</v>
      </c>
      <c r="D135" t="s">
        <v>356</v>
      </c>
      <c r="E135" t="s">
        <v>14</v>
      </c>
      <c r="G135" t="s">
        <v>72</v>
      </c>
      <c r="H135" s="2">
        <v>44783</v>
      </c>
      <c r="I135" t="s">
        <v>38</v>
      </c>
      <c r="J135" t="s">
        <v>77</v>
      </c>
      <c r="L135" t="s">
        <v>78</v>
      </c>
      <c r="M135" t="s">
        <v>26</v>
      </c>
    </row>
    <row r="136" spans="1:13" x14ac:dyDescent="0.3">
      <c r="A136" t="str">
        <f>HYPERLINK("https://hsdes.intel.com/resource/14013156858","14013156858")</f>
        <v>14013156858</v>
      </c>
      <c r="B136" t="s">
        <v>357</v>
      </c>
      <c r="C136" t="s">
        <v>12</v>
      </c>
      <c r="D136" t="s">
        <v>358</v>
      </c>
      <c r="E136" t="s">
        <v>14</v>
      </c>
      <c r="G136" t="s">
        <v>31</v>
      </c>
      <c r="H136" s="2">
        <v>44796</v>
      </c>
      <c r="I136" t="s">
        <v>32</v>
      </c>
      <c r="J136" t="s">
        <v>33</v>
      </c>
      <c r="L136" t="s">
        <v>177</v>
      </c>
      <c r="M136" t="s">
        <v>19</v>
      </c>
    </row>
    <row r="137" spans="1:13" x14ac:dyDescent="0.3">
      <c r="A137" t="str">
        <f>HYPERLINK("https://hsdes.intel.com/resource/14013156860","14013156860")</f>
        <v>14013156860</v>
      </c>
      <c r="B137" t="s">
        <v>359</v>
      </c>
      <c r="C137" t="s">
        <v>12</v>
      </c>
      <c r="D137" t="s">
        <v>360</v>
      </c>
      <c r="E137" t="s">
        <v>97</v>
      </c>
      <c r="F137" t="s">
        <v>361</v>
      </c>
      <c r="G137" t="s">
        <v>72</v>
      </c>
      <c r="H137" s="2">
        <v>44801</v>
      </c>
      <c r="I137" t="s">
        <v>38</v>
      </c>
      <c r="J137" t="s">
        <v>77</v>
      </c>
      <c r="L137" t="s">
        <v>78</v>
      </c>
      <c r="M137" t="s">
        <v>26</v>
      </c>
    </row>
    <row r="138" spans="1:13" x14ac:dyDescent="0.3">
      <c r="A138" t="str">
        <f>HYPERLINK("https://hsdes.intel.com/resource/14013156862","14013156862")</f>
        <v>14013156862</v>
      </c>
      <c r="B138" t="s">
        <v>362</v>
      </c>
      <c r="C138" t="s">
        <v>12</v>
      </c>
      <c r="D138" t="s">
        <v>363</v>
      </c>
      <c r="E138" t="s">
        <v>14</v>
      </c>
      <c r="G138" t="s">
        <v>72</v>
      </c>
      <c r="H138" s="2">
        <v>44785</v>
      </c>
      <c r="I138" t="s">
        <v>38</v>
      </c>
      <c r="J138" t="s">
        <v>77</v>
      </c>
      <c r="L138" t="s">
        <v>78</v>
      </c>
      <c r="M138" t="s">
        <v>26</v>
      </c>
    </row>
    <row r="139" spans="1:13" x14ac:dyDescent="0.3">
      <c r="A139" t="str">
        <f>HYPERLINK("https://hsdes.intel.com/resource/14013156866","14013156866")</f>
        <v>14013156866</v>
      </c>
      <c r="B139" t="s">
        <v>364</v>
      </c>
      <c r="C139" t="s">
        <v>12</v>
      </c>
      <c r="D139" t="s">
        <v>365</v>
      </c>
      <c r="E139" t="s">
        <v>14</v>
      </c>
      <c r="G139" t="s">
        <v>72</v>
      </c>
      <c r="H139" s="2">
        <v>44785</v>
      </c>
      <c r="I139" t="s">
        <v>38</v>
      </c>
      <c r="J139" t="s">
        <v>77</v>
      </c>
      <c r="L139" t="s">
        <v>78</v>
      </c>
      <c r="M139" t="s">
        <v>26</v>
      </c>
    </row>
    <row r="140" spans="1:13" x14ac:dyDescent="0.3">
      <c r="A140" t="str">
        <f>HYPERLINK("https://hsdes.intel.com/resource/14013156868","14013156868")</f>
        <v>14013156868</v>
      </c>
      <c r="B140" t="s">
        <v>366</v>
      </c>
      <c r="C140" t="s">
        <v>12</v>
      </c>
      <c r="D140" t="s">
        <v>367</v>
      </c>
      <c r="E140" t="s">
        <v>14</v>
      </c>
      <c r="G140" t="s">
        <v>72</v>
      </c>
      <c r="H140" s="2">
        <v>44783</v>
      </c>
      <c r="I140" t="s">
        <v>38</v>
      </c>
      <c r="J140" t="s">
        <v>77</v>
      </c>
      <c r="L140" t="s">
        <v>78</v>
      </c>
      <c r="M140" t="s">
        <v>26</v>
      </c>
    </row>
    <row r="141" spans="1:13" x14ac:dyDescent="0.3">
      <c r="A141" t="str">
        <f>HYPERLINK("https://hsdes.intel.com/resource/14013156870","14013156870")</f>
        <v>14013156870</v>
      </c>
      <c r="B141" t="s">
        <v>368</v>
      </c>
      <c r="C141" t="s">
        <v>12</v>
      </c>
      <c r="D141" t="s">
        <v>369</v>
      </c>
      <c r="E141" t="s">
        <v>14</v>
      </c>
      <c r="G141" t="s">
        <v>43</v>
      </c>
      <c r="H141" s="2">
        <v>44783</v>
      </c>
      <c r="I141" t="s">
        <v>38</v>
      </c>
      <c r="J141" t="s">
        <v>77</v>
      </c>
      <c r="L141" t="s">
        <v>78</v>
      </c>
      <c r="M141" t="s">
        <v>26</v>
      </c>
    </row>
    <row r="142" spans="1:13" x14ac:dyDescent="0.3">
      <c r="A142" t="str">
        <f>HYPERLINK("https://hsdes.intel.com/resource/14013156872","14013156872")</f>
        <v>14013156872</v>
      </c>
      <c r="B142" t="s">
        <v>370</v>
      </c>
      <c r="C142" t="s">
        <v>12</v>
      </c>
      <c r="D142" t="s">
        <v>371</v>
      </c>
      <c r="E142" t="s">
        <v>14</v>
      </c>
      <c r="G142" t="s">
        <v>72</v>
      </c>
      <c r="H142" s="2">
        <v>44783</v>
      </c>
      <c r="I142" t="s">
        <v>38</v>
      </c>
      <c r="J142" t="s">
        <v>77</v>
      </c>
      <c r="L142" t="s">
        <v>78</v>
      </c>
      <c r="M142" t="s">
        <v>26</v>
      </c>
    </row>
    <row r="143" spans="1:13" x14ac:dyDescent="0.3">
      <c r="A143" t="str">
        <f>HYPERLINK("https://hsdes.intel.com/resource/14013156874","14013156874")</f>
        <v>14013156874</v>
      </c>
      <c r="B143" t="s">
        <v>372</v>
      </c>
      <c r="C143" t="s">
        <v>12</v>
      </c>
      <c r="D143" t="s">
        <v>373</v>
      </c>
      <c r="E143" t="s">
        <v>14</v>
      </c>
      <c r="G143" t="s">
        <v>43</v>
      </c>
      <c r="H143" s="2">
        <v>44783</v>
      </c>
      <c r="I143" t="s">
        <v>38</v>
      </c>
      <c r="J143" t="s">
        <v>77</v>
      </c>
      <c r="L143" t="s">
        <v>78</v>
      </c>
      <c r="M143" t="s">
        <v>26</v>
      </c>
    </row>
    <row r="144" spans="1:13" x14ac:dyDescent="0.3">
      <c r="A144" t="str">
        <f>HYPERLINK("https://hsdes.intel.com/resource/14013156877","14013156877")</f>
        <v>14013156877</v>
      </c>
      <c r="B144" t="s">
        <v>374</v>
      </c>
      <c r="C144" t="s">
        <v>12</v>
      </c>
      <c r="D144" t="s">
        <v>375</v>
      </c>
      <c r="E144" t="s">
        <v>14</v>
      </c>
      <c r="G144" t="s">
        <v>43</v>
      </c>
      <c r="H144" s="2">
        <v>44783</v>
      </c>
      <c r="I144" t="s">
        <v>38</v>
      </c>
      <c r="J144" t="s">
        <v>77</v>
      </c>
      <c r="L144" t="s">
        <v>78</v>
      </c>
      <c r="M144" t="s">
        <v>26</v>
      </c>
    </row>
    <row r="145" spans="1:13" x14ac:dyDescent="0.3">
      <c r="A145" t="str">
        <f>HYPERLINK("https://hsdes.intel.com/resource/14013156879","14013156879")</f>
        <v>14013156879</v>
      </c>
      <c r="B145" t="s">
        <v>376</v>
      </c>
      <c r="C145" t="s">
        <v>12</v>
      </c>
      <c r="D145" t="s">
        <v>377</v>
      </c>
      <c r="E145" t="s">
        <v>14</v>
      </c>
      <c r="G145" t="s">
        <v>43</v>
      </c>
      <c r="H145" s="2">
        <v>44783</v>
      </c>
      <c r="I145" t="s">
        <v>38</v>
      </c>
      <c r="J145" t="s">
        <v>77</v>
      </c>
      <c r="L145" t="s">
        <v>78</v>
      </c>
      <c r="M145" t="s">
        <v>26</v>
      </c>
    </row>
    <row r="146" spans="1:13" x14ac:dyDescent="0.3">
      <c r="A146" t="str">
        <f>HYPERLINK("https://hsdes.intel.com/resource/14013156880","14013156880")</f>
        <v>14013156880</v>
      </c>
      <c r="B146" t="s">
        <v>378</v>
      </c>
      <c r="C146" t="s">
        <v>12</v>
      </c>
      <c r="D146" t="s">
        <v>379</v>
      </c>
      <c r="E146" t="s">
        <v>14</v>
      </c>
      <c r="G146" t="s">
        <v>43</v>
      </c>
      <c r="H146" s="2">
        <v>44783</v>
      </c>
      <c r="I146" t="s">
        <v>38</v>
      </c>
      <c r="J146" t="s">
        <v>39</v>
      </c>
      <c r="L146" t="s">
        <v>40</v>
      </c>
      <c r="M146" t="s">
        <v>26</v>
      </c>
    </row>
    <row r="147" spans="1:13" x14ac:dyDescent="0.3">
      <c r="A147" t="str">
        <f>HYPERLINK("https://hsdes.intel.com/resource/14013156883","14013156883")</f>
        <v>14013156883</v>
      </c>
      <c r="B147" t="s">
        <v>380</v>
      </c>
      <c r="C147" t="s">
        <v>12</v>
      </c>
      <c r="D147" t="s">
        <v>381</v>
      </c>
      <c r="E147" t="s">
        <v>14</v>
      </c>
      <c r="G147" t="s">
        <v>57</v>
      </c>
      <c r="H147" s="2">
        <v>44786</v>
      </c>
      <c r="I147" t="s">
        <v>16</v>
      </c>
      <c r="J147" t="s">
        <v>39</v>
      </c>
      <c r="L147" t="s">
        <v>40</v>
      </c>
      <c r="M147" t="s">
        <v>19</v>
      </c>
    </row>
    <row r="148" spans="1:13" x14ac:dyDescent="0.3">
      <c r="A148" t="str">
        <f>HYPERLINK("https://hsdes.intel.com/resource/14013156893","14013156893")</f>
        <v>14013156893</v>
      </c>
      <c r="B148" t="s">
        <v>382</v>
      </c>
      <c r="C148" t="s">
        <v>12</v>
      </c>
      <c r="D148" t="s">
        <v>383</v>
      </c>
      <c r="E148" t="s">
        <v>14</v>
      </c>
      <c r="G148" t="s">
        <v>43</v>
      </c>
      <c r="H148" s="2">
        <v>44783</v>
      </c>
      <c r="I148" t="s">
        <v>38</v>
      </c>
      <c r="J148" t="s">
        <v>39</v>
      </c>
      <c r="L148" t="s">
        <v>40</v>
      </c>
      <c r="M148" t="s">
        <v>26</v>
      </c>
    </row>
    <row r="149" spans="1:13" x14ac:dyDescent="0.3">
      <c r="A149" t="str">
        <f>HYPERLINK("https://hsdes.intel.com/resource/14013156896","14013156896")</f>
        <v>14013156896</v>
      </c>
      <c r="B149" t="s">
        <v>384</v>
      </c>
      <c r="C149" t="s">
        <v>12</v>
      </c>
      <c r="D149" t="s">
        <v>385</v>
      </c>
      <c r="E149" t="s">
        <v>14</v>
      </c>
      <c r="G149" t="s">
        <v>63</v>
      </c>
      <c r="H149" s="2">
        <v>44783</v>
      </c>
      <c r="I149" t="s">
        <v>38</v>
      </c>
      <c r="J149" t="s">
        <v>77</v>
      </c>
      <c r="L149" t="s">
        <v>78</v>
      </c>
      <c r="M149" t="s">
        <v>26</v>
      </c>
    </row>
    <row r="150" spans="1:13" x14ac:dyDescent="0.3">
      <c r="A150" t="str">
        <f>HYPERLINK("https://hsdes.intel.com/resource/14013156898","14013156898")</f>
        <v>14013156898</v>
      </c>
      <c r="B150" t="s">
        <v>386</v>
      </c>
      <c r="C150" t="s">
        <v>12</v>
      </c>
      <c r="D150" t="s">
        <v>387</v>
      </c>
      <c r="E150" t="s">
        <v>14</v>
      </c>
      <c r="G150" t="s">
        <v>63</v>
      </c>
      <c r="H150" s="2">
        <v>44783</v>
      </c>
      <c r="I150" t="s">
        <v>38</v>
      </c>
      <c r="J150" t="s">
        <v>77</v>
      </c>
      <c r="L150" t="s">
        <v>78</v>
      </c>
      <c r="M150" t="s">
        <v>26</v>
      </c>
    </row>
    <row r="151" spans="1:13" x14ac:dyDescent="0.3">
      <c r="A151" t="str">
        <f>HYPERLINK("https://hsdes.intel.com/resource/14013156900","14013156900")</f>
        <v>14013156900</v>
      </c>
      <c r="B151" t="s">
        <v>388</v>
      </c>
      <c r="C151" t="s">
        <v>12</v>
      </c>
      <c r="D151" t="s">
        <v>389</v>
      </c>
      <c r="E151" t="s">
        <v>14</v>
      </c>
      <c r="G151" t="s">
        <v>63</v>
      </c>
      <c r="H151" s="2">
        <v>44783</v>
      </c>
      <c r="I151" t="s">
        <v>38</v>
      </c>
      <c r="J151" t="s">
        <v>77</v>
      </c>
      <c r="L151" t="s">
        <v>78</v>
      </c>
      <c r="M151" t="s">
        <v>26</v>
      </c>
    </row>
    <row r="152" spans="1:13" x14ac:dyDescent="0.3">
      <c r="A152" t="str">
        <f>HYPERLINK("https://hsdes.intel.com/resource/14013156903","14013156903")</f>
        <v>14013156903</v>
      </c>
      <c r="B152" t="s">
        <v>390</v>
      </c>
      <c r="C152" t="s">
        <v>12</v>
      </c>
      <c r="D152" t="s">
        <v>391</v>
      </c>
      <c r="E152" t="s">
        <v>14</v>
      </c>
      <c r="G152" t="s">
        <v>63</v>
      </c>
      <c r="H152" s="2">
        <v>44783</v>
      </c>
      <c r="I152" t="s">
        <v>38</v>
      </c>
      <c r="J152" t="s">
        <v>77</v>
      </c>
      <c r="L152" t="s">
        <v>78</v>
      </c>
      <c r="M152" t="s">
        <v>26</v>
      </c>
    </row>
    <row r="153" spans="1:13" x14ac:dyDescent="0.3">
      <c r="A153" t="str">
        <f>HYPERLINK("https://hsdes.intel.com/resource/14013156911","14013156911")</f>
        <v>14013156911</v>
      </c>
      <c r="B153" t="s">
        <v>392</v>
      </c>
      <c r="C153" t="s">
        <v>12</v>
      </c>
      <c r="D153" t="s">
        <v>393</v>
      </c>
      <c r="E153" t="s">
        <v>14</v>
      </c>
      <c r="G153" t="s">
        <v>63</v>
      </c>
      <c r="H153" s="2">
        <v>44783</v>
      </c>
      <c r="I153" t="s">
        <v>38</v>
      </c>
      <c r="J153" t="s">
        <v>77</v>
      </c>
      <c r="L153" t="s">
        <v>78</v>
      </c>
      <c r="M153" t="s">
        <v>26</v>
      </c>
    </row>
    <row r="154" spans="1:13" x14ac:dyDescent="0.3">
      <c r="A154" t="str">
        <f>HYPERLINK("https://hsdes.intel.com/resource/14013156915","14013156915")</f>
        <v>14013156915</v>
      </c>
      <c r="B154" t="s">
        <v>394</v>
      </c>
      <c r="C154" t="s">
        <v>12</v>
      </c>
      <c r="D154" t="s">
        <v>395</v>
      </c>
      <c r="E154" t="s">
        <v>14</v>
      </c>
      <c r="G154" t="s">
        <v>63</v>
      </c>
      <c r="H154" s="2">
        <v>44783</v>
      </c>
      <c r="I154" t="s">
        <v>38</v>
      </c>
      <c r="J154" t="s">
        <v>77</v>
      </c>
      <c r="L154" t="s">
        <v>78</v>
      </c>
      <c r="M154" t="s">
        <v>26</v>
      </c>
    </row>
    <row r="155" spans="1:13" x14ac:dyDescent="0.3">
      <c r="A155" t="str">
        <f>HYPERLINK("https://hsdes.intel.com/resource/14013156931","14013156931")</f>
        <v>14013156931</v>
      </c>
      <c r="B155" t="s">
        <v>396</v>
      </c>
      <c r="C155" t="s">
        <v>12</v>
      </c>
      <c r="D155" t="s">
        <v>397</v>
      </c>
      <c r="E155" t="s">
        <v>14</v>
      </c>
      <c r="G155" t="s">
        <v>63</v>
      </c>
      <c r="H155" s="2">
        <v>44783</v>
      </c>
      <c r="I155" t="s">
        <v>38</v>
      </c>
      <c r="J155" t="s">
        <v>77</v>
      </c>
      <c r="L155" t="s">
        <v>78</v>
      </c>
      <c r="M155" t="s">
        <v>26</v>
      </c>
    </row>
    <row r="156" spans="1:13" x14ac:dyDescent="0.3">
      <c r="A156" s="5" t="str">
        <f>HYPERLINK("https://hsdes.intel.com/resource/14013156951","14013156951")</f>
        <v>14013156951</v>
      </c>
      <c r="B156" t="s">
        <v>398</v>
      </c>
      <c r="C156" t="s">
        <v>12</v>
      </c>
      <c r="D156" t="s">
        <v>399</v>
      </c>
      <c r="E156" t="s">
        <v>97</v>
      </c>
      <c r="G156" t="s">
        <v>31</v>
      </c>
      <c r="I156" t="s">
        <v>38</v>
      </c>
      <c r="J156" t="s">
        <v>115</v>
      </c>
      <c r="L156" t="s">
        <v>54</v>
      </c>
      <c r="M156" t="s">
        <v>26</v>
      </c>
    </row>
    <row r="157" spans="1:13" x14ac:dyDescent="0.3">
      <c r="A157" t="str">
        <f>HYPERLINK("https://hsdes.intel.com/resource/14013156953","14013156953")</f>
        <v>14013156953</v>
      </c>
      <c r="B157" t="s">
        <v>400</v>
      </c>
      <c r="C157" t="s">
        <v>12</v>
      </c>
      <c r="D157" t="s">
        <v>401</v>
      </c>
      <c r="E157" t="s">
        <v>14</v>
      </c>
      <c r="G157" t="s">
        <v>63</v>
      </c>
      <c r="H157" s="2">
        <v>44783</v>
      </c>
      <c r="I157" t="s">
        <v>38</v>
      </c>
      <c r="J157" t="s">
        <v>77</v>
      </c>
      <c r="L157" t="s">
        <v>78</v>
      </c>
      <c r="M157" t="s">
        <v>26</v>
      </c>
    </row>
    <row r="158" spans="1:13" x14ac:dyDescent="0.3">
      <c r="A158" t="str">
        <f>HYPERLINK("https://hsdes.intel.com/resource/14013156955","14013156955")</f>
        <v>14013156955</v>
      </c>
      <c r="B158" t="s">
        <v>402</v>
      </c>
      <c r="C158" t="s">
        <v>12</v>
      </c>
      <c r="D158" t="s">
        <v>403</v>
      </c>
      <c r="E158" t="s">
        <v>14</v>
      </c>
      <c r="G158" t="s">
        <v>81</v>
      </c>
      <c r="H158" s="2">
        <v>44791</v>
      </c>
      <c r="I158" t="s">
        <v>38</v>
      </c>
      <c r="J158" t="s">
        <v>39</v>
      </c>
      <c r="L158" t="s">
        <v>40</v>
      </c>
      <c r="M158" t="s">
        <v>26</v>
      </c>
    </row>
    <row r="159" spans="1:13" x14ac:dyDescent="0.3">
      <c r="A159" t="str">
        <f>HYPERLINK("https://hsdes.intel.com/resource/14013156976","14013156976")</f>
        <v>14013156976</v>
      </c>
      <c r="B159" t="s">
        <v>404</v>
      </c>
      <c r="C159" t="s">
        <v>12</v>
      </c>
      <c r="D159" t="s">
        <v>405</v>
      </c>
      <c r="E159" t="s">
        <v>120</v>
      </c>
      <c r="F159" s="6" t="s">
        <v>406</v>
      </c>
      <c r="G159" t="s">
        <v>63</v>
      </c>
      <c r="H159" s="2">
        <v>44783</v>
      </c>
      <c r="I159" t="s">
        <v>38</v>
      </c>
      <c r="J159" t="s">
        <v>77</v>
      </c>
      <c r="L159" t="s">
        <v>78</v>
      </c>
      <c r="M159" t="s">
        <v>26</v>
      </c>
    </row>
    <row r="160" spans="1:13" x14ac:dyDescent="0.3">
      <c r="A160" t="str">
        <f>HYPERLINK("https://hsdes.intel.com/resource/14013156977","14013156977")</f>
        <v>14013156977</v>
      </c>
      <c r="B160" t="s">
        <v>407</v>
      </c>
      <c r="C160" t="s">
        <v>12</v>
      </c>
      <c r="D160" t="s">
        <v>408</v>
      </c>
      <c r="E160" t="s">
        <v>14</v>
      </c>
      <c r="G160" t="s">
        <v>63</v>
      </c>
      <c r="H160" s="2">
        <v>44783</v>
      </c>
      <c r="I160" t="s">
        <v>38</v>
      </c>
      <c r="J160" t="s">
        <v>77</v>
      </c>
      <c r="L160" t="s">
        <v>78</v>
      </c>
      <c r="M160" t="s">
        <v>26</v>
      </c>
    </row>
    <row r="161" spans="1:13" x14ac:dyDescent="0.3">
      <c r="A161" t="str">
        <f>HYPERLINK("https://hsdes.intel.com/resource/14013156979","14013156979")</f>
        <v>14013156979</v>
      </c>
      <c r="B161" t="s">
        <v>409</v>
      </c>
      <c r="C161" t="s">
        <v>12</v>
      </c>
      <c r="D161" t="s">
        <v>410</v>
      </c>
      <c r="E161" t="s">
        <v>14</v>
      </c>
      <c r="G161" t="s">
        <v>63</v>
      </c>
      <c r="H161" s="2">
        <v>44783</v>
      </c>
      <c r="I161" t="s">
        <v>38</v>
      </c>
      <c r="J161" t="s">
        <v>77</v>
      </c>
      <c r="L161" t="s">
        <v>78</v>
      </c>
      <c r="M161" t="s">
        <v>26</v>
      </c>
    </row>
    <row r="162" spans="1:13" x14ac:dyDescent="0.3">
      <c r="A162" t="str">
        <f>HYPERLINK("https://hsdes.intel.com/resource/14013156980","14013156980")</f>
        <v>14013156980</v>
      </c>
      <c r="B162" t="s">
        <v>411</v>
      </c>
      <c r="C162" t="s">
        <v>12</v>
      </c>
      <c r="D162" t="s">
        <v>412</v>
      </c>
      <c r="E162" t="s">
        <v>14</v>
      </c>
      <c r="G162" t="s">
        <v>63</v>
      </c>
      <c r="H162" s="2">
        <v>44783</v>
      </c>
      <c r="I162" t="s">
        <v>38</v>
      </c>
      <c r="J162" t="s">
        <v>77</v>
      </c>
      <c r="L162" t="s">
        <v>78</v>
      </c>
      <c r="M162" t="s">
        <v>26</v>
      </c>
    </row>
    <row r="163" spans="1:13" x14ac:dyDescent="0.3">
      <c r="A163" t="str">
        <f>HYPERLINK("https://hsdes.intel.com/resource/14013157004","14013157004")</f>
        <v>14013157004</v>
      </c>
      <c r="B163" t="s">
        <v>413</v>
      </c>
      <c r="C163" t="s">
        <v>12</v>
      </c>
      <c r="D163" t="s">
        <v>414</v>
      </c>
      <c r="E163" t="s">
        <v>120</v>
      </c>
      <c r="F163" s="7" t="s">
        <v>415</v>
      </c>
      <c r="G163" t="s">
        <v>63</v>
      </c>
      <c r="H163" s="2">
        <v>44784</v>
      </c>
      <c r="I163" t="s">
        <v>38</v>
      </c>
      <c r="J163" t="s">
        <v>77</v>
      </c>
      <c r="L163" t="s">
        <v>78</v>
      </c>
      <c r="M163" t="s">
        <v>26</v>
      </c>
    </row>
    <row r="164" spans="1:13" x14ac:dyDescent="0.3">
      <c r="A164" t="str">
        <f>HYPERLINK("https://hsdes.intel.com/resource/14013157008","14013157008")</f>
        <v>14013157008</v>
      </c>
      <c r="B164" t="s">
        <v>416</v>
      </c>
      <c r="C164" t="s">
        <v>12</v>
      </c>
      <c r="D164" t="s">
        <v>417</v>
      </c>
      <c r="E164" t="s">
        <v>14</v>
      </c>
      <c r="F164" s="2"/>
      <c r="G164" t="s">
        <v>63</v>
      </c>
      <c r="H164" s="2">
        <v>44784</v>
      </c>
      <c r="I164" t="s">
        <v>38</v>
      </c>
      <c r="J164" t="s">
        <v>77</v>
      </c>
      <c r="L164" t="s">
        <v>78</v>
      </c>
      <c r="M164" t="s">
        <v>26</v>
      </c>
    </row>
    <row r="165" spans="1:13" x14ac:dyDescent="0.3">
      <c r="A165" t="str">
        <f>HYPERLINK("https://hsdes.intel.com/resource/14013157009","14013157009")</f>
        <v>14013157009</v>
      </c>
      <c r="B165" t="s">
        <v>418</v>
      </c>
      <c r="C165" t="s">
        <v>12</v>
      </c>
      <c r="D165" t="s">
        <v>419</v>
      </c>
      <c r="E165" t="s">
        <v>14</v>
      </c>
      <c r="F165" s="2"/>
      <c r="G165" t="s">
        <v>63</v>
      </c>
      <c r="H165" s="2">
        <v>44784</v>
      </c>
      <c r="I165" t="s">
        <v>38</v>
      </c>
      <c r="J165" t="s">
        <v>77</v>
      </c>
      <c r="L165" t="s">
        <v>78</v>
      </c>
      <c r="M165" t="s">
        <v>26</v>
      </c>
    </row>
    <row r="166" spans="1:13" x14ac:dyDescent="0.3">
      <c r="A166" t="str">
        <f>HYPERLINK("https://hsdes.intel.com/resource/14013157010","14013157010")</f>
        <v>14013157010</v>
      </c>
      <c r="B166" t="s">
        <v>420</v>
      </c>
      <c r="C166" t="s">
        <v>12</v>
      </c>
      <c r="D166" t="s">
        <v>421</v>
      </c>
      <c r="E166" t="s">
        <v>14</v>
      </c>
      <c r="G166" t="s">
        <v>63</v>
      </c>
      <c r="H166" s="2">
        <v>44784</v>
      </c>
      <c r="I166" t="s">
        <v>38</v>
      </c>
      <c r="J166" t="s">
        <v>77</v>
      </c>
      <c r="L166" t="s">
        <v>78</v>
      </c>
      <c r="M166" t="s">
        <v>26</v>
      </c>
    </row>
    <row r="167" spans="1:13" x14ac:dyDescent="0.3">
      <c r="A167" t="str">
        <f>HYPERLINK("https://hsdes.intel.com/resource/14013157012","14013157012")</f>
        <v>14013157012</v>
      </c>
      <c r="B167" t="s">
        <v>422</v>
      </c>
      <c r="C167" t="s">
        <v>12</v>
      </c>
      <c r="D167" t="s">
        <v>423</v>
      </c>
      <c r="E167" t="s">
        <v>14</v>
      </c>
      <c r="G167" t="s">
        <v>63</v>
      </c>
      <c r="H167" s="2">
        <v>44784</v>
      </c>
      <c r="I167" t="s">
        <v>38</v>
      </c>
      <c r="J167" t="s">
        <v>77</v>
      </c>
      <c r="L167" t="s">
        <v>78</v>
      </c>
      <c r="M167" t="s">
        <v>22</v>
      </c>
    </row>
    <row r="168" spans="1:13" x14ac:dyDescent="0.3">
      <c r="A168" t="str">
        <f>HYPERLINK("https://hsdes.intel.com/resource/14013157017","14013157017")</f>
        <v>14013157017</v>
      </c>
      <c r="B168" t="s">
        <v>424</v>
      </c>
      <c r="C168" t="s">
        <v>12</v>
      </c>
      <c r="D168" t="s">
        <v>425</v>
      </c>
      <c r="E168" t="s">
        <v>14</v>
      </c>
      <c r="G168" t="s">
        <v>63</v>
      </c>
      <c r="H168" s="2">
        <v>44784</v>
      </c>
      <c r="I168" t="s">
        <v>38</v>
      </c>
      <c r="J168" t="s">
        <v>77</v>
      </c>
      <c r="L168" t="s">
        <v>78</v>
      </c>
      <c r="M168" t="s">
        <v>26</v>
      </c>
    </row>
    <row r="169" spans="1:13" x14ac:dyDescent="0.3">
      <c r="A169" t="str">
        <f>HYPERLINK("https://hsdes.intel.com/resource/14013157021","14013157021")</f>
        <v>14013157021</v>
      </c>
      <c r="B169" t="s">
        <v>426</v>
      </c>
      <c r="C169" t="s">
        <v>12</v>
      </c>
      <c r="D169" t="s">
        <v>427</v>
      </c>
      <c r="E169" t="s">
        <v>14</v>
      </c>
      <c r="G169" t="s">
        <v>63</v>
      </c>
      <c r="H169" s="2">
        <v>44784</v>
      </c>
      <c r="I169" t="s">
        <v>38</v>
      </c>
      <c r="J169" t="s">
        <v>77</v>
      </c>
      <c r="L169" t="s">
        <v>78</v>
      </c>
      <c r="M169" t="s">
        <v>26</v>
      </c>
    </row>
    <row r="170" spans="1:13" x14ac:dyDescent="0.3">
      <c r="A170" t="str">
        <f>HYPERLINK("https://hsdes.intel.com/resource/14013157052","14013157052")</f>
        <v>14013157052</v>
      </c>
      <c r="B170" t="s">
        <v>428</v>
      </c>
      <c r="C170" t="s">
        <v>12</v>
      </c>
      <c r="D170" t="s">
        <v>429</v>
      </c>
      <c r="E170" t="s">
        <v>14</v>
      </c>
      <c r="G170" t="s">
        <v>63</v>
      </c>
      <c r="H170" s="2">
        <v>44784</v>
      </c>
      <c r="I170" t="s">
        <v>38</v>
      </c>
      <c r="J170" t="s">
        <v>77</v>
      </c>
      <c r="L170" t="s">
        <v>78</v>
      </c>
      <c r="M170" t="s">
        <v>26</v>
      </c>
    </row>
    <row r="171" spans="1:13" x14ac:dyDescent="0.3">
      <c r="A171" t="str">
        <f>HYPERLINK("https://hsdes.intel.com/resource/14013157055","14013157055")</f>
        <v>14013157055</v>
      </c>
      <c r="B171" t="s">
        <v>430</v>
      </c>
      <c r="C171" t="s">
        <v>12</v>
      </c>
      <c r="D171" t="s">
        <v>431</v>
      </c>
      <c r="E171" t="s">
        <v>14</v>
      </c>
      <c r="G171" t="s">
        <v>63</v>
      </c>
      <c r="H171" s="2">
        <v>44784</v>
      </c>
      <c r="I171" t="s">
        <v>38</v>
      </c>
      <c r="J171" t="s">
        <v>77</v>
      </c>
      <c r="L171" t="s">
        <v>78</v>
      </c>
      <c r="M171" t="s">
        <v>26</v>
      </c>
    </row>
    <row r="172" spans="1:13" x14ac:dyDescent="0.3">
      <c r="A172" t="str">
        <f>HYPERLINK("https://hsdes.intel.com/resource/14013157075","14013157075")</f>
        <v>14013157075</v>
      </c>
      <c r="B172" t="s">
        <v>432</v>
      </c>
      <c r="C172" t="s">
        <v>12</v>
      </c>
      <c r="D172" t="s">
        <v>433</v>
      </c>
      <c r="E172" t="s">
        <v>14</v>
      </c>
      <c r="G172" t="s">
        <v>63</v>
      </c>
      <c r="H172" s="2">
        <v>44784</v>
      </c>
      <c r="I172" t="s">
        <v>38</v>
      </c>
      <c r="J172" t="s">
        <v>77</v>
      </c>
      <c r="L172" t="s">
        <v>78</v>
      </c>
      <c r="M172" t="s">
        <v>26</v>
      </c>
    </row>
    <row r="173" spans="1:13" x14ac:dyDescent="0.3">
      <c r="A173" t="str">
        <f>HYPERLINK("https://hsdes.intel.com/resource/14013157085","14013157085")</f>
        <v>14013157085</v>
      </c>
      <c r="B173" t="s">
        <v>434</v>
      </c>
      <c r="C173" t="s">
        <v>12</v>
      </c>
      <c r="D173" t="s">
        <v>435</v>
      </c>
      <c r="E173" t="s">
        <v>14</v>
      </c>
      <c r="G173" t="s">
        <v>63</v>
      </c>
      <c r="H173" s="2">
        <v>44784</v>
      </c>
      <c r="I173" t="s">
        <v>38</v>
      </c>
      <c r="J173" t="s">
        <v>77</v>
      </c>
      <c r="L173" t="s">
        <v>78</v>
      </c>
      <c r="M173" t="s">
        <v>26</v>
      </c>
    </row>
    <row r="174" spans="1:13" x14ac:dyDescent="0.3">
      <c r="A174" t="str">
        <f>HYPERLINK("https://hsdes.intel.com/resource/14013157103","14013157103")</f>
        <v>14013157103</v>
      </c>
      <c r="B174" t="s">
        <v>436</v>
      </c>
      <c r="C174" t="s">
        <v>12</v>
      </c>
      <c r="D174" t="s">
        <v>437</v>
      </c>
      <c r="E174" t="s">
        <v>14</v>
      </c>
      <c r="G174" t="s">
        <v>438</v>
      </c>
      <c r="H174" s="2">
        <v>44786</v>
      </c>
      <c r="I174" t="s">
        <v>16</v>
      </c>
      <c r="J174" t="s">
        <v>439</v>
      </c>
      <c r="L174" t="s">
        <v>40</v>
      </c>
      <c r="M174" t="s">
        <v>26</v>
      </c>
    </row>
    <row r="175" spans="1:13" x14ac:dyDescent="0.3">
      <c r="A175" t="str">
        <f>HYPERLINK("https://hsdes.intel.com/resource/14013157109","14013157109")</f>
        <v>14013157109</v>
      </c>
      <c r="B175" t="s">
        <v>440</v>
      </c>
      <c r="C175" t="s">
        <v>12</v>
      </c>
      <c r="D175" t="s">
        <v>441</v>
      </c>
      <c r="E175" t="s">
        <v>14</v>
      </c>
      <c r="G175" t="s">
        <v>15</v>
      </c>
      <c r="H175" s="2">
        <v>44789</v>
      </c>
      <c r="I175" t="s">
        <v>16</v>
      </c>
      <c r="J175" t="s">
        <v>39</v>
      </c>
      <c r="L175" t="s">
        <v>40</v>
      </c>
      <c r="M175" t="s">
        <v>26</v>
      </c>
    </row>
    <row r="176" spans="1:13" x14ac:dyDescent="0.3">
      <c r="A176" t="str">
        <f>HYPERLINK("https://hsdes.intel.com/resource/14013157130","14013157130")</f>
        <v>14013157130</v>
      </c>
      <c r="B176" t="s">
        <v>442</v>
      </c>
      <c r="C176" t="s">
        <v>12</v>
      </c>
      <c r="D176" t="s">
        <v>443</v>
      </c>
      <c r="E176" t="s">
        <v>14</v>
      </c>
      <c r="G176" t="s">
        <v>57</v>
      </c>
      <c r="H176" s="2">
        <v>44786</v>
      </c>
      <c r="I176" t="s">
        <v>16</v>
      </c>
      <c r="J176" t="s">
        <v>39</v>
      </c>
      <c r="L176" t="s">
        <v>40</v>
      </c>
      <c r="M176" t="s">
        <v>26</v>
      </c>
    </row>
    <row r="177" spans="1:13" x14ac:dyDescent="0.3">
      <c r="A177" t="str">
        <f>HYPERLINK("https://hsdes.intel.com/resource/14013157133","14013157133")</f>
        <v>14013157133</v>
      </c>
      <c r="B177" t="s">
        <v>444</v>
      </c>
      <c r="C177" t="s">
        <v>12</v>
      </c>
      <c r="D177" t="s">
        <v>445</v>
      </c>
      <c r="E177" t="s">
        <v>14</v>
      </c>
      <c r="G177" t="s">
        <v>57</v>
      </c>
      <c r="H177" s="2">
        <v>44786</v>
      </c>
      <c r="I177" t="s">
        <v>16</v>
      </c>
      <c r="J177" t="s">
        <v>39</v>
      </c>
      <c r="L177" t="s">
        <v>40</v>
      </c>
      <c r="M177" t="s">
        <v>26</v>
      </c>
    </row>
    <row r="178" spans="1:13" x14ac:dyDescent="0.3">
      <c r="A178" t="str">
        <f>HYPERLINK("https://hsdes.intel.com/resource/14013157136","14013157136")</f>
        <v>14013157136</v>
      </c>
      <c r="B178" t="s">
        <v>446</v>
      </c>
      <c r="C178" t="s">
        <v>12</v>
      </c>
      <c r="D178" t="s">
        <v>447</v>
      </c>
      <c r="E178" t="s">
        <v>14</v>
      </c>
      <c r="G178" t="s">
        <v>57</v>
      </c>
      <c r="H178" s="2">
        <v>44786</v>
      </c>
      <c r="I178" t="s">
        <v>16</v>
      </c>
      <c r="J178" t="s">
        <v>39</v>
      </c>
      <c r="L178" t="s">
        <v>40</v>
      </c>
      <c r="M178" t="s">
        <v>26</v>
      </c>
    </row>
    <row r="179" spans="1:13" x14ac:dyDescent="0.3">
      <c r="A179" t="str">
        <f>HYPERLINK("https://hsdes.intel.com/resource/14013157146","14013157146")</f>
        <v>14013157146</v>
      </c>
      <c r="B179" t="s">
        <v>448</v>
      </c>
      <c r="C179" t="s">
        <v>12</v>
      </c>
      <c r="D179" t="s">
        <v>449</v>
      </c>
      <c r="E179" t="s">
        <v>14</v>
      </c>
      <c r="G179" t="s">
        <v>438</v>
      </c>
      <c r="H179" s="2">
        <v>44786</v>
      </c>
      <c r="I179" t="s">
        <v>16</v>
      </c>
      <c r="J179" t="s">
        <v>39</v>
      </c>
      <c r="L179" t="s">
        <v>40</v>
      </c>
      <c r="M179" t="s">
        <v>26</v>
      </c>
    </row>
    <row r="180" spans="1:13" x14ac:dyDescent="0.3">
      <c r="A180" t="str">
        <f>HYPERLINK("https://hsdes.intel.com/resource/14013157148","14013157148")</f>
        <v>14013157148</v>
      </c>
      <c r="B180" t="s">
        <v>450</v>
      </c>
      <c r="C180" t="s">
        <v>12</v>
      </c>
      <c r="D180" t="s">
        <v>451</v>
      </c>
      <c r="E180" t="s">
        <v>14</v>
      </c>
      <c r="G180" t="s">
        <v>63</v>
      </c>
      <c r="H180" s="2">
        <v>44784</v>
      </c>
      <c r="I180" t="s">
        <v>38</v>
      </c>
      <c r="J180" t="s">
        <v>77</v>
      </c>
      <c r="L180" t="s">
        <v>78</v>
      </c>
      <c r="M180" t="s">
        <v>26</v>
      </c>
    </row>
    <row r="181" spans="1:13" x14ac:dyDescent="0.3">
      <c r="A181" t="str">
        <f>HYPERLINK("https://hsdes.intel.com/resource/14013157151","14013157151")</f>
        <v>14013157151</v>
      </c>
      <c r="B181" t="s">
        <v>452</v>
      </c>
      <c r="C181" t="s">
        <v>12</v>
      </c>
      <c r="D181" t="s">
        <v>453</v>
      </c>
      <c r="E181" t="s">
        <v>14</v>
      </c>
      <c r="G181" t="s">
        <v>63</v>
      </c>
      <c r="H181" s="2">
        <v>44784</v>
      </c>
      <c r="I181" t="s">
        <v>38</v>
      </c>
      <c r="J181" t="s">
        <v>77</v>
      </c>
      <c r="L181" t="s">
        <v>78</v>
      </c>
      <c r="M181" t="s">
        <v>26</v>
      </c>
    </row>
    <row r="182" spans="1:13" x14ac:dyDescent="0.3">
      <c r="A182" t="str">
        <f>HYPERLINK("https://hsdes.intel.com/resource/14013157153","14013157153")</f>
        <v>14013157153</v>
      </c>
      <c r="B182" t="s">
        <v>454</v>
      </c>
      <c r="C182" t="s">
        <v>12</v>
      </c>
      <c r="D182" t="s">
        <v>455</v>
      </c>
      <c r="E182" t="s">
        <v>14</v>
      </c>
      <c r="G182" t="s">
        <v>63</v>
      </c>
      <c r="H182" s="2">
        <v>44784</v>
      </c>
      <c r="I182" t="s">
        <v>38</v>
      </c>
      <c r="J182" t="s">
        <v>77</v>
      </c>
      <c r="L182" t="s">
        <v>78</v>
      </c>
      <c r="M182" t="s">
        <v>26</v>
      </c>
    </row>
    <row r="183" spans="1:13" x14ac:dyDescent="0.3">
      <c r="A183" t="str">
        <f>HYPERLINK("https://hsdes.intel.com/resource/14013157179","14013157179")</f>
        <v>14013157179</v>
      </c>
      <c r="B183" t="s">
        <v>456</v>
      </c>
      <c r="C183" t="s">
        <v>12</v>
      </c>
      <c r="D183" t="s">
        <v>457</v>
      </c>
      <c r="E183" t="s">
        <v>14</v>
      </c>
      <c r="G183" t="s">
        <v>72</v>
      </c>
      <c r="H183" s="2">
        <v>44785</v>
      </c>
      <c r="I183" t="s">
        <v>38</v>
      </c>
      <c r="J183" t="s">
        <v>77</v>
      </c>
      <c r="L183" t="s">
        <v>78</v>
      </c>
      <c r="M183" t="s">
        <v>26</v>
      </c>
    </row>
    <row r="184" spans="1:13" x14ac:dyDescent="0.3">
      <c r="A184" t="str">
        <f>HYPERLINK("https://hsdes.intel.com/resource/14013157181","14013157181")</f>
        <v>14013157181</v>
      </c>
      <c r="B184" t="s">
        <v>458</v>
      </c>
      <c r="C184" t="s">
        <v>12</v>
      </c>
      <c r="D184" t="s">
        <v>459</v>
      </c>
      <c r="E184" t="s">
        <v>14</v>
      </c>
      <c r="G184" t="s">
        <v>72</v>
      </c>
      <c r="H184" s="2">
        <v>44789</v>
      </c>
      <c r="I184" t="s">
        <v>38</v>
      </c>
      <c r="J184" t="s">
        <v>77</v>
      </c>
      <c r="L184" t="s">
        <v>78</v>
      </c>
      <c r="M184" t="s">
        <v>26</v>
      </c>
    </row>
    <row r="185" spans="1:13" x14ac:dyDescent="0.3">
      <c r="A185" t="str">
        <f>HYPERLINK("https://hsdes.intel.com/resource/14013157216","14013157216")</f>
        <v>14013157216</v>
      </c>
      <c r="B185" t="s">
        <v>460</v>
      </c>
      <c r="C185" t="s">
        <v>12</v>
      </c>
      <c r="D185" t="s">
        <v>461</v>
      </c>
      <c r="E185" t="s">
        <v>14</v>
      </c>
      <c r="G185" t="s">
        <v>57</v>
      </c>
      <c r="H185" s="2">
        <v>44786</v>
      </c>
      <c r="I185" t="s">
        <v>16</v>
      </c>
      <c r="J185" t="s">
        <v>39</v>
      </c>
      <c r="L185" t="s">
        <v>40</v>
      </c>
      <c r="M185" t="s">
        <v>26</v>
      </c>
    </row>
    <row r="186" spans="1:13" x14ac:dyDescent="0.3">
      <c r="A186" t="str">
        <f>HYPERLINK("https://hsdes.intel.com/resource/14013157222","14013157222")</f>
        <v>14013157222</v>
      </c>
      <c r="B186" t="s">
        <v>462</v>
      </c>
      <c r="C186" t="s">
        <v>12</v>
      </c>
      <c r="D186" t="s">
        <v>463</v>
      </c>
      <c r="E186" t="s">
        <v>14</v>
      </c>
      <c r="G186" t="s">
        <v>57</v>
      </c>
      <c r="H186" s="2">
        <v>44789</v>
      </c>
      <c r="I186" t="s">
        <v>16</v>
      </c>
      <c r="J186" t="s">
        <v>39</v>
      </c>
      <c r="L186" t="s">
        <v>40</v>
      </c>
      <c r="M186" t="s">
        <v>26</v>
      </c>
    </row>
    <row r="187" spans="1:13" x14ac:dyDescent="0.3">
      <c r="A187" t="str">
        <f>HYPERLINK("https://hsdes.intel.com/resource/14013157232","14013157232")</f>
        <v>14013157232</v>
      </c>
      <c r="B187" t="s">
        <v>464</v>
      </c>
      <c r="C187" t="s">
        <v>12</v>
      </c>
      <c r="D187" t="s">
        <v>465</v>
      </c>
      <c r="E187" t="s">
        <v>14</v>
      </c>
      <c r="G187" t="s">
        <v>15</v>
      </c>
      <c r="H187" s="2">
        <v>44789</v>
      </c>
      <c r="I187" t="s">
        <v>16</v>
      </c>
      <c r="J187" t="s">
        <v>466</v>
      </c>
      <c r="L187" t="s">
        <v>40</v>
      </c>
      <c r="M187" t="s">
        <v>26</v>
      </c>
    </row>
    <row r="188" spans="1:13" x14ac:dyDescent="0.3">
      <c r="A188" t="str">
        <f>HYPERLINK("https://hsdes.intel.com/resource/14013157235","14013157235")</f>
        <v>14013157235</v>
      </c>
      <c r="B188" t="s">
        <v>467</v>
      </c>
      <c r="C188" t="s">
        <v>12</v>
      </c>
      <c r="D188" t="s">
        <v>468</v>
      </c>
      <c r="E188" t="s">
        <v>14</v>
      </c>
      <c r="G188" t="s">
        <v>72</v>
      </c>
      <c r="H188" s="2">
        <v>44784</v>
      </c>
      <c r="I188" t="s">
        <v>38</v>
      </c>
      <c r="J188" t="s">
        <v>77</v>
      </c>
      <c r="L188" t="s">
        <v>78</v>
      </c>
      <c r="M188" t="s">
        <v>26</v>
      </c>
    </row>
    <row r="189" spans="1:13" x14ac:dyDescent="0.3">
      <c r="A189" t="str">
        <f>HYPERLINK("https://hsdes.intel.com/resource/14013157237","14013157237")</f>
        <v>14013157237</v>
      </c>
      <c r="B189" t="s">
        <v>469</v>
      </c>
      <c r="C189" t="s">
        <v>12</v>
      </c>
      <c r="D189" t="s">
        <v>470</v>
      </c>
      <c r="E189" t="s">
        <v>14</v>
      </c>
      <c r="G189" t="s">
        <v>57</v>
      </c>
      <c r="H189" s="2">
        <v>44798</v>
      </c>
      <c r="I189" t="s">
        <v>167</v>
      </c>
      <c r="J189" t="s">
        <v>186</v>
      </c>
      <c r="L189" t="s">
        <v>147</v>
      </c>
      <c r="M189" t="s">
        <v>26</v>
      </c>
    </row>
    <row r="190" spans="1:13" x14ac:dyDescent="0.3">
      <c r="A190" t="str">
        <f>HYPERLINK("https://hsdes.intel.com/resource/14013157239","14013157239")</f>
        <v>14013157239</v>
      </c>
      <c r="B190" t="s">
        <v>471</v>
      </c>
      <c r="C190" t="s">
        <v>12</v>
      </c>
      <c r="D190" t="s">
        <v>472</v>
      </c>
      <c r="E190" t="s">
        <v>14</v>
      </c>
      <c r="G190" t="s">
        <v>72</v>
      </c>
      <c r="H190" s="2">
        <v>44784</v>
      </c>
      <c r="I190" t="s">
        <v>38</v>
      </c>
      <c r="J190" t="s">
        <v>77</v>
      </c>
      <c r="L190" t="s">
        <v>78</v>
      </c>
      <c r="M190" t="s">
        <v>26</v>
      </c>
    </row>
    <row r="191" spans="1:13" x14ac:dyDescent="0.3">
      <c r="A191" t="str">
        <f>HYPERLINK("https://hsdes.intel.com/resource/14013157253","14013157253")</f>
        <v>14013157253</v>
      </c>
      <c r="B191" t="s">
        <v>473</v>
      </c>
      <c r="C191" t="s">
        <v>12</v>
      </c>
      <c r="D191" t="s">
        <v>474</v>
      </c>
      <c r="E191" t="s">
        <v>14</v>
      </c>
      <c r="G191" t="s">
        <v>31</v>
      </c>
      <c r="H191" s="2">
        <v>44795</v>
      </c>
      <c r="I191" t="s">
        <v>38</v>
      </c>
      <c r="J191" t="s">
        <v>77</v>
      </c>
      <c r="L191" t="s">
        <v>78</v>
      </c>
      <c r="M191" t="s">
        <v>19</v>
      </c>
    </row>
    <row r="192" spans="1:13" x14ac:dyDescent="0.3">
      <c r="A192" t="str">
        <f>HYPERLINK("https://hsdes.intel.com/resource/14013157256","14013157256")</f>
        <v>14013157256</v>
      </c>
      <c r="B192" t="s">
        <v>475</v>
      </c>
      <c r="C192" t="s">
        <v>12</v>
      </c>
      <c r="D192" t="s">
        <v>476</v>
      </c>
      <c r="E192" t="s">
        <v>14</v>
      </c>
      <c r="G192" t="s">
        <v>15</v>
      </c>
      <c r="H192" s="2">
        <v>44789</v>
      </c>
      <c r="I192" t="s">
        <v>16</v>
      </c>
      <c r="J192" t="s">
        <v>39</v>
      </c>
      <c r="L192" t="s">
        <v>40</v>
      </c>
      <c r="M192" t="s">
        <v>26</v>
      </c>
    </row>
    <row r="193" spans="1:13" x14ac:dyDescent="0.3">
      <c r="A193" t="str">
        <f>HYPERLINK("https://hsdes.intel.com/resource/14013157270","14013157270")</f>
        <v>14013157270</v>
      </c>
      <c r="B193" t="s">
        <v>477</v>
      </c>
      <c r="C193" t="s">
        <v>12</v>
      </c>
      <c r="D193" t="s">
        <v>478</v>
      </c>
      <c r="E193" t="s">
        <v>14</v>
      </c>
      <c r="G193" t="s">
        <v>43</v>
      </c>
      <c r="H193" s="2">
        <v>44784</v>
      </c>
      <c r="I193" t="s">
        <v>32</v>
      </c>
      <c r="J193" t="s">
        <v>46</v>
      </c>
      <c r="L193" t="s">
        <v>177</v>
      </c>
      <c r="M193" t="s">
        <v>26</v>
      </c>
    </row>
    <row r="194" spans="1:13" x14ac:dyDescent="0.3">
      <c r="A194" t="str">
        <f>HYPERLINK("https://hsdes.intel.com/resource/14013157276","14013157276")</f>
        <v>14013157276</v>
      </c>
      <c r="B194" t="s">
        <v>479</v>
      </c>
      <c r="C194" t="s">
        <v>12</v>
      </c>
      <c r="D194" t="s">
        <v>480</v>
      </c>
      <c r="E194" t="s">
        <v>14</v>
      </c>
      <c r="G194" t="s">
        <v>15</v>
      </c>
      <c r="H194" s="2">
        <v>44789</v>
      </c>
      <c r="I194" t="s">
        <v>16</v>
      </c>
      <c r="J194" t="s">
        <v>39</v>
      </c>
      <c r="L194" t="s">
        <v>40</v>
      </c>
      <c r="M194" t="s">
        <v>26</v>
      </c>
    </row>
    <row r="195" spans="1:13" x14ac:dyDescent="0.3">
      <c r="A195" t="str">
        <f>HYPERLINK("https://hsdes.intel.com/resource/14013157278","14013157278")</f>
        <v>14013157278</v>
      </c>
      <c r="B195" t="s">
        <v>481</v>
      </c>
      <c r="C195" t="s">
        <v>12</v>
      </c>
      <c r="D195" t="s">
        <v>482</v>
      </c>
      <c r="E195" t="s">
        <v>14</v>
      </c>
      <c r="G195" t="s">
        <v>57</v>
      </c>
      <c r="H195" s="2">
        <v>44786</v>
      </c>
      <c r="I195" t="s">
        <v>16</v>
      </c>
      <c r="J195" t="s">
        <v>483</v>
      </c>
      <c r="L195" t="s">
        <v>40</v>
      </c>
      <c r="M195" t="s">
        <v>26</v>
      </c>
    </row>
    <row r="196" spans="1:13" x14ac:dyDescent="0.3">
      <c r="A196" t="str">
        <f>HYPERLINK("https://hsdes.intel.com/resource/14013157287","14013157287")</f>
        <v>14013157287</v>
      </c>
      <c r="B196" t="s">
        <v>484</v>
      </c>
      <c r="C196" t="s">
        <v>12</v>
      </c>
      <c r="D196" t="s">
        <v>485</v>
      </c>
      <c r="E196" t="s">
        <v>14</v>
      </c>
      <c r="G196" t="s">
        <v>31</v>
      </c>
      <c r="H196" s="2">
        <v>44795</v>
      </c>
      <c r="I196" t="s">
        <v>38</v>
      </c>
      <c r="J196" t="s">
        <v>77</v>
      </c>
      <c r="L196" t="s">
        <v>78</v>
      </c>
      <c r="M196" t="s">
        <v>26</v>
      </c>
    </row>
    <row r="197" spans="1:13" x14ac:dyDescent="0.3">
      <c r="A197" t="str">
        <f>HYPERLINK("https://hsdes.intel.com/resource/14013157290","14013157290")</f>
        <v>14013157290</v>
      </c>
      <c r="B197" t="s">
        <v>486</v>
      </c>
      <c r="C197" t="s">
        <v>12</v>
      </c>
      <c r="D197" t="s">
        <v>487</v>
      </c>
      <c r="E197" t="s">
        <v>14</v>
      </c>
      <c r="G197" t="s">
        <v>15</v>
      </c>
      <c r="H197" s="2">
        <v>44789</v>
      </c>
      <c r="I197" t="s">
        <v>16</v>
      </c>
      <c r="J197" t="s">
        <v>39</v>
      </c>
      <c r="L197" t="s">
        <v>40</v>
      </c>
      <c r="M197" t="s">
        <v>26</v>
      </c>
    </row>
    <row r="198" spans="1:13" x14ac:dyDescent="0.3">
      <c r="A198" t="str">
        <f>HYPERLINK("https://hsdes.intel.com/resource/14013157294","14013157294")</f>
        <v>14013157294</v>
      </c>
      <c r="B198" t="s">
        <v>488</v>
      </c>
      <c r="C198" t="s">
        <v>12</v>
      </c>
      <c r="D198" t="s">
        <v>489</v>
      </c>
      <c r="E198" t="s">
        <v>14</v>
      </c>
      <c r="G198" t="s">
        <v>37</v>
      </c>
      <c r="I198" t="s">
        <v>32</v>
      </c>
      <c r="J198" t="s">
        <v>33</v>
      </c>
      <c r="L198" t="s">
        <v>34</v>
      </c>
      <c r="M198" t="s">
        <v>26</v>
      </c>
    </row>
    <row r="199" spans="1:13" x14ac:dyDescent="0.3">
      <c r="A199" t="str">
        <f>HYPERLINK("https://hsdes.intel.com/resource/14013157299","14013157299")</f>
        <v>14013157299</v>
      </c>
      <c r="B199" t="s">
        <v>490</v>
      </c>
      <c r="C199" t="s">
        <v>12</v>
      </c>
      <c r="D199" t="s">
        <v>491</v>
      </c>
      <c r="E199" t="s">
        <v>14</v>
      </c>
      <c r="G199" t="s">
        <v>37</v>
      </c>
      <c r="I199" t="s">
        <v>32</v>
      </c>
      <c r="J199" t="s">
        <v>33</v>
      </c>
      <c r="L199" t="s">
        <v>34</v>
      </c>
      <c r="M199" t="s">
        <v>26</v>
      </c>
    </row>
    <row r="200" spans="1:13" x14ac:dyDescent="0.3">
      <c r="A200" t="str">
        <f>HYPERLINK("https://hsdes.intel.com/resource/14013157301","14013157301")</f>
        <v>14013157301</v>
      </c>
      <c r="B200" t="s">
        <v>492</v>
      </c>
      <c r="C200" t="s">
        <v>12</v>
      </c>
      <c r="D200" t="s">
        <v>493</v>
      </c>
      <c r="E200" t="s">
        <v>14</v>
      </c>
      <c r="G200" t="s">
        <v>31</v>
      </c>
      <c r="H200" s="2">
        <v>44795</v>
      </c>
      <c r="I200" t="s">
        <v>38</v>
      </c>
      <c r="J200" t="s">
        <v>77</v>
      </c>
      <c r="L200" t="s">
        <v>78</v>
      </c>
      <c r="M200" t="s">
        <v>26</v>
      </c>
    </row>
    <row r="201" spans="1:13" x14ac:dyDescent="0.3">
      <c r="A201" t="str">
        <f>HYPERLINK("https://hsdes.intel.com/resource/14013157313","14013157313")</f>
        <v>14013157313</v>
      </c>
      <c r="B201" t="s">
        <v>494</v>
      </c>
      <c r="C201" t="s">
        <v>12</v>
      </c>
      <c r="D201" t="s">
        <v>495</v>
      </c>
      <c r="E201" t="s">
        <v>14</v>
      </c>
      <c r="G201" t="s">
        <v>72</v>
      </c>
      <c r="H201" s="2">
        <v>44785</v>
      </c>
      <c r="I201" t="s">
        <v>38</v>
      </c>
      <c r="J201" t="s">
        <v>77</v>
      </c>
      <c r="L201" t="s">
        <v>78</v>
      </c>
      <c r="M201" t="s">
        <v>26</v>
      </c>
    </row>
    <row r="202" spans="1:13" x14ac:dyDescent="0.3">
      <c r="A202" t="str">
        <f>HYPERLINK("https://hsdes.intel.com/resource/14013157315","14013157315")</f>
        <v>14013157315</v>
      </c>
      <c r="B202" t="s">
        <v>496</v>
      </c>
      <c r="C202" t="s">
        <v>12</v>
      </c>
      <c r="D202" t="s">
        <v>497</v>
      </c>
      <c r="E202" t="s">
        <v>14</v>
      </c>
      <c r="F202" t="s">
        <v>498</v>
      </c>
      <c r="G202" t="s">
        <v>31</v>
      </c>
      <c r="H202" s="2">
        <v>44792</v>
      </c>
      <c r="I202" t="s">
        <v>38</v>
      </c>
      <c r="J202" t="s">
        <v>77</v>
      </c>
      <c r="L202" t="s">
        <v>78</v>
      </c>
      <c r="M202" t="s">
        <v>26</v>
      </c>
    </row>
    <row r="203" spans="1:13" x14ac:dyDescent="0.3">
      <c r="A203" t="str">
        <f>HYPERLINK("https://hsdes.intel.com/resource/14013157317","14013157317")</f>
        <v>14013157317</v>
      </c>
      <c r="B203" t="s">
        <v>499</v>
      </c>
      <c r="C203" t="s">
        <v>12</v>
      </c>
      <c r="D203" t="s">
        <v>500</v>
      </c>
      <c r="E203" t="s">
        <v>14</v>
      </c>
      <c r="G203" t="s">
        <v>31</v>
      </c>
      <c r="H203" s="2">
        <v>44792</v>
      </c>
      <c r="I203" t="s">
        <v>38</v>
      </c>
      <c r="J203" t="s">
        <v>77</v>
      </c>
      <c r="L203" t="s">
        <v>78</v>
      </c>
      <c r="M203" t="s">
        <v>26</v>
      </c>
    </row>
    <row r="204" spans="1:13" x14ac:dyDescent="0.3">
      <c r="A204" t="str">
        <f>HYPERLINK("https://hsdes.intel.com/resource/14013157319","14013157319")</f>
        <v>14013157319</v>
      </c>
      <c r="B204" t="s">
        <v>501</v>
      </c>
      <c r="C204" t="s">
        <v>12</v>
      </c>
      <c r="D204" t="s">
        <v>502</v>
      </c>
      <c r="E204" t="s">
        <v>14</v>
      </c>
      <c r="G204" t="s">
        <v>81</v>
      </c>
      <c r="H204" s="2">
        <v>44792</v>
      </c>
      <c r="I204" t="s">
        <v>38</v>
      </c>
      <c r="J204" t="s">
        <v>77</v>
      </c>
      <c r="L204" t="s">
        <v>78</v>
      </c>
      <c r="M204" t="s">
        <v>26</v>
      </c>
    </row>
    <row r="205" spans="1:13" x14ac:dyDescent="0.3">
      <c r="A205" t="str">
        <f>HYPERLINK("https://hsdes.intel.com/resource/14013157332","14013157332")</f>
        <v>14013157332</v>
      </c>
      <c r="B205" t="s">
        <v>503</v>
      </c>
      <c r="C205" t="s">
        <v>12</v>
      </c>
      <c r="D205" t="s">
        <v>504</v>
      </c>
      <c r="E205" t="s">
        <v>14</v>
      </c>
      <c r="G205" t="s">
        <v>72</v>
      </c>
      <c r="H205" s="2">
        <v>44784</v>
      </c>
      <c r="I205" t="s">
        <v>38</v>
      </c>
      <c r="J205" t="s">
        <v>77</v>
      </c>
      <c r="L205" t="s">
        <v>78</v>
      </c>
      <c r="M205" t="s">
        <v>26</v>
      </c>
    </row>
    <row r="206" spans="1:13" x14ac:dyDescent="0.3">
      <c r="A206" t="str">
        <f>HYPERLINK("https://hsdes.intel.com/resource/14013157335","14013157335")</f>
        <v>14013157335</v>
      </c>
      <c r="B206" t="s">
        <v>505</v>
      </c>
      <c r="C206" t="s">
        <v>12</v>
      </c>
      <c r="D206" t="s">
        <v>506</v>
      </c>
      <c r="E206" t="s">
        <v>14</v>
      </c>
      <c r="F206" t="s">
        <v>507</v>
      </c>
      <c r="G206" t="s">
        <v>57</v>
      </c>
      <c r="H206" s="2">
        <v>44786</v>
      </c>
      <c r="I206" t="s">
        <v>16</v>
      </c>
      <c r="J206" t="s">
        <v>39</v>
      </c>
      <c r="L206" t="s">
        <v>40</v>
      </c>
      <c r="M206" t="s">
        <v>26</v>
      </c>
    </row>
    <row r="207" spans="1:13" x14ac:dyDescent="0.3">
      <c r="A207" t="str">
        <f>HYPERLINK("https://hsdes.intel.com/resource/14013157343","14013157343")</f>
        <v>14013157343</v>
      </c>
      <c r="B207" t="s">
        <v>508</v>
      </c>
      <c r="C207" t="s">
        <v>12</v>
      </c>
      <c r="D207" t="s">
        <v>509</v>
      </c>
      <c r="E207" t="s">
        <v>14</v>
      </c>
      <c r="G207" t="s">
        <v>72</v>
      </c>
      <c r="H207" s="2">
        <v>44784</v>
      </c>
      <c r="I207" t="s">
        <v>38</v>
      </c>
      <c r="J207" t="s">
        <v>77</v>
      </c>
      <c r="L207" t="s">
        <v>78</v>
      </c>
      <c r="M207" t="s">
        <v>26</v>
      </c>
    </row>
    <row r="208" spans="1:13" x14ac:dyDescent="0.3">
      <c r="A208" t="str">
        <f>HYPERLINK("https://hsdes.intel.com/resource/14013157345","14013157345")</f>
        <v>14013157345</v>
      </c>
      <c r="B208" t="s">
        <v>510</v>
      </c>
      <c r="C208" t="s">
        <v>12</v>
      </c>
      <c r="D208" t="s">
        <v>511</v>
      </c>
      <c r="E208" t="s">
        <v>120</v>
      </c>
      <c r="G208" t="s">
        <v>63</v>
      </c>
      <c r="H208" s="2">
        <v>44789</v>
      </c>
      <c r="I208" t="s">
        <v>38</v>
      </c>
      <c r="J208" t="s">
        <v>77</v>
      </c>
      <c r="L208" t="s">
        <v>78</v>
      </c>
      <c r="M208" t="s">
        <v>26</v>
      </c>
    </row>
    <row r="209" spans="1:13" x14ac:dyDescent="0.3">
      <c r="A209" t="str">
        <f>HYPERLINK("https://hsdes.intel.com/resource/14013157347","14013157347")</f>
        <v>14013157347</v>
      </c>
      <c r="B209" t="s">
        <v>512</v>
      </c>
      <c r="C209" t="s">
        <v>12</v>
      </c>
      <c r="D209" t="s">
        <v>513</v>
      </c>
      <c r="E209" t="s">
        <v>14</v>
      </c>
      <c r="G209" t="s">
        <v>63</v>
      </c>
      <c r="H209" s="2">
        <v>44789</v>
      </c>
      <c r="I209" t="s">
        <v>38</v>
      </c>
      <c r="J209" t="s">
        <v>77</v>
      </c>
      <c r="L209" t="s">
        <v>78</v>
      </c>
      <c r="M209" t="s">
        <v>26</v>
      </c>
    </row>
    <row r="210" spans="1:13" x14ac:dyDescent="0.3">
      <c r="A210" t="str">
        <f>HYPERLINK("https://hsdes.intel.com/resource/14013157360","14013157360")</f>
        <v>14013157360</v>
      </c>
      <c r="B210" t="s">
        <v>514</v>
      </c>
      <c r="C210" t="s">
        <v>12</v>
      </c>
      <c r="D210" t="s">
        <v>515</v>
      </c>
      <c r="E210" t="s">
        <v>14</v>
      </c>
      <c r="G210" t="s">
        <v>69</v>
      </c>
      <c r="H210" s="2">
        <v>44785</v>
      </c>
      <c r="I210" t="s">
        <v>38</v>
      </c>
      <c r="J210" t="s">
        <v>77</v>
      </c>
      <c r="L210" t="s">
        <v>78</v>
      </c>
      <c r="M210" t="s">
        <v>26</v>
      </c>
    </row>
    <row r="211" spans="1:13" x14ac:dyDescent="0.3">
      <c r="A211" t="str">
        <f>HYPERLINK("https://hsdes.intel.com/resource/14013157372","14013157372")</f>
        <v>14013157372</v>
      </c>
      <c r="B211" t="s">
        <v>516</v>
      </c>
      <c r="C211" t="s">
        <v>12</v>
      </c>
      <c r="D211" t="s">
        <v>517</v>
      </c>
      <c r="E211" t="s">
        <v>14</v>
      </c>
      <c r="G211" t="s">
        <v>63</v>
      </c>
      <c r="H211" s="2">
        <v>44789</v>
      </c>
      <c r="I211" t="s">
        <v>38</v>
      </c>
      <c r="J211" t="s">
        <v>77</v>
      </c>
      <c r="L211" t="s">
        <v>78</v>
      </c>
      <c r="M211" t="s">
        <v>26</v>
      </c>
    </row>
    <row r="212" spans="1:13" x14ac:dyDescent="0.3">
      <c r="A212" t="str">
        <f>HYPERLINK("https://hsdes.intel.com/resource/14013157378","14013157378")</f>
        <v>14013157378</v>
      </c>
      <c r="B212" t="s">
        <v>518</v>
      </c>
      <c r="C212" t="s">
        <v>12</v>
      </c>
      <c r="D212" t="s">
        <v>519</v>
      </c>
      <c r="E212" t="s">
        <v>14</v>
      </c>
      <c r="G212" t="s">
        <v>63</v>
      </c>
      <c r="H212" s="2">
        <v>44789</v>
      </c>
      <c r="I212" t="s">
        <v>38</v>
      </c>
      <c r="J212" t="s">
        <v>77</v>
      </c>
      <c r="L212" t="s">
        <v>78</v>
      </c>
      <c r="M212" t="s">
        <v>26</v>
      </c>
    </row>
    <row r="213" spans="1:13" x14ac:dyDescent="0.3">
      <c r="A213" t="str">
        <f>HYPERLINK("https://hsdes.intel.com/resource/14013157437","14013157437")</f>
        <v>14013157437</v>
      </c>
      <c r="B213" t="s">
        <v>520</v>
      </c>
      <c r="C213" t="s">
        <v>12</v>
      </c>
      <c r="D213" t="s">
        <v>521</v>
      </c>
      <c r="E213" t="s">
        <v>14</v>
      </c>
      <c r="G213" t="s">
        <v>72</v>
      </c>
      <c r="H213" s="2">
        <v>44783</v>
      </c>
      <c r="I213" t="s">
        <v>38</v>
      </c>
      <c r="J213" t="s">
        <v>77</v>
      </c>
      <c r="L213" t="s">
        <v>78</v>
      </c>
      <c r="M213" t="s">
        <v>26</v>
      </c>
    </row>
    <row r="214" spans="1:13" x14ac:dyDescent="0.3">
      <c r="A214" t="str">
        <f>HYPERLINK("https://hsdes.intel.com/resource/14013157449","14013157449")</f>
        <v>14013157449</v>
      </c>
      <c r="B214" t="s">
        <v>522</v>
      </c>
      <c r="C214" t="s">
        <v>12</v>
      </c>
      <c r="D214" t="s">
        <v>523</v>
      </c>
      <c r="E214" t="s">
        <v>14</v>
      </c>
      <c r="G214" t="s">
        <v>57</v>
      </c>
      <c r="H214" s="2">
        <v>44786</v>
      </c>
      <c r="I214" t="s">
        <v>16</v>
      </c>
      <c r="J214" t="s">
        <v>39</v>
      </c>
      <c r="L214" t="s">
        <v>40</v>
      </c>
      <c r="M214" t="s">
        <v>22</v>
      </c>
    </row>
    <row r="215" spans="1:13" x14ac:dyDescent="0.3">
      <c r="A215" t="str">
        <f>HYPERLINK("https://hsdes.intel.com/resource/14013157450","14013157450")</f>
        <v>14013157450</v>
      </c>
      <c r="B215" t="s">
        <v>524</v>
      </c>
      <c r="C215" t="s">
        <v>12</v>
      </c>
      <c r="D215" t="s">
        <v>525</v>
      </c>
      <c r="E215" t="s">
        <v>14</v>
      </c>
      <c r="G215" t="s">
        <v>57</v>
      </c>
      <c r="H215" s="2">
        <v>44786</v>
      </c>
      <c r="I215" t="s">
        <v>16</v>
      </c>
      <c r="J215" t="s">
        <v>39</v>
      </c>
      <c r="L215" t="s">
        <v>40</v>
      </c>
      <c r="M215" t="s">
        <v>22</v>
      </c>
    </row>
    <row r="216" spans="1:13" x14ac:dyDescent="0.3">
      <c r="A216" t="str">
        <f>HYPERLINK("https://hsdes.intel.com/resource/14013157452","14013157452")</f>
        <v>14013157452</v>
      </c>
      <c r="B216" t="s">
        <v>526</v>
      </c>
      <c r="C216" t="s">
        <v>12</v>
      </c>
      <c r="D216" t="s">
        <v>527</v>
      </c>
      <c r="E216" t="s">
        <v>14</v>
      </c>
      <c r="F216" t="s">
        <v>528</v>
      </c>
      <c r="G216" t="s">
        <v>57</v>
      </c>
      <c r="H216" s="2">
        <v>44786</v>
      </c>
      <c r="I216" t="s">
        <v>16</v>
      </c>
      <c r="J216" t="s">
        <v>39</v>
      </c>
      <c r="L216" t="s">
        <v>40</v>
      </c>
      <c r="M216" t="s">
        <v>22</v>
      </c>
    </row>
    <row r="217" spans="1:13" x14ac:dyDescent="0.3">
      <c r="A217" t="str">
        <f>HYPERLINK("https://hsdes.intel.com/resource/14013157454","14013157454")</f>
        <v>14013157454</v>
      </c>
      <c r="B217" t="s">
        <v>529</v>
      </c>
      <c r="C217" t="s">
        <v>12</v>
      </c>
      <c r="D217" t="s">
        <v>530</v>
      </c>
      <c r="E217" t="s">
        <v>14</v>
      </c>
      <c r="G217" t="s">
        <v>57</v>
      </c>
      <c r="H217" s="2">
        <v>44786</v>
      </c>
      <c r="I217" t="s">
        <v>16</v>
      </c>
      <c r="J217" t="s">
        <v>39</v>
      </c>
      <c r="L217" t="s">
        <v>40</v>
      </c>
      <c r="M217" t="s">
        <v>26</v>
      </c>
    </row>
    <row r="218" spans="1:13" x14ac:dyDescent="0.3">
      <c r="A218" t="str">
        <f>HYPERLINK("https://hsdes.intel.com/resource/14013157474","14013157474")</f>
        <v>14013157474</v>
      </c>
      <c r="B218" t="s">
        <v>531</v>
      </c>
      <c r="C218" t="s">
        <v>12</v>
      </c>
      <c r="D218" t="s">
        <v>532</v>
      </c>
      <c r="E218" t="s">
        <v>14</v>
      </c>
      <c r="G218" t="s">
        <v>69</v>
      </c>
      <c r="H218" s="2">
        <v>44785</v>
      </c>
      <c r="I218" t="s">
        <v>38</v>
      </c>
      <c r="J218" t="s">
        <v>77</v>
      </c>
      <c r="L218" t="s">
        <v>78</v>
      </c>
      <c r="M218" t="s">
        <v>26</v>
      </c>
    </row>
    <row r="219" spans="1:13" x14ac:dyDescent="0.3">
      <c r="A219" t="str">
        <f>HYPERLINK("https://hsdes.intel.com/resource/14013157476","14013157476")</f>
        <v>14013157476</v>
      </c>
      <c r="B219" t="s">
        <v>533</v>
      </c>
      <c r="C219" t="s">
        <v>12</v>
      </c>
      <c r="D219" t="s">
        <v>534</v>
      </c>
      <c r="E219" t="s">
        <v>14</v>
      </c>
      <c r="G219" t="s">
        <v>69</v>
      </c>
      <c r="H219" s="2">
        <v>44785</v>
      </c>
      <c r="I219" t="s">
        <v>38</v>
      </c>
      <c r="J219" t="s">
        <v>77</v>
      </c>
      <c r="L219" t="s">
        <v>78</v>
      </c>
      <c r="M219" t="s">
        <v>26</v>
      </c>
    </row>
    <row r="220" spans="1:13" x14ac:dyDescent="0.3">
      <c r="A220" t="str">
        <f>HYPERLINK("https://hsdes.intel.com/resource/14013157506","14013157506")</f>
        <v>14013157506</v>
      </c>
      <c r="B220" t="s">
        <v>535</v>
      </c>
      <c r="C220" t="s">
        <v>12</v>
      </c>
      <c r="D220" t="s">
        <v>536</v>
      </c>
      <c r="E220" t="s">
        <v>14</v>
      </c>
      <c r="G220" t="s">
        <v>69</v>
      </c>
      <c r="H220" s="2">
        <v>44785</v>
      </c>
      <c r="I220" t="s">
        <v>38</v>
      </c>
      <c r="J220" t="s">
        <v>77</v>
      </c>
      <c r="L220" t="s">
        <v>78</v>
      </c>
      <c r="M220" t="s">
        <v>26</v>
      </c>
    </row>
    <row r="221" spans="1:13" x14ac:dyDescent="0.3">
      <c r="A221" t="str">
        <f>HYPERLINK("https://hsdes.intel.com/resource/14013157514","14013157514")</f>
        <v>14013157514</v>
      </c>
      <c r="B221" t="s">
        <v>537</v>
      </c>
      <c r="C221" t="s">
        <v>12</v>
      </c>
      <c r="D221" t="s">
        <v>538</v>
      </c>
      <c r="E221" t="s">
        <v>14</v>
      </c>
      <c r="F221" t="s">
        <v>539</v>
      </c>
      <c r="G221" t="s">
        <v>69</v>
      </c>
      <c r="H221" s="2">
        <v>44785</v>
      </c>
      <c r="I221" t="s">
        <v>38</v>
      </c>
      <c r="J221" t="s">
        <v>77</v>
      </c>
      <c r="L221" t="s">
        <v>78</v>
      </c>
      <c r="M221" t="s">
        <v>26</v>
      </c>
    </row>
    <row r="222" spans="1:13" x14ac:dyDescent="0.3">
      <c r="A222" t="str">
        <f>HYPERLINK("https://hsdes.intel.com/resource/14013157520","14013157520")</f>
        <v>14013157520</v>
      </c>
      <c r="B222" s="8" t="s">
        <v>540</v>
      </c>
      <c r="C222" t="s">
        <v>12</v>
      </c>
      <c r="D222" t="s">
        <v>541</v>
      </c>
      <c r="E222" t="s">
        <v>14</v>
      </c>
      <c r="G222" t="s">
        <v>63</v>
      </c>
      <c r="H222" s="2">
        <v>44789</v>
      </c>
      <c r="I222" t="s">
        <v>38</v>
      </c>
      <c r="J222" t="s">
        <v>77</v>
      </c>
      <c r="L222" t="s">
        <v>78</v>
      </c>
      <c r="M222" t="s">
        <v>26</v>
      </c>
    </row>
    <row r="223" spans="1:13" x14ac:dyDescent="0.3">
      <c r="A223" t="str">
        <f>HYPERLINK("https://hsdes.intel.com/resource/14013157529","14013157529")</f>
        <v>14013157529</v>
      </c>
      <c r="B223" t="s">
        <v>542</v>
      </c>
      <c r="C223" t="s">
        <v>12</v>
      </c>
      <c r="D223" t="s">
        <v>543</v>
      </c>
      <c r="E223" t="s">
        <v>14</v>
      </c>
      <c r="G223" t="s">
        <v>69</v>
      </c>
      <c r="H223" s="2">
        <v>44785</v>
      </c>
      <c r="I223" t="s">
        <v>38</v>
      </c>
      <c r="J223" t="s">
        <v>77</v>
      </c>
      <c r="L223" t="s">
        <v>78</v>
      </c>
      <c r="M223" t="s">
        <v>26</v>
      </c>
    </row>
    <row r="224" spans="1:13" x14ac:dyDescent="0.3">
      <c r="A224" t="str">
        <f>HYPERLINK("https://hsdes.intel.com/resource/14013157531","14013157531")</f>
        <v>14013157531</v>
      </c>
      <c r="B224" t="s">
        <v>544</v>
      </c>
      <c r="C224" t="s">
        <v>12</v>
      </c>
      <c r="D224" t="s">
        <v>545</v>
      </c>
      <c r="E224" t="s">
        <v>14</v>
      </c>
      <c r="G224" t="s">
        <v>69</v>
      </c>
      <c r="H224" s="2">
        <v>44785</v>
      </c>
      <c r="I224" t="s">
        <v>38</v>
      </c>
      <c r="J224" t="s">
        <v>77</v>
      </c>
      <c r="L224" t="s">
        <v>78</v>
      </c>
      <c r="M224" t="s">
        <v>26</v>
      </c>
    </row>
    <row r="225" spans="1:13" x14ac:dyDescent="0.3">
      <c r="A225" t="str">
        <f>HYPERLINK("https://hsdes.intel.com/resource/14013157558","14013157558")</f>
        <v>14013157558</v>
      </c>
      <c r="B225" t="s">
        <v>546</v>
      </c>
      <c r="C225" t="s">
        <v>12</v>
      </c>
      <c r="D225" t="s">
        <v>547</v>
      </c>
      <c r="E225" t="s">
        <v>14</v>
      </c>
      <c r="G225" t="s">
        <v>15</v>
      </c>
      <c r="H225" s="2">
        <v>44789</v>
      </c>
      <c r="I225" t="s">
        <v>16</v>
      </c>
      <c r="J225" t="s">
        <v>483</v>
      </c>
      <c r="L225" t="s">
        <v>40</v>
      </c>
      <c r="M225" t="s">
        <v>22</v>
      </c>
    </row>
    <row r="226" spans="1:13" x14ac:dyDescent="0.3">
      <c r="A226" t="str">
        <f>HYPERLINK("https://hsdes.intel.com/resource/14013157560","14013157560")</f>
        <v>14013157560</v>
      </c>
      <c r="B226" t="s">
        <v>548</v>
      </c>
      <c r="C226" t="s">
        <v>12</v>
      </c>
      <c r="D226" t="s">
        <v>549</v>
      </c>
      <c r="E226" t="s">
        <v>14</v>
      </c>
      <c r="F226" t="s">
        <v>550</v>
      </c>
      <c r="G226" t="s">
        <v>69</v>
      </c>
      <c r="H226" s="2">
        <v>44785</v>
      </c>
      <c r="I226" t="s">
        <v>38</v>
      </c>
      <c r="J226" t="s">
        <v>77</v>
      </c>
      <c r="L226" t="s">
        <v>78</v>
      </c>
      <c r="M226" t="s">
        <v>26</v>
      </c>
    </row>
    <row r="227" spans="1:13" x14ac:dyDescent="0.3">
      <c r="A227" t="str">
        <f>HYPERLINK("https://hsdes.intel.com/resource/14013157562","14013157562")</f>
        <v>14013157562</v>
      </c>
      <c r="B227" t="s">
        <v>551</v>
      </c>
      <c r="C227" t="s">
        <v>12</v>
      </c>
      <c r="D227" t="s">
        <v>552</v>
      </c>
      <c r="E227" t="s">
        <v>14</v>
      </c>
      <c r="G227" t="s">
        <v>69</v>
      </c>
      <c r="H227" s="2">
        <v>44785</v>
      </c>
      <c r="I227" t="s">
        <v>38</v>
      </c>
      <c r="J227" t="s">
        <v>77</v>
      </c>
      <c r="L227" t="s">
        <v>78</v>
      </c>
      <c r="M227" t="s">
        <v>26</v>
      </c>
    </row>
    <row r="228" spans="1:13" x14ac:dyDescent="0.3">
      <c r="A228" t="str">
        <f>HYPERLINK("https://hsdes.intel.com/resource/14013157564","14013157564")</f>
        <v>14013157564</v>
      </c>
      <c r="B228" t="s">
        <v>553</v>
      </c>
      <c r="C228" t="s">
        <v>12</v>
      </c>
      <c r="D228" t="s">
        <v>554</v>
      </c>
      <c r="E228" t="s">
        <v>14</v>
      </c>
      <c r="G228" t="s">
        <v>63</v>
      </c>
      <c r="H228" s="2">
        <v>44789</v>
      </c>
      <c r="I228" t="s">
        <v>38</v>
      </c>
      <c r="J228" t="s">
        <v>77</v>
      </c>
      <c r="L228" t="s">
        <v>78</v>
      </c>
      <c r="M228" t="s">
        <v>26</v>
      </c>
    </row>
    <row r="229" spans="1:13" x14ac:dyDescent="0.3">
      <c r="A229" t="str">
        <f>HYPERLINK("https://hsdes.intel.com/resource/14013157573","14013157573")</f>
        <v>14013157573</v>
      </c>
      <c r="B229" t="s">
        <v>555</v>
      </c>
      <c r="C229" t="s">
        <v>12</v>
      </c>
      <c r="D229" t="s">
        <v>556</v>
      </c>
      <c r="E229" t="s">
        <v>14</v>
      </c>
      <c r="G229" t="s">
        <v>63</v>
      </c>
      <c r="H229" s="2">
        <v>44789</v>
      </c>
      <c r="I229" t="s">
        <v>38</v>
      </c>
      <c r="J229" t="s">
        <v>77</v>
      </c>
      <c r="L229" t="s">
        <v>78</v>
      </c>
      <c r="M229" t="s">
        <v>22</v>
      </c>
    </row>
    <row r="230" spans="1:13" x14ac:dyDescent="0.3">
      <c r="A230" t="str">
        <f>HYPERLINK("https://hsdes.intel.com/resource/14013157584","14013157584")</f>
        <v>14013157584</v>
      </c>
      <c r="B230" t="s">
        <v>557</v>
      </c>
      <c r="C230" t="s">
        <v>12</v>
      </c>
      <c r="D230" t="s">
        <v>558</v>
      </c>
      <c r="E230" t="s">
        <v>14</v>
      </c>
      <c r="F230" t="s">
        <v>559</v>
      </c>
      <c r="G230" t="s">
        <v>15</v>
      </c>
      <c r="H230" s="2">
        <v>44789</v>
      </c>
      <c r="I230" t="s">
        <v>32</v>
      </c>
      <c r="J230" t="s">
        <v>33</v>
      </c>
      <c r="L230" t="s">
        <v>34</v>
      </c>
      <c r="M230" t="s">
        <v>26</v>
      </c>
    </row>
    <row r="231" spans="1:13" x14ac:dyDescent="0.3">
      <c r="A231" t="str">
        <f>HYPERLINK("https://hsdes.intel.com/resource/14013157619","14013157619")</f>
        <v>14013157619</v>
      </c>
      <c r="B231" t="s">
        <v>560</v>
      </c>
      <c r="C231" t="s">
        <v>12</v>
      </c>
      <c r="D231" t="s">
        <v>561</v>
      </c>
      <c r="E231" t="s">
        <v>14</v>
      </c>
      <c r="G231" t="s">
        <v>37</v>
      </c>
      <c r="I231" t="s">
        <v>32</v>
      </c>
      <c r="J231" t="s">
        <v>33</v>
      </c>
      <c r="L231" t="s">
        <v>34</v>
      </c>
      <c r="M231" t="s">
        <v>26</v>
      </c>
    </row>
    <row r="232" spans="1:13" x14ac:dyDescent="0.3">
      <c r="A232" t="str">
        <f>HYPERLINK("https://hsdes.intel.com/resource/14013157625","14013157625")</f>
        <v>14013157625</v>
      </c>
      <c r="B232" t="s">
        <v>562</v>
      </c>
      <c r="C232" t="s">
        <v>12</v>
      </c>
      <c r="D232" t="s">
        <v>563</v>
      </c>
      <c r="E232" t="s">
        <v>14</v>
      </c>
      <c r="G232" t="s">
        <v>69</v>
      </c>
      <c r="H232" s="2">
        <v>44785</v>
      </c>
      <c r="I232" t="s">
        <v>38</v>
      </c>
      <c r="L232" t="s">
        <v>78</v>
      </c>
      <c r="M232" t="s">
        <v>26</v>
      </c>
    </row>
    <row r="233" spans="1:13" x14ac:dyDescent="0.3">
      <c r="A233" t="str">
        <f>HYPERLINK("https://hsdes.intel.com/resource/14013157627","14013157627")</f>
        <v>14013157627</v>
      </c>
      <c r="B233" t="s">
        <v>564</v>
      </c>
      <c r="C233" t="s">
        <v>12</v>
      </c>
      <c r="D233" t="s">
        <v>565</v>
      </c>
      <c r="E233" t="s">
        <v>14</v>
      </c>
      <c r="G233" t="s">
        <v>63</v>
      </c>
      <c r="H233" s="2">
        <v>44789</v>
      </c>
      <c r="I233" t="s">
        <v>38</v>
      </c>
      <c r="J233" t="s">
        <v>77</v>
      </c>
      <c r="L233" t="s">
        <v>78</v>
      </c>
      <c r="M233" t="s">
        <v>26</v>
      </c>
    </row>
    <row r="234" spans="1:13" x14ac:dyDescent="0.3">
      <c r="A234" t="str">
        <f>HYPERLINK("https://hsdes.intel.com/resource/14013157652","14013157652")</f>
        <v>14013157652</v>
      </c>
      <c r="B234" t="s">
        <v>566</v>
      </c>
      <c r="C234" t="s">
        <v>12</v>
      </c>
      <c r="D234" t="s">
        <v>567</v>
      </c>
      <c r="E234" t="s">
        <v>14</v>
      </c>
      <c r="G234" t="s">
        <v>37</v>
      </c>
      <c r="I234" t="s">
        <v>32</v>
      </c>
      <c r="J234" t="s">
        <v>33</v>
      </c>
      <c r="L234" t="s">
        <v>34</v>
      </c>
      <c r="M234" t="s">
        <v>26</v>
      </c>
    </row>
    <row r="235" spans="1:13" x14ac:dyDescent="0.3">
      <c r="A235" t="str">
        <f>HYPERLINK("https://hsdes.intel.com/resource/14013157670","14013157670")</f>
        <v>14013157670</v>
      </c>
      <c r="B235" t="s">
        <v>568</v>
      </c>
      <c r="C235" t="s">
        <v>12</v>
      </c>
      <c r="D235" t="s">
        <v>569</v>
      </c>
      <c r="E235" t="s">
        <v>14</v>
      </c>
      <c r="G235" t="s">
        <v>72</v>
      </c>
      <c r="H235" s="2">
        <v>44800</v>
      </c>
      <c r="I235" t="s">
        <v>32</v>
      </c>
      <c r="J235" t="s">
        <v>46</v>
      </c>
      <c r="L235" t="s">
        <v>177</v>
      </c>
      <c r="M235" t="s">
        <v>22</v>
      </c>
    </row>
    <row r="236" spans="1:13" x14ac:dyDescent="0.3">
      <c r="A236" t="str">
        <f>HYPERLINK("https://hsdes.intel.com/resource/14013157672","14013157672")</f>
        <v>14013157672</v>
      </c>
      <c r="B236" t="s">
        <v>570</v>
      </c>
      <c r="C236" t="s">
        <v>12</v>
      </c>
      <c r="D236" t="s">
        <v>571</v>
      </c>
      <c r="E236" t="s">
        <v>14</v>
      </c>
      <c r="G236" t="s">
        <v>15</v>
      </c>
      <c r="H236" s="2">
        <v>44784</v>
      </c>
      <c r="I236" t="s">
        <v>38</v>
      </c>
      <c r="J236" t="s">
        <v>77</v>
      </c>
      <c r="L236" t="s">
        <v>78</v>
      </c>
      <c r="M236" t="s">
        <v>26</v>
      </c>
    </row>
    <row r="237" spans="1:13" x14ac:dyDescent="0.3">
      <c r="A237" t="str">
        <f>HYPERLINK("https://hsdes.intel.com/resource/14013157676","14013157676")</f>
        <v>14013157676</v>
      </c>
      <c r="B237" t="s">
        <v>572</v>
      </c>
      <c r="C237" t="s">
        <v>12</v>
      </c>
      <c r="D237" t="s">
        <v>573</v>
      </c>
      <c r="E237" t="s">
        <v>120</v>
      </c>
      <c r="F237" t="s">
        <v>3467</v>
      </c>
      <c r="G237" t="s">
        <v>57</v>
      </c>
      <c r="H237" s="2">
        <v>44798</v>
      </c>
      <c r="I237" t="s">
        <v>38</v>
      </c>
      <c r="J237" t="s">
        <v>77</v>
      </c>
      <c r="L237" t="s">
        <v>78</v>
      </c>
      <c r="M237" t="s">
        <v>26</v>
      </c>
    </row>
    <row r="238" spans="1:13" x14ac:dyDescent="0.3">
      <c r="A238" t="str">
        <f>HYPERLINK("https://hsdes.intel.com/resource/14013157677","14013157677")</f>
        <v>14013157677</v>
      </c>
      <c r="B238" t="s">
        <v>574</v>
      </c>
      <c r="C238" t="s">
        <v>12</v>
      </c>
      <c r="D238" t="s">
        <v>575</v>
      </c>
      <c r="E238" t="s">
        <v>14</v>
      </c>
      <c r="G238" t="s">
        <v>15</v>
      </c>
      <c r="H238" s="2">
        <v>44784</v>
      </c>
      <c r="I238" t="s">
        <v>38</v>
      </c>
      <c r="J238" t="s">
        <v>77</v>
      </c>
      <c r="L238" t="s">
        <v>78</v>
      </c>
      <c r="M238" t="s">
        <v>26</v>
      </c>
    </row>
    <row r="239" spans="1:13" x14ac:dyDescent="0.3">
      <c r="A239" t="str">
        <f>HYPERLINK("https://hsdes.intel.com/resource/14013157679","14013157679")</f>
        <v>14013157679</v>
      </c>
      <c r="B239" t="s">
        <v>576</v>
      </c>
      <c r="C239" t="s">
        <v>12</v>
      </c>
      <c r="D239" t="s">
        <v>577</v>
      </c>
      <c r="E239" t="s">
        <v>14</v>
      </c>
      <c r="F239" t="s">
        <v>578</v>
      </c>
      <c r="G239" t="s">
        <v>31</v>
      </c>
      <c r="H239" s="2">
        <v>44790</v>
      </c>
      <c r="I239" t="s">
        <v>38</v>
      </c>
      <c r="J239" t="s">
        <v>77</v>
      </c>
      <c r="L239" t="s">
        <v>78</v>
      </c>
      <c r="M239" t="s">
        <v>26</v>
      </c>
    </row>
    <row r="240" spans="1:13" x14ac:dyDescent="0.3">
      <c r="A240" t="str">
        <f>HYPERLINK("https://hsdes.intel.com/resource/14013157684","14013157684")</f>
        <v>14013157684</v>
      </c>
      <c r="B240" t="s">
        <v>579</v>
      </c>
      <c r="C240" t="s">
        <v>12</v>
      </c>
      <c r="D240" t="s">
        <v>580</v>
      </c>
      <c r="E240" t="s">
        <v>14</v>
      </c>
      <c r="G240" t="s">
        <v>31</v>
      </c>
      <c r="H240" s="2">
        <v>44799</v>
      </c>
      <c r="I240" t="s">
        <v>38</v>
      </c>
      <c r="J240" t="s">
        <v>77</v>
      </c>
      <c r="L240" t="s">
        <v>78</v>
      </c>
      <c r="M240" t="s">
        <v>26</v>
      </c>
    </row>
    <row r="241" spans="1:13" x14ac:dyDescent="0.3">
      <c r="A241" t="str">
        <f>HYPERLINK("https://hsdes.intel.com/resource/14013157693","14013157693")</f>
        <v>14013157693</v>
      </c>
      <c r="B241" t="s">
        <v>581</v>
      </c>
      <c r="C241" t="s">
        <v>12</v>
      </c>
      <c r="D241" t="s">
        <v>582</v>
      </c>
      <c r="E241" t="s">
        <v>14</v>
      </c>
      <c r="G241" t="s">
        <v>15</v>
      </c>
      <c r="H241" s="2">
        <v>44784</v>
      </c>
      <c r="I241" t="s">
        <v>38</v>
      </c>
      <c r="J241" t="s">
        <v>77</v>
      </c>
      <c r="L241" t="s">
        <v>78</v>
      </c>
      <c r="M241" t="s">
        <v>26</v>
      </c>
    </row>
    <row r="242" spans="1:13" x14ac:dyDescent="0.3">
      <c r="A242" t="str">
        <f>HYPERLINK("https://hsdes.intel.com/resource/14013157705","14013157705")</f>
        <v>14013157705</v>
      </c>
      <c r="B242" t="s">
        <v>583</v>
      </c>
      <c r="C242" t="s">
        <v>12</v>
      </c>
      <c r="D242" t="s">
        <v>584</v>
      </c>
      <c r="E242" t="s">
        <v>14</v>
      </c>
      <c r="G242" t="s">
        <v>15</v>
      </c>
      <c r="H242" s="2">
        <v>44783</v>
      </c>
      <c r="I242" t="s">
        <v>16</v>
      </c>
      <c r="J242" t="s">
        <v>17</v>
      </c>
      <c r="L242" t="s">
        <v>18</v>
      </c>
      <c r="M242" t="s">
        <v>19</v>
      </c>
    </row>
    <row r="243" spans="1:13" x14ac:dyDescent="0.3">
      <c r="A243" t="str">
        <f>HYPERLINK("https://hsdes.intel.com/resource/14013157715","14013157715")</f>
        <v>14013157715</v>
      </c>
      <c r="B243" t="s">
        <v>585</v>
      </c>
      <c r="C243" t="s">
        <v>12</v>
      </c>
      <c r="D243" t="s">
        <v>586</v>
      </c>
      <c r="E243" t="s">
        <v>14</v>
      </c>
      <c r="F243" t="s">
        <v>587</v>
      </c>
      <c r="G243" t="s">
        <v>15</v>
      </c>
      <c r="H243" s="2">
        <v>44784</v>
      </c>
      <c r="I243" t="s">
        <v>38</v>
      </c>
      <c r="J243" t="s">
        <v>77</v>
      </c>
      <c r="L243" t="s">
        <v>78</v>
      </c>
      <c r="M243" t="s">
        <v>26</v>
      </c>
    </row>
    <row r="244" spans="1:13" x14ac:dyDescent="0.3">
      <c r="A244" t="str">
        <f>HYPERLINK("https://hsdes.intel.com/resource/14013157742","14013157742")</f>
        <v>14013157742</v>
      </c>
      <c r="B244" t="s">
        <v>588</v>
      </c>
      <c r="C244" t="s">
        <v>12</v>
      </c>
      <c r="D244" t="s">
        <v>589</v>
      </c>
      <c r="E244" t="s">
        <v>14</v>
      </c>
      <c r="G244" t="s">
        <v>15</v>
      </c>
      <c r="H244" s="2">
        <v>44785</v>
      </c>
      <c r="I244" t="s">
        <v>38</v>
      </c>
      <c r="J244" t="s">
        <v>77</v>
      </c>
      <c r="L244" t="s">
        <v>78</v>
      </c>
      <c r="M244" t="s">
        <v>26</v>
      </c>
    </row>
    <row r="245" spans="1:13" x14ac:dyDescent="0.3">
      <c r="A245" t="str">
        <f>HYPERLINK("https://hsdes.intel.com/resource/14013157743","14013157743")</f>
        <v>14013157743</v>
      </c>
      <c r="B245" t="s">
        <v>590</v>
      </c>
      <c r="C245" t="s">
        <v>12</v>
      </c>
      <c r="D245" t="s">
        <v>591</v>
      </c>
      <c r="E245" t="s">
        <v>97</v>
      </c>
      <c r="F245" t="s">
        <v>592</v>
      </c>
      <c r="G245" t="s">
        <v>72</v>
      </c>
      <c r="H245" s="2">
        <v>44801</v>
      </c>
      <c r="I245" t="s">
        <v>38</v>
      </c>
      <c r="J245" t="s">
        <v>77</v>
      </c>
      <c r="L245" t="s">
        <v>177</v>
      </c>
      <c r="M245" t="s">
        <v>22</v>
      </c>
    </row>
    <row r="246" spans="1:13" x14ac:dyDescent="0.3">
      <c r="A246" t="str">
        <f>HYPERLINK("https://hsdes.intel.com/resource/14013157749","14013157749")</f>
        <v>14013157749</v>
      </c>
      <c r="B246" t="s">
        <v>593</v>
      </c>
      <c r="C246" t="s">
        <v>12</v>
      </c>
      <c r="D246" t="s">
        <v>594</v>
      </c>
      <c r="E246" t="s">
        <v>14</v>
      </c>
      <c r="G246" t="s">
        <v>37</v>
      </c>
      <c r="I246" t="s">
        <v>32</v>
      </c>
      <c r="J246" t="s">
        <v>33</v>
      </c>
      <c r="L246" t="s">
        <v>34</v>
      </c>
      <c r="M246" t="s">
        <v>26</v>
      </c>
    </row>
    <row r="247" spans="1:13" x14ac:dyDescent="0.3">
      <c r="A247" t="str">
        <f>HYPERLINK("https://hsdes.intel.com/resource/14013157753","14013157753")</f>
        <v>14013157753</v>
      </c>
      <c r="B247" t="s">
        <v>520</v>
      </c>
      <c r="C247" t="s">
        <v>12</v>
      </c>
      <c r="D247" t="s">
        <v>595</v>
      </c>
      <c r="E247" t="s">
        <v>14</v>
      </c>
      <c r="G247" t="s">
        <v>31</v>
      </c>
      <c r="H247" s="2">
        <v>44790</v>
      </c>
      <c r="I247" t="s">
        <v>38</v>
      </c>
      <c r="J247" t="s">
        <v>77</v>
      </c>
      <c r="L247" t="s">
        <v>78</v>
      </c>
      <c r="M247" t="s">
        <v>26</v>
      </c>
    </row>
    <row r="248" spans="1:13" x14ac:dyDescent="0.3">
      <c r="A248" t="str">
        <f>HYPERLINK("https://hsdes.intel.com/resource/14013157784","14013157784")</f>
        <v>14013157784</v>
      </c>
      <c r="B248" t="s">
        <v>596</v>
      </c>
      <c r="C248" t="s">
        <v>12</v>
      </c>
      <c r="D248" t="s">
        <v>597</v>
      </c>
      <c r="E248" t="s">
        <v>14</v>
      </c>
      <c r="G248" t="s">
        <v>43</v>
      </c>
      <c r="H248" s="2">
        <v>44784</v>
      </c>
      <c r="I248" t="s">
        <v>32</v>
      </c>
      <c r="J248" t="s">
        <v>46</v>
      </c>
      <c r="L248" t="s">
        <v>177</v>
      </c>
      <c r="M248" t="s">
        <v>22</v>
      </c>
    </row>
    <row r="249" spans="1:13" x14ac:dyDescent="0.3">
      <c r="A249" t="str">
        <f>HYPERLINK("https://hsdes.intel.com/resource/14013157808","14013157808")</f>
        <v>14013157808</v>
      </c>
      <c r="B249" t="s">
        <v>598</v>
      </c>
      <c r="C249" t="s">
        <v>12</v>
      </c>
      <c r="D249" t="s">
        <v>599</v>
      </c>
      <c r="E249" t="s">
        <v>14</v>
      </c>
      <c r="G249" t="s">
        <v>111</v>
      </c>
      <c r="H249" s="2">
        <v>44783</v>
      </c>
      <c r="I249" t="s">
        <v>38</v>
      </c>
      <c r="J249" t="s">
        <v>77</v>
      </c>
      <c r="L249" t="s">
        <v>78</v>
      </c>
      <c r="M249" t="s">
        <v>26</v>
      </c>
    </row>
    <row r="250" spans="1:13" x14ac:dyDescent="0.3">
      <c r="A250" t="str">
        <f>HYPERLINK("https://hsdes.intel.com/resource/14013157811","14013157811")</f>
        <v>14013157811</v>
      </c>
      <c r="B250" t="s">
        <v>600</v>
      </c>
      <c r="C250" t="s">
        <v>12</v>
      </c>
      <c r="D250" t="s">
        <v>601</v>
      </c>
      <c r="E250" t="s">
        <v>14</v>
      </c>
      <c r="G250" t="s">
        <v>111</v>
      </c>
      <c r="H250" s="2">
        <v>44783</v>
      </c>
      <c r="I250" t="s">
        <v>38</v>
      </c>
      <c r="J250" t="s">
        <v>77</v>
      </c>
      <c r="L250" t="s">
        <v>78</v>
      </c>
      <c r="M250" t="s">
        <v>26</v>
      </c>
    </row>
    <row r="251" spans="1:13" x14ac:dyDescent="0.3">
      <c r="A251" t="str">
        <f>HYPERLINK("https://hsdes.intel.com/resource/14013157817","14013157817")</f>
        <v>14013157817</v>
      </c>
      <c r="B251" t="s">
        <v>602</v>
      </c>
      <c r="C251" t="s">
        <v>12</v>
      </c>
      <c r="D251" t="s">
        <v>603</v>
      </c>
      <c r="E251" t="s">
        <v>14</v>
      </c>
      <c r="G251" t="s">
        <v>111</v>
      </c>
      <c r="H251" s="2">
        <v>44783</v>
      </c>
      <c r="I251" t="s">
        <v>38</v>
      </c>
      <c r="J251" t="s">
        <v>77</v>
      </c>
      <c r="L251" t="s">
        <v>78</v>
      </c>
      <c r="M251" t="s">
        <v>26</v>
      </c>
    </row>
    <row r="252" spans="1:13" x14ac:dyDescent="0.3">
      <c r="A252" t="str">
        <f>HYPERLINK("https://hsdes.intel.com/resource/14013157822","14013157822")</f>
        <v>14013157822</v>
      </c>
      <c r="B252" t="s">
        <v>604</v>
      </c>
      <c r="C252" t="s">
        <v>12</v>
      </c>
      <c r="D252" t="s">
        <v>605</v>
      </c>
      <c r="E252" t="s">
        <v>14</v>
      </c>
      <c r="G252" t="s">
        <v>111</v>
      </c>
      <c r="H252" s="2">
        <v>44791</v>
      </c>
      <c r="I252" t="s">
        <v>38</v>
      </c>
      <c r="J252" t="s">
        <v>77</v>
      </c>
      <c r="L252" t="s">
        <v>78</v>
      </c>
      <c r="M252" t="s">
        <v>26</v>
      </c>
    </row>
    <row r="253" spans="1:13" x14ac:dyDescent="0.3">
      <c r="A253" t="str">
        <f>HYPERLINK("https://hsdes.intel.com/resource/14013157826","14013157826")</f>
        <v>14013157826</v>
      </c>
      <c r="B253" t="s">
        <v>606</v>
      </c>
      <c r="C253" t="s">
        <v>12</v>
      </c>
      <c r="D253" t="s">
        <v>607</v>
      </c>
      <c r="E253" t="s">
        <v>14</v>
      </c>
      <c r="G253" t="s">
        <v>111</v>
      </c>
      <c r="H253" s="2">
        <v>44784</v>
      </c>
      <c r="I253" t="s">
        <v>38</v>
      </c>
      <c r="J253" t="s">
        <v>183</v>
      </c>
      <c r="L253" t="s">
        <v>54</v>
      </c>
      <c r="M253" t="s">
        <v>19</v>
      </c>
    </row>
    <row r="254" spans="1:13" x14ac:dyDescent="0.3">
      <c r="A254" t="str">
        <f>HYPERLINK("https://hsdes.intel.com/resource/14013157922","14013157922")</f>
        <v>14013157922</v>
      </c>
      <c r="B254" t="s">
        <v>608</v>
      </c>
      <c r="C254" t="s">
        <v>12</v>
      </c>
      <c r="D254" t="s">
        <v>609</v>
      </c>
      <c r="E254" t="s">
        <v>14</v>
      </c>
      <c r="G254" t="s">
        <v>111</v>
      </c>
      <c r="H254" s="2">
        <v>44783</v>
      </c>
      <c r="I254" t="s">
        <v>38</v>
      </c>
      <c r="J254" t="s">
        <v>77</v>
      </c>
      <c r="L254" t="s">
        <v>78</v>
      </c>
      <c r="M254" t="s">
        <v>26</v>
      </c>
    </row>
    <row r="255" spans="1:13" x14ac:dyDescent="0.3">
      <c r="A255" t="str">
        <f>HYPERLINK("https://hsdes.intel.com/resource/14013157950","14013157950")</f>
        <v>14013157950</v>
      </c>
      <c r="B255" t="s">
        <v>610</v>
      </c>
      <c r="C255" t="s">
        <v>12</v>
      </c>
      <c r="D255" t="s">
        <v>611</v>
      </c>
      <c r="E255" t="s">
        <v>612</v>
      </c>
      <c r="F255" t="s">
        <v>613</v>
      </c>
      <c r="G255" t="s">
        <v>57</v>
      </c>
      <c r="I255" t="s">
        <v>132</v>
      </c>
      <c r="J255" t="s">
        <v>614</v>
      </c>
      <c r="L255" t="s">
        <v>615</v>
      </c>
      <c r="M255" t="s">
        <v>26</v>
      </c>
    </row>
    <row r="256" spans="1:13" x14ac:dyDescent="0.3">
      <c r="A256" t="str">
        <f>HYPERLINK("https://hsdes.intel.com/resource/14013158076","14013158076")</f>
        <v>14013158076</v>
      </c>
      <c r="B256" t="s">
        <v>616</v>
      </c>
      <c r="C256" t="s">
        <v>12</v>
      </c>
      <c r="D256" t="s">
        <v>617</v>
      </c>
      <c r="E256" t="s">
        <v>14</v>
      </c>
      <c r="F256" t="s">
        <v>618</v>
      </c>
      <c r="G256" t="s">
        <v>15</v>
      </c>
      <c r="H256" s="2">
        <v>44783</v>
      </c>
      <c r="I256" t="s">
        <v>16</v>
      </c>
      <c r="J256" t="s">
        <v>17</v>
      </c>
      <c r="L256" t="s">
        <v>18</v>
      </c>
      <c r="M256" t="s">
        <v>26</v>
      </c>
    </row>
    <row r="257" spans="1:13" x14ac:dyDescent="0.3">
      <c r="A257" t="str">
        <f>HYPERLINK("https://hsdes.intel.com/resource/14013158089","14013158089")</f>
        <v>14013158089</v>
      </c>
      <c r="B257" t="s">
        <v>619</v>
      </c>
      <c r="C257" t="s">
        <v>12</v>
      </c>
      <c r="D257" t="s">
        <v>620</v>
      </c>
      <c r="E257" t="s">
        <v>14</v>
      </c>
      <c r="G257" t="s">
        <v>15</v>
      </c>
      <c r="H257" s="2">
        <v>44783</v>
      </c>
      <c r="I257" t="s">
        <v>16</v>
      </c>
      <c r="J257" t="s">
        <v>17</v>
      </c>
      <c r="L257" t="s">
        <v>18</v>
      </c>
      <c r="M257" t="s">
        <v>19</v>
      </c>
    </row>
    <row r="258" spans="1:13" x14ac:dyDescent="0.3">
      <c r="A258" t="str">
        <f>HYPERLINK("https://hsdes.intel.com/resource/14013158096","14013158096")</f>
        <v>14013158096</v>
      </c>
      <c r="B258" t="s">
        <v>621</v>
      </c>
      <c r="C258" t="s">
        <v>12</v>
      </c>
      <c r="D258" t="s">
        <v>622</v>
      </c>
      <c r="E258" t="s">
        <v>14</v>
      </c>
      <c r="G258" t="s">
        <v>15</v>
      </c>
      <c r="H258" s="2">
        <v>44783</v>
      </c>
      <c r="I258" t="s">
        <v>16</v>
      </c>
      <c r="J258" t="s">
        <v>17</v>
      </c>
      <c r="L258" t="s">
        <v>18</v>
      </c>
      <c r="M258" t="s">
        <v>22</v>
      </c>
    </row>
    <row r="259" spans="1:13" x14ac:dyDescent="0.3">
      <c r="A259" t="str">
        <f>HYPERLINK("https://hsdes.intel.com/resource/14013158099","14013158099")</f>
        <v>14013158099</v>
      </c>
      <c r="B259" t="s">
        <v>623</v>
      </c>
      <c r="C259" t="s">
        <v>12</v>
      </c>
      <c r="D259" t="s">
        <v>624</v>
      </c>
      <c r="E259" t="s">
        <v>14</v>
      </c>
      <c r="G259" t="s">
        <v>111</v>
      </c>
      <c r="H259" s="2">
        <v>44801</v>
      </c>
      <c r="I259" t="s">
        <v>38</v>
      </c>
      <c r="J259" t="s">
        <v>77</v>
      </c>
      <c r="L259" t="s">
        <v>78</v>
      </c>
      <c r="M259" t="s">
        <v>22</v>
      </c>
    </row>
    <row r="260" spans="1:13" x14ac:dyDescent="0.3">
      <c r="A260" t="str">
        <f>HYPERLINK("https://hsdes.intel.com/resource/14013158101","14013158101")</f>
        <v>14013158101</v>
      </c>
      <c r="B260" t="s">
        <v>625</v>
      </c>
      <c r="C260" t="s">
        <v>12</v>
      </c>
      <c r="D260" t="s">
        <v>626</v>
      </c>
      <c r="E260" t="s">
        <v>97</v>
      </c>
      <c r="F260" t="s">
        <v>627</v>
      </c>
      <c r="G260" t="s">
        <v>111</v>
      </c>
      <c r="H260" s="2">
        <v>44801</v>
      </c>
      <c r="I260" t="s">
        <v>38</v>
      </c>
      <c r="J260" t="s">
        <v>77</v>
      </c>
      <c r="L260" t="s">
        <v>78</v>
      </c>
      <c r="M260" t="s">
        <v>22</v>
      </c>
    </row>
    <row r="261" spans="1:13" x14ac:dyDescent="0.3">
      <c r="A261" t="str">
        <f>HYPERLINK("https://hsdes.intel.com/resource/14013158103","14013158103")</f>
        <v>14013158103</v>
      </c>
      <c r="B261" t="s">
        <v>628</v>
      </c>
      <c r="C261" t="s">
        <v>12</v>
      </c>
      <c r="D261" t="s">
        <v>629</v>
      </c>
      <c r="E261" t="s">
        <v>612</v>
      </c>
      <c r="F261" t="s">
        <v>770</v>
      </c>
      <c r="G261" t="s">
        <v>15</v>
      </c>
      <c r="H261" s="2">
        <v>44784</v>
      </c>
      <c r="I261" t="s">
        <v>16</v>
      </c>
      <c r="J261" t="s">
        <v>17</v>
      </c>
      <c r="L261" t="s">
        <v>18</v>
      </c>
      <c r="M261" t="s">
        <v>26</v>
      </c>
    </row>
    <row r="262" spans="1:13" x14ac:dyDescent="0.3">
      <c r="A262" t="str">
        <f>HYPERLINK("https://hsdes.intel.com/resource/14013158128","14013158128")</f>
        <v>14013158128</v>
      </c>
      <c r="B262" t="s">
        <v>630</v>
      </c>
      <c r="C262" t="s">
        <v>12</v>
      </c>
      <c r="D262" t="s">
        <v>631</v>
      </c>
      <c r="E262" t="s">
        <v>14</v>
      </c>
      <c r="F262" t="s">
        <v>632</v>
      </c>
      <c r="G262" t="s">
        <v>15</v>
      </c>
      <c r="H262" s="2">
        <v>44784</v>
      </c>
      <c r="I262" t="s">
        <v>38</v>
      </c>
      <c r="J262" t="s">
        <v>77</v>
      </c>
      <c r="L262" t="s">
        <v>78</v>
      </c>
      <c r="M262" t="s">
        <v>26</v>
      </c>
    </row>
    <row r="263" spans="1:13" x14ac:dyDescent="0.3">
      <c r="A263" t="str">
        <f>HYPERLINK("https://hsdes.intel.com/resource/14013158163","14013158163")</f>
        <v>14013158163</v>
      </c>
      <c r="B263" t="s">
        <v>633</v>
      </c>
      <c r="C263" t="s">
        <v>12</v>
      </c>
      <c r="D263" t="s">
        <v>634</v>
      </c>
      <c r="E263" t="s">
        <v>14</v>
      </c>
      <c r="G263" t="s">
        <v>31</v>
      </c>
      <c r="H263" s="2">
        <v>44799</v>
      </c>
      <c r="I263" t="s">
        <v>32</v>
      </c>
      <c r="J263" t="s">
        <v>46</v>
      </c>
      <c r="L263" t="s">
        <v>177</v>
      </c>
      <c r="M263" t="s">
        <v>22</v>
      </c>
    </row>
    <row r="264" spans="1:13" x14ac:dyDescent="0.3">
      <c r="A264" t="str">
        <f>HYPERLINK("https://hsdes.intel.com/resource/14013158182","14013158182")</f>
        <v>14013158182</v>
      </c>
      <c r="B264" t="s">
        <v>635</v>
      </c>
      <c r="C264" t="s">
        <v>12</v>
      </c>
      <c r="D264" t="s">
        <v>636</v>
      </c>
      <c r="E264" t="s">
        <v>14</v>
      </c>
      <c r="F264" t="s">
        <v>85</v>
      </c>
      <c r="G264" t="s">
        <v>86</v>
      </c>
      <c r="H264" s="2">
        <v>44799</v>
      </c>
      <c r="I264" t="s">
        <v>48</v>
      </c>
      <c r="J264" t="s">
        <v>49</v>
      </c>
      <c r="L264" t="s">
        <v>50</v>
      </c>
      <c r="M264" t="s">
        <v>26</v>
      </c>
    </row>
    <row r="265" spans="1:13" x14ac:dyDescent="0.3">
      <c r="A265" t="str">
        <f>HYPERLINK("https://hsdes.intel.com/resource/14013158256","14013158256")</f>
        <v>14013158256</v>
      </c>
      <c r="B265" t="s">
        <v>637</v>
      </c>
      <c r="C265" t="s">
        <v>12</v>
      </c>
      <c r="D265" t="s">
        <v>638</v>
      </c>
      <c r="E265" t="s">
        <v>14</v>
      </c>
      <c r="G265" t="s">
        <v>15</v>
      </c>
      <c r="H265" s="2">
        <v>44783</v>
      </c>
      <c r="I265" t="s">
        <v>16</v>
      </c>
      <c r="J265" t="s">
        <v>17</v>
      </c>
      <c r="L265" t="s">
        <v>18</v>
      </c>
      <c r="M265" t="s">
        <v>26</v>
      </c>
    </row>
    <row r="266" spans="1:13" x14ac:dyDescent="0.3">
      <c r="A266" t="str">
        <f>HYPERLINK("https://hsdes.intel.com/resource/14013158276","14013158276")</f>
        <v>14013158276</v>
      </c>
      <c r="B266" t="s">
        <v>639</v>
      </c>
      <c r="C266" t="s">
        <v>12</v>
      </c>
      <c r="D266" t="s">
        <v>640</v>
      </c>
      <c r="E266" t="s">
        <v>14</v>
      </c>
      <c r="G266" t="s">
        <v>57</v>
      </c>
      <c r="H266" s="2">
        <v>44798</v>
      </c>
      <c r="I266" t="s">
        <v>132</v>
      </c>
      <c r="J266" t="s">
        <v>115</v>
      </c>
      <c r="L266" t="s">
        <v>133</v>
      </c>
      <c r="M266" t="s">
        <v>26</v>
      </c>
    </row>
    <row r="267" spans="1:13" x14ac:dyDescent="0.3">
      <c r="A267" t="str">
        <f>HYPERLINK("https://hsdes.intel.com/resource/14013158288","14013158288")</f>
        <v>14013158288</v>
      </c>
      <c r="B267" t="s">
        <v>641</v>
      </c>
      <c r="C267" t="s">
        <v>12</v>
      </c>
      <c r="D267" t="s">
        <v>642</v>
      </c>
      <c r="E267" t="s">
        <v>612</v>
      </c>
      <c r="F267" t="s">
        <v>613</v>
      </c>
      <c r="G267" t="s">
        <v>57</v>
      </c>
      <c r="I267" t="s">
        <v>132</v>
      </c>
      <c r="J267" t="s">
        <v>614</v>
      </c>
      <c r="L267" t="s">
        <v>615</v>
      </c>
      <c r="M267" t="s">
        <v>26</v>
      </c>
    </row>
    <row r="268" spans="1:13" x14ac:dyDescent="0.3">
      <c r="A268" t="str">
        <f>HYPERLINK("https://hsdes.intel.com/resource/14013158290","14013158290")</f>
        <v>14013158290</v>
      </c>
      <c r="B268" t="s">
        <v>643</v>
      </c>
      <c r="C268" t="s">
        <v>12</v>
      </c>
      <c r="D268" t="s">
        <v>644</v>
      </c>
      <c r="E268" t="s">
        <v>120</v>
      </c>
      <c r="F268" t="s">
        <v>645</v>
      </c>
      <c r="G268" t="s">
        <v>111</v>
      </c>
      <c r="H268" s="2">
        <v>44792</v>
      </c>
      <c r="I268" t="s">
        <v>38</v>
      </c>
      <c r="J268" t="s">
        <v>77</v>
      </c>
      <c r="L268" t="s">
        <v>78</v>
      </c>
      <c r="M268" t="s">
        <v>26</v>
      </c>
    </row>
    <row r="269" spans="1:13" x14ac:dyDescent="0.3">
      <c r="A269" t="str">
        <f>HYPERLINK("https://hsdes.intel.com/resource/14013158293","14013158293")</f>
        <v>14013158293</v>
      </c>
      <c r="B269" t="s">
        <v>646</v>
      </c>
      <c r="C269" t="s">
        <v>12</v>
      </c>
      <c r="D269" t="s">
        <v>647</v>
      </c>
      <c r="E269" t="s">
        <v>120</v>
      </c>
      <c r="F269" t="s">
        <v>648</v>
      </c>
      <c r="G269" t="s">
        <v>111</v>
      </c>
      <c r="H269" s="2">
        <v>44801</v>
      </c>
      <c r="I269" t="s">
        <v>48</v>
      </c>
      <c r="J269" t="s">
        <v>151</v>
      </c>
      <c r="L269" t="s">
        <v>152</v>
      </c>
      <c r="M269" t="s">
        <v>26</v>
      </c>
    </row>
    <row r="270" spans="1:13" x14ac:dyDescent="0.3">
      <c r="A270" t="str">
        <f>HYPERLINK("https://hsdes.intel.com/resource/14013158306","14013158306")</f>
        <v>14013158306</v>
      </c>
      <c r="B270" t="s">
        <v>649</v>
      </c>
      <c r="C270" t="s">
        <v>12</v>
      </c>
      <c r="D270" t="s">
        <v>650</v>
      </c>
      <c r="E270" t="s">
        <v>14</v>
      </c>
      <c r="G270" t="s">
        <v>15</v>
      </c>
      <c r="H270" s="2">
        <v>44784</v>
      </c>
      <c r="I270" t="s">
        <v>16</v>
      </c>
      <c r="J270" t="s">
        <v>17</v>
      </c>
      <c r="L270" t="s">
        <v>18</v>
      </c>
      <c r="M270" t="s">
        <v>22</v>
      </c>
    </row>
    <row r="271" spans="1:13" x14ac:dyDescent="0.3">
      <c r="A271" t="str">
        <f>HYPERLINK("https://hsdes.intel.com/resource/14013158308","14013158308")</f>
        <v>14013158308</v>
      </c>
      <c r="B271" t="s">
        <v>651</v>
      </c>
      <c r="C271" t="s">
        <v>12</v>
      </c>
      <c r="D271" t="s">
        <v>652</v>
      </c>
      <c r="E271" t="s">
        <v>14</v>
      </c>
      <c r="F271" t="s">
        <v>653</v>
      </c>
      <c r="G271" t="s">
        <v>15</v>
      </c>
      <c r="H271" s="2">
        <v>44784</v>
      </c>
      <c r="I271" t="s">
        <v>16</v>
      </c>
      <c r="J271" t="s">
        <v>17</v>
      </c>
      <c r="L271" t="s">
        <v>18</v>
      </c>
      <c r="M271" t="s">
        <v>26</v>
      </c>
    </row>
    <row r="272" spans="1:13" x14ac:dyDescent="0.3">
      <c r="A272" t="str">
        <f>HYPERLINK("https://hsdes.intel.com/resource/14013158313","14013158313")</f>
        <v>14013158313</v>
      </c>
      <c r="B272" t="s">
        <v>654</v>
      </c>
      <c r="C272" t="s">
        <v>12</v>
      </c>
      <c r="D272" t="s">
        <v>655</v>
      </c>
      <c r="E272" t="s">
        <v>14</v>
      </c>
      <c r="G272" t="s">
        <v>15</v>
      </c>
      <c r="H272" s="2">
        <v>44784</v>
      </c>
      <c r="I272" t="s">
        <v>16</v>
      </c>
      <c r="J272" t="s">
        <v>17</v>
      </c>
      <c r="L272" t="s">
        <v>18</v>
      </c>
      <c r="M272" t="s">
        <v>19</v>
      </c>
    </row>
    <row r="273" spans="1:13" x14ac:dyDescent="0.3">
      <c r="A273" t="str">
        <f>HYPERLINK("https://hsdes.intel.com/resource/14013158318","14013158318")</f>
        <v>14013158318</v>
      </c>
      <c r="B273" t="s">
        <v>656</v>
      </c>
      <c r="C273" t="s">
        <v>12</v>
      </c>
      <c r="D273" t="s">
        <v>657</v>
      </c>
      <c r="E273" t="s">
        <v>14</v>
      </c>
      <c r="G273" t="s">
        <v>57</v>
      </c>
      <c r="H273" s="2">
        <v>44798</v>
      </c>
      <c r="I273" t="s">
        <v>38</v>
      </c>
      <c r="J273" t="s">
        <v>77</v>
      </c>
      <c r="L273" t="s">
        <v>78</v>
      </c>
      <c r="M273" t="s">
        <v>26</v>
      </c>
    </row>
    <row r="274" spans="1:13" x14ac:dyDescent="0.3">
      <c r="A274" t="str">
        <f>HYPERLINK("https://hsdes.intel.com/resource/14013158370","14013158370")</f>
        <v>14013158370</v>
      </c>
      <c r="B274" t="s">
        <v>658</v>
      </c>
      <c r="C274" t="s">
        <v>12</v>
      </c>
      <c r="D274" t="s">
        <v>659</v>
      </c>
      <c r="E274" t="s">
        <v>14</v>
      </c>
      <c r="G274" t="s">
        <v>69</v>
      </c>
      <c r="H274" s="2">
        <v>44785</v>
      </c>
      <c r="I274" t="s">
        <v>64</v>
      </c>
      <c r="J274" t="s">
        <v>112</v>
      </c>
      <c r="L274" t="s">
        <v>66</v>
      </c>
      <c r="M274" t="s">
        <v>26</v>
      </c>
    </row>
    <row r="275" spans="1:13" x14ac:dyDescent="0.3">
      <c r="A275" t="str">
        <f>HYPERLINK("https://hsdes.intel.com/resource/14013158378","14013158378")</f>
        <v>14013158378</v>
      </c>
      <c r="B275" t="s">
        <v>660</v>
      </c>
      <c r="C275" t="s">
        <v>12</v>
      </c>
      <c r="D275" t="s">
        <v>661</v>
      </c>
      <c r="E275" t="s">
        <v>120</v>
      </c>
      <c r="F275" t="s">
        <v>662</v>
      </c>
      <c r="G275" t="s">
        <v>31</v>
      </c>
      <c r="H275" s="2">
        <v>44799</v>
      </c>
      <c r="I275" t="s">
        <v>38</v>
      </c>
      <c r="J275" t="s">
        <v>106</v>
      </c>
      <c r="L275" t="s">
        <v>54</v>
      </c>
      <c r="M275" t="s">
        <v>22</v>
      </c>
    </row>
    <row r="276" spans="1:13" x14ac:dyDescent="0.3">
      <c r="A276" t="str">
        <f>HYPERLINK("https://hsdes.intel.com/resource/14013158395","14013158395")</f>
        <v>14013158395</v>
      </c>
      <c r="B276" t="s">
        <v>663</v>
      </c>
      <c r="C276" t="s">
        <v>12</v>
      </c>
      <c r="D276" t="s">
        <v>664</v>
      </c>
      <c r="E276" t="s">
        <v>14</v>
      </c>
      <c r="G276" t="s">
        <v>15</v>
      </c>
      <c r="H276" s="2">
        <v>44784</v>
      </c>
      <c r="I276" t="s">
        <v>16</v>
      </c>
      <c r="J276" t="s">
        <v>17</v>
      </c>
      <c r="L276" t="s">
        <v>18</v>
      </c>
      <c r="M276" t="s">
        <v>22</v>
      </c>
    </row>
    <row r="277" spans="1:13" x14ac:dyDescent="0.3">
      <c r="A277" t="str">
        <f>HYPERLINK("https://hsdes.intel.com/resource/14013158406","14013158406")</f>
        <v>14013158406</v>
      </c>
      <c r="B277" t="s">
        <v>665</v>
      </c>
      <c r="C277" t="s">
        <v>12</v>
      </c>
      <c r="D277" t="s">
        <v>666</v>
      </c>
      <c r="E277" t="s">
        <v>14</v>
      </c>
      <c r="G277" t="s">
        <v>111</v>
      </c>
      <c r="H277" s="2">
        <v>44783</v>
      </c>
      <c r="I277" t="s">
        <v>38</v>
      </c>
      <c r="J277" t="s">
        <v>77</v>
      </c>
      <c r="L277" t="s">
        <v>78</v>
      </c>
      <c r="M277" t="s">
        <v>26</v>
      </c>
    </row>
    <row r="278" spans="1:13" x14ac:dyDescent="0.3">
      <c r="A278" t="str">
        <f>HYPERLINK("https://hsdes.intel.com/resource/14013158435","14013158435")</f>
        <v>14013158435</v>
      </c>
      <c r="B278" t="s">
        <v>667</v>
      </c>
      <c r="C278" t="s">
        <v>12</v>
      </c>
      <c r="D278" t="s">
        <v>668</v>
      </c>
      <c r="E278" t="s">
        <v>14</v>
      </c>
      <c r="G278" t="s">
        <v>57</v>
      </c>
      <c r="H278" s="2">
        <v>44799</v>
      </c>
      <c r="I278" t="s">
        <v>38</v>
      </c>
      <c r="J278" t="s">
        <v>115</v>
      </c>
      <c r="L278" t="s">
        <v>54</v>
      </c>
      <c r="M278" t="s">
        <v>26</v>
      </c>
    </row>
    <row r="279" spans="1:13" x14ac:dyDescent="0.3">
      <c r="A279" t="str">
        <f>HYPERLINK("https://hsdes.intel.com/resource/14013158443","14013158443")</f>
        <v>14013158443</v>
      </c>
      <c r="B279" t="s">
        <v>669</v>
      </c>
      <c r="C279" t="s">
        <v>12</v>
      </c>
      <c r="D279" t="s">
        <v>670</v>
      </c>
      <c r="E279" t="s">
        <v>14</v>
      </c>
      <c r="G279" t="s">
        <v>15</v>
      </c>
      <c r="H279" s="2">
        <v>44785</v>
      </c>
      <c r="I279" t="s">
        <v>38</v>
      </c>
      <c r="J279" t="s">
        <v>77</v>
      </c>
      <c r="L279" t="s">
        <v>78</v>
      </c>
      <c r="M279" t="s">
        <v>26</v>
      </c>
    </row>
    <row r="280" spans="1:13" x14ac:dyDescent="0.3">
      <c r="A280" t="str">
        <f>HYPERLINK("https://hsdes.intel.com/resource/14013158446","14013158446")</f>
        <v>14013158446</v>
      </c>
      <c r="B280" t="s">
        <v>671</v>
      </c>
      <c r="C280" t="s">
        <v>12</v>
      </c>
      <c r="D280" t="s">
        <v>672</v>
      </c>
      <c r="E280" t="s">
        <v>14</v>
      </c>
      <c r="G280" t="s">
        <v>99</v>
      </c>
      <c r="H280" s="2">
        <v>44802</v>
      </c>
      <c r="I280" t="s">
        <v>38</v>
      </c>
      <c r="J280" t="s">
        <v>77</v>
      </c>
      <c r="L280" t="s">
        <v>78</v>
      </c>
      <c r="M280" t="s">
        <v>19</v>
      </c>
    </row>
    <row r="281" spans="1:13" x14ac:dyDescent="0.3">
      <c r="A281" t="str">
        <f>HYPERLINK("https://hsdes.intel.com/resource/14013158464","14013158464")</f>
        <v>14013158464</v>
      </c>
      <c r="B281" t="s">
        <v>673</v>
      </c>
      <c r="C281" t="s">
        <v>12</v>
      </c>
      <c r="D281" t="s">
        <v>674</v>
      </c>
      <c r="E281" t="s">
        <v>14</v>
      </c>
      <c r="G281" t="s">
        <v>57</v>
      </c>
      <c r="H281" s="2">
        <v>44798</v>
      </c>
      <c r="I281" t="s">
        <v>132</v>
      </c>
      <c r="J281" t="s">
        <v>115</v>
      </c>
      <c r="L281" t="s">
        <v>133</v>
      </c>
      <c r="M281" t="s">
        <v>22</v>
      </c>
    </row>
    <row r="282" spans="1:13" x14ac:dyDescent="0.3">
      <c r="A282" t="str">
        <f>HYPERLINK("https://hsdes.intel.com/resource/14013158470","14013158470")</f>
        <v>14013158470</v>
      </c>
      <c r="B282" t="s">
        <v>675</v>
      </c>
      <c r="C282" t="s">
        <v>12</v>
      </c>
      <c r="D282" t="s">
        <v>676</v>
      </c>
      <c r="E282" t="s">
        <v>14</v>
      </c>
      <c r="G282" t="s">
        <v>31</v>
      </c>
      <c r="H282" s="2">
        <v>44799</v>
      </c>
      <c r="I282" t="s">
        <v>38</v>
      </c>
      <c r="J282" t="s">
        <v>77</v>
      </c>
      <c r="L282" t="s">
        <v>78</v>
      </c>
      <c r="M282" t="s">
        <v>26</v>
      </c>
    </row>
    <row r="283" spans="1:13" x14ac:dyDescent="0.3">
      <c r="A283" t="str">
        <f>HYPERLINK("https://hsdes.intel.com/resource/14013158485","14013158485")</f>
        <v>14013158485</v>
      </c>
      <c r="B283" t="s">
        <v>677</v>
      </c>
      <c r="C283" t="s">
        <v>12</v>
      </c>
      <c r="D283" t="s">
        <v>678</v>
      </c>
      <c r="E283" t="s">
        <v>14</v>
      </c>
      <c r="G283" t="s">
        <v>89</v>
      </c>
      <c r="H283" s="4">
        <v>44792</v>
      </c>
      <c r="I283" t="s">
        <v>38</v>
      </c>
      <c r="J283" t="s">
        <v>77</v>
      </c>
      <c r="L283" t="s">
        <v>78</v>
      </c>
      <c r="M283" t="s">
        <v>26</v>
      </c>
    </row>
    <row r="284" spans="1:13" x14ac:dyDescent="0.3">
      <c r="A284" t="str">
        <f>HYPERLINK("https://hsdes.intel.com/resource/14013158501","14013158501")</f>
        <v>14013158501</v>
      </c>
      <c r="B284" t="s">
        <v>679</v>
      </c>
      <c r="C284" t="s">
        <v>12</v>
      </c>
      <c r="D284" t="s">
        <v>680</v>
      </c>
      <c r="E284" t="s">
        <v>14</v>
      </c>
      <c r="G284" t="s">
        <v>89</v>
      </c>
      <c r="H284" s="4">
        <v>44792</v>
      </c>
      <c r="I284" t="s">
        <v>38</v>
      </c>
      <c r="J284" t="s">
        <v>77</v>
      </c>
      <c r="L284" t="s">
        <v>78</v>
      </c>
      <c r="M284" t="s">
        <v>26</v>
      </c>
    </row>
    <row r="285" spans="1:13" x14ac:dyDescent="0.3">
      <c r="A285" t="str">
        <f>HYPERLINK("https://hsdes.intel.com/resource/14013158511","14013158511")</f>
        <v>14013158511</v>
      </c>
      <c r="B285" t="s">
        <v>681</v>
      </c>
      <c r="C285" t="s">
        <v>12</v>
      </c>
      <c r="D285" t="s">
        <v>682</v>
      </c>
      <c r="E285" t="s">
        <v>14</v>
      </c>
      <c r="G285" t="s">
        <v>89</v>
      </c>
      <c r="H285" s="4">
        <v>44792</v>
      </c>
      <c r="I285" t="s">
        <v>38</v>
      </c>
      <c r="J285" t="s">
        <v>77</v>
      </c>
      <c r="L285" t="s">
        <v>78</v>
      </c>
      <c r="M285" t="s">
        <v>26</v>
      </c>
    </row>
    <row r="286" spans="1:13" x14ac:dyDescent="0.3">
      <c r="A286" t="str">
        <f>HYPERLINK("https://hsdes.intel.com/resource/14013158520","14013158520")</f>
        <v>14013158520</v>
      </c>
      <c r="B286" t="s">
        <v>683</v>
      </c>
      <c r="C286" t="s">
        <v>12</v>
      </c>
      <c r="D286" t="s">
        <v>684</v>
      </c>
      <c r="E286" t="s">
        <v>14</v>
      </c>
      <c r="G286" t="s">
        <v>57</v>
      </c>
      <c r="H286" s="2">
        <v>44790</v>
      </c>
      <c r="I286" t="s">
        <v>132</v>
      </c>
      <c r="J286" t="s">
        <v>685</v>
      </c>
      <c r="L286" t="s">
        <v>133</v>
      </c>
      <c r="M286" t="s">
        <v>26</v>
      </c>
    </row>
    <row r="287" spans="1:13" x14ac:dyDescent="0.3">
      <c r="A287" t="str">
        <f>HYPERLINK("https://hsdes.intel.com/resource/14013158536","14013158536")</f>
        <v>14013158536</v>
      </c>
      <c r="B287" t="s">
        <v>686</v>
      </c>
      <c r="C287" t="s">
        <v>12</v>
      </c>
      <c r="D287" t="s">
        <v>687</v>
      </c>
      <c r="E287" t="s">
        <v>14</v>
      </c>
      <c r="G287" t="s">
        <v>57</v>
      </c>
      <c r="H287" s="2">
        <v>44798</v>
      </c>
      <c r="I287" t="s">
        <v>38</v>
      </c>
      <c r="J287" t="s">
        <v>77</v>
      </c>
      <c r="L287" t="s">
        <v>78</v>
      </c>
      <c r="M287" t="s">
        <v>26</v>
      </c>
    </row>
    <row r="288" spans="1:13" x14ac:dyDescent="0.3">
      <c r="A288" t="str">
        <f>HYPERLINK("https://hsdes.intel.com/resource/14013158554","14013158554")</f>
        <v>14013158554</v>
      </c>
      <c r="B288" t="s">
        <v>688</v>
      </c>
      <c r="C288" t="s">
        <v>12</v>
      </c>
      <c r="D288" t="s">
        <v>689</v>
      </c>
      <c r="E288" t="s">
        <v>14</v>
      </c>
      <c r="F288" t="s">
        <v>690</v>
      </c>
      <c r="G288" t="s">
        <v>43</v>
      </c>
      <c r="H288" s="2">
        <v>44801</v>
      </c>
      <c r="I288" t="s">
        <v>32</v>
      </c>
      <c r="J288" t="s">
        <v>46</v>
      </c>
      <c r="L288" t="s">
        <v>177</v>
      </c>
      <c r="M288" t="s">
        <v>19</v>
      </c>
    </row>
    <row r="289" spans="1:13" x14ac:dyDescent="0.3">
      <c r="A289" t="str">
        <f>HYPERLINK("https://hsdes.intel.com/resource/14013158557","14013158557")</f>
        <v>14013158557</v>
      </c>
      <c r="B289" t="s">
        <v>691</v>
      </c>
      <c r="C289" t="s">
        <v>12</v>
      </c>
      <c r="D289" t="s">
        <v>692</v>
      </c>
      <c r="E289" t="s">
        <v>14</v>
      </c>
      <c r="G289" t="s">
        <v>72</v>
      </c>
      <c r="H289" s="2">
        <v>44784</v>
      </c>
      <c r="I289" t="s">
        <v>16</v>
      </c>
      <c r="J289" t="s">
        <v>82</v>
      </c>
      <c r="L289" t="s">
        <v>157</v>
      </c>
      <c r="M289" t="s">
        <v>26</v>
      </c>
    </row>
    <row r="290" spans="1:13" x14ac:dyDescent="0.3">
      <c r="A290" t="str">
        <f>HYPERLINK("https://hsdes.intel.com/resource/14013158668","14013158668")</f>
        <v>14013158668</v>
      </c>
      <c r="B290" t="s">
        <v>693</v>
      </c>
      <c r="C290" t="s">
        <v>12</v>
      </c>
      <c r="D290" t="s">
        <v>694</v>
      </c>
      <c r="E290" t="s">
        <v>120</v>
      </c>
      <c r="F290" t="s">
        <v>695</v>
      </c>
      <c r="G290" t="s">
        <v>15</v>
      </c>
      <c r="I290" t="s">
        <v>16</v>
      </c>
      <c r="J290" t="s">
        <v>17</v>
      </c>
      <c r="L290" t="s">
        <v>18</v>
      </c>
      <c r="M290" t="s">
        <v>22</v>
      </c>
    </row>
    <row r="291" spans="1:13" x14ac:dyDescent="0.3">
      <c r="A291" t="str">
        <f>HYPERLINK("https://hsdes.intel.com/resource/14013158670","14013158670")</f>
        <v>14013158670</v>
      </c>
      <c r="B291" t="s">
        <v>696</v>
      </c>
      <c r="C291" t="s">
        <v>12</v>
      </c>
      <c r="D291" t="s">
        <v>697</v>
      </c>
      <c r="E291" t="s">
        <v>120</v>
      </c>
      <c r="F291" t="s">
        <v>695</v>
      </c>
      <c r="G291" t="s">
        <v>15</v>
      </c>
      <c r="I291" t="s">
        <v>16</v>
      </c>
      <c r="J291" t="s">
        <v>17</v>
      </c>
      <c r="L291" t="s">
        <v>18</v>
      </c>
      <c r="M291" t="s">
        <v>22</v>
      </c>
    </row>
    <row r="292" spans="1:13" x14ac:dyDescent="0.3">
      <c r="A292" t="str">
        <f>HYPERLINK("https://hsdes.intel.com/resource/14013158691","14013158691")</f>
        <v>14013158691</v>
      </c>
      <c r="B292" t="s">
        <v>698</v>
      </c>
      <c r="C292" t="s">
        <v>12</v>
      </c>
      <c r="D292" t="s">
        <v>699</v>
      </c>
      <c r="E292" t="s">
        <v>14</v>
      </c>
      <c r="G292" t="s">
        <v>15</v>
      </c>
      <c r="H292" s="2">
        <v>44783</v>
      </c>
      <c r="I292" t="s">
        <v>16</v>
      </c>
      <c r="J292" t="s">
        <v>17</v>
      </c>
      <c r="L292" t="s">
        <v>18</v>
      </c>
      <c r="M292" t="s">
        <v>26</v>
      </c>
    </row>
    <row r="293" spans="1:13" x14ac:dyDescent="0.3">
      <c r="A293" t="str">
        <f>HYPERLINK("https://hsdes.intel.com/resource/14013158695","14013158695")</f>
        <v>14013158695</v>
      </c>
      <c r="B293" t="s">
        <v>700</v>
      </c>
      <c r="C293" t="s">
        <v>12</v>
      </c>
      <c r="D293" t="s">
        <v>701</v>
      </c>
      <c r="E293" t="s">
        <v>97</v>
      </c>
      <c r="F293" t="s">
        <v>702</v>
      </c>
      <c r="G293" t="s">
        <v>31</v>
      </c>
      <c r="H293" s="2">
        <v>44789</v>
      </c>
      <c r="I293" t="s">
        <v>16</v>
      </c>
      <c r="J293" t="s">
        <v>17</v>
      </c>
      <c r="L293" t="s">
        <v>18</v>
      </c>
      <c r="M293" t="s">
        <v>19</v>
      </c>
    </row>
    <row r="294" spans="1:13" x14ac:dyDescent="0.3">
      <c r="A294" t="str">
        <f>HYPERLINK("https://hsdes.intel.com/resource/14013158711","14013158711")</f>
        <v>14013158711</v>
      </c>
      <c r="B294" t="s">
        <v>703</v>
      </c>
      <c r="C294" t="s">
        <v>12</v>
      </c>
      <c r="D294" t="s">
        <v>704</v>
      </c>
      <c r="E294" t="s">
        <v>14</v>
      </c>
      <c r="G294" t="s">
        <v>15</v>
      </c>
      <c r="H294" s="2">
        <v>44784</v>
      </c>
      <c r="I294" t="s">
        <v>16</v>
      </c>
      <c r="J294" t="s">
        <v>17</v>
      </c>
      <c r="L294" t="s">
        <v>18</v>
      </c>
      <c r="M294" t="s">
        <v>19</v>
      </c>
    </row>
    <row r="295" spans="1:13" x14ac:dyDescent="0.3">
      <c r="A295" t="str">
        <f>HYPERLINK("https://hsdes.intel.com/resource/14013158731","14013158731")</f>
        <v>14013158731</v>
      </c>
      <c r="B295" t="s">
        <v>705</v>
      </c>
      <c r="C295" t="s">
        <v>12</v>
      </c>
      <c r="D295" t="s">
        <v>706</v>
      </c>
      <c r="E295" t="s">
        <v>14</v>
      </c>
      <c r="G295" t="s">
        <v>15</v>
      </c>
      <c r="H295" s="2">
        <v>44784</v>
      </c>
      <c r="I295" t="s">
        <v>16</v>
      </c>
      <c r="J295" t="s">
        <v>17</v>
      </c>
      <c r="L295" t="s">
        <v>18</v>
      </c>
      <c r="M295" t="s">
        <v>22</v>
      </c>
    </row>
    <row r="296" spans="1:13" x14ac:dyDescent="0.3">
      <c r="A296" t="str">
        <f>HYPERLINK("https://hsdes.intel.com/resource/14013158739","14013158739")</f>
        <v>14013158739</v>
      </c>
      <c r="B296" t="s">
        <v>707</v>
      </c>
      <c r="C296" t="s">
        <v>12</v>
      </c>
      <c r="D296" t="s">
        <v>708</v>
      </c>
      <c r="E296" t="s">
        <v>14</v>
      </c>
      <c r="G296" t="s">
        <v>15</v>
      </c>
      <c r="H296" s="2">
        <v>44789</v>
      </c>
      <c r="I296" t="s">
        <v>16</v>
      </c>
      <c r="J296" t="s">
        <v>17</v>
      </c>
      <c r="L296" t="s">
        <v>18</v>
      </c>
      <c r="M296" t="s">
        <v>22</v>
      </c>
    </row>
    <row r="297" spans="1:13" x14ac:dyDescent="0.3">
      <c r="A297" t="str">
        <f>HYPERLINK("https://hsdes.intel.com/resource/14013158753","14013158753")</f>
        <v>14013158753</v>
      </c>
      <c r="B297" t="s">
        <v>709</v>
      </c>
      <c r="C297" t="s">
        <v>12</v>
      </c>
      <c r="D297" t="s">
        <v>710</v>
      </c>
      <c r="E297" t="s">
        <v>14</v>
      </c>
      <c r="G297" t="s">
        <v>57</v>
      </c>
      <c r="H297" s="2">
        <v>44798</v>
      </c>
      <c r="I297" t="s">
        <v>132</v>
      </c>
      <c r="J297" t="s">
        <v>685</v>
      </c>
      <c r="L297" t="s">
        <v>133</v>
      </c>
      <c r="M297" t="s">
        <v>26</v>
      </c>
    </row>
    <row r="298" spans="1:13" x14ac:dyDescent="0.3">
      <c r="A298" t="str">
        <f>HYPERLINK("https://hsdes.intel.com/resource/14013158782","14013158782")</f>
        <v>14013158782</v>
      </c>
      <c r="B298" t="s">
        <v>711</v>
      </c>
      <c r="C298" t="s">
        <v>12</v>
      </c>
      <c r="D298" t="s">
        <v>712</v>
      </c>
      <c r="E298" t="s">
        <v>14</v>
      </c>
      <c r="G298" t="s">
        <v>43</v>
      </c>
      <c r="H298" s="2">
        <v>44784</v>
      </c>
      <c r="I298" t="s">
        <v>16</v>
      </c>
      <c r="J298" t="s">
        <v>39</v>
      </c>
      <c r="L298" t="s">
        <v>40</v>
      </c>
      <c r="M298" t="s">
        <v>19</v>
      </c>
    </row>
    <row r="299" spans="1:13" x14ac:dyDescent="0.3">
      <c r="A299" t="str">
        <f>HYPERLINK("https://hsdes.intel.com/resource/14013158784","14013158784")</f>
        <v>14013158784</v>
      </c>
      <c r="B299" t="s">
        <v>713</v>
      </c>
      <c r="C299" t="s">
        <v>12</v>
      </c>
      <c r="D299" t="s">
        <v>714</v>
      </c>
      <c r="E299" t="s">
        <v>14</v>
      </c>
      <c r="G299" t="s">
        <v>43</v>
      </c>
      <c r="H299" s="2">
        <v>44784</v>
      </c>
      <c r="I299" t="s">
        <v>16</v>
      </c>
      <c r="J299" t="s">
        <v>39</v>
      </c>
      <c r="L299" t="s">
        <v>40</v>
      </c>
      <c r="M299" t="s">
        <v>26</v>
      </c>
    </row>
    <row r="300" spans="1:13" x14ac:dyDescent="0.3">
      <c r="A300" t="str">
        <f>HYPERLINK("https://hsdes.intel.com/resource/14013158786","14013158786")</f>
        <v>14013158786</v>
      </c>
      <c r="B300" t="s">
        <v>715</v>
      </c>
      <c r="C300" t="s">
        <v>12</v>
      </c>
      <c r="D300" t="s">
        <v>716</v>
      </c>
      <c r="E300" t="s">
        <v>14</v>
      </c>
      <c r="G300" t="s">
        <v>43</v>
      </c>
      <c r="H300" s="2">
        <v>44784</v>
      </c>
      <c r="I300" t="s">
        <v>16</v>
      </c>
      <c r="J300" t="s">
        <v>39</v>
      </c>
      <c r="L300" t="s">
        <v>40</v>
      </c>
      <c r="M300" t="s">
        <v>26</v>
      </c>
    </row>
    <row r="301" spans="1:13" x14ac:dyDescent="0.3">
      <c r="A301" t="str">
        <f>HYPERLINK("https://hsdes.intel.com/resource/14013158788","14013158788")</f>
        <v>14013158788</v>
      </c>
      <c r="B301" t="s">
        <v>717</v>
      </c>
      <c r="C301" t="s">
        <v>12</v>
      </c>
      <c r="D301" t="s">
        <v>718</v>
      </c>
      <c r="E301" t="s">
        <v>14</v>
      </c>
      <c r="G301" t="s">
        <v>43</v>
      </c>
      <c r="H301" s="2">
        <v>44784</v>
      </c>
      <c r="I301" t="s">
        <v>16</v>
      </c>
      <c r="J301" t="s">
        <v>39</v>
      </c>
      <c r="L301" t="s">
        <v>40</v>
      </c>
      <c r="M301" t="s">
        <v>22</v>
      </c>
    </row>
    <row r="302" spans="1:13" x14ac:dyDescent="0.3">
      <c r="A302" t="str">
        <f>HYPERLINK("https://hsdes.intel.com/resource/14013158792","14013158792")</f>
        <v>14013158792</v>
      </c>
      <c r="B302" t="s">
        <v>719</v>
      </c>
      <c r="C302" t="s">
        <v>12</v>
      </c>
      <c r="D302" t="s">
        <v>720</v>
      </c>
      <c r="E302" t="s">
        <v>120</v>
      </c>
      <c r="F302" t="s">
        <v>662</v>
      </c>
      <c r="G302" t="s">
        <v>89</v>
      </c>
      <c r="H302" s="4">
        <v>44790</v>
      </c>
      <c r="I302" t="s">
        <v>16</v>
      </c>
      <c r="J302" t="s">
        <v>17</v>
      </c>
      <c r="L302" t="s">
        <v>18</v>
      </c>
      <c r="M302" t="s">
        <v>19</v>
      </c>
    </row>
    <row r="303" spans="1:13" x14ac:dyDescent="0.3">
      <c r="A303" t="str">
        <f>HYPERLINK("https://hsdes.intel.com/resource/14013158797","14013158797")</f>
        <v>14013158797</v>
      </c>
      <c r="B303" t="s">
        <v>721</v>
      </c>
      <c r="C303" t="s">
        <v>12</v>
      </c>
      <c r="D303" t="s">
        <v>722</v>
      </c>
      <c r="E303" t="s">
        <v>14</v>
      </c>
      <c r="G303" t="s">
        <v>111</v>
      </c>
      <c r="H303" s="2">
        <v>44785</v>
      </c>
      <c r="I303" t="s">
        <v>16</v>
      </c>
      <c r="J303" t="s">
        <v>17</v>
      </c>
      <c r="L303" t="s">
        <v>18</v>
      </c>
      <c r="M303" t="s">
        <v>26</v>
      </c>
    </row>
    <row r="304" spans="1:13" x14ac:dyDescent="0.3">
      <c r="A304" t="str">
        <f>HYPERLINK("https://hsdes.intel.com/resource/14013158804","14013158804")</f>
        <v>14013158804</v>
      </c>
      <c r="B304" t="s">
        <v>723</v>
      </c>
      <c r="C304" t="s">
        <v>12</v>
      </c>
      <c r="D304" t="s">
        <v>724</v>
      </c>
      <c r="E304" t="s">
        <v>14</v>
      </c>
      <c r="G304" t="s">
        <v>111</v>
      </c>
      <c r="H304" s="2">
        <v>44784</v>
      </c>
      <c r="I304" t="s">
        <v>16</v>
      </c>
      <c r="J304" t="s">
        <v>17</v>
      </c>
      <c r="L304" t="s">
        <v>18</v>
      </c>
      <c r="M304" t="s">
        <v>26</v>
      </c>
    </row>
    <row r="305" spans="1:13" x14ac:dyDescent="0.3">
      <c r="A305" t="str">
        <f>HYPERLINK("https://hsdes.intel.com/resource/14013158806","14013158806")</f>
        <v>14013158806</v>
      </c>
      <c r="B305" t="s">
        <v>725</v>
      </c>
      <c r="C305" t="s">
        <v>12</v>
      </c>
      <c r="D305" t="s">
        <v>726</v>
      </c>
      <c r="E305" t="s">
        <v>14</v>
      </c>
      <c r="G305" t="s">
        <v>111</v>
      </c>
      <c r="H305" s="2">
        <v>44785</v>
      </c>
      <c r="I305" t="s">
        <v>16</v>
      </c>
      <c r="J305" t="s">
        <v>17</v>
      </c>
      <c r="L305" t="s">
        <v>18</v>
      </c>
      <c r="M305" t="s">
        <v>22</v>
      </c>
    </row>
    <row r="306" spans="1:13" x14ac:dyDescent="0.3">
      <c r="A306" t="str">
        <f>HYPERLINK("https://hsdes.intel.com/resource/14013158809","14013158809")</f>
        <v>14013158809</v>
      </c>
      <c r="B306" t="s">
        <v>727</v>
      </c>
      <c r="C306" t="s">
        <v>12</v>
      </c>
      <c r="D306" t="s">
        <v>728</v>
      </c>
      <c r="E306" t="s">
        <v>14</v>
      </c>
      <c r="G306" t="s">
        <v>111</v>
      </c>
      <c r="H306" s="2">
        <v>44784</v>
      </c>
      <c r="I306" t="s">
        <v>16</v>
      </c>
      <c r="J306" t="s">
        <v>17</v>
      </c>
      <c r="L306" t="s">
        <v>18</v>
      </c>
      <c r="M306" t="s">
        <v>22</v>
      </c>
    </row>
    <row r="307" spans="1:13" x14ac:dyDescent="0.3">
      <c r="A307" t="str">
        <f>HYPERLINK("https://hsdes.intel.com/resource/14013158811","14013158811")</f>
        <v>14013158811</v>
      </c>
      <c r="B307" t="s">
        <v>729</v>
      </c>
      <c r="C307" t="s">
        <v>12</v>
      </c>
      <c r="D307" t="s">
        <v>730</v>
      </c>
      <c r="E307" t="s">
        <v>97</v>
      </c>
      <c r="F307" t="s">
        <v>731</v>
      </c>
      <c r="G307" t="s">
        <v>43</v>
      </c>
      <c r="H307" s="2">
        <v>44802</v>
      </c>
      <c r="I307" t="s">
        <v>32</v>
      </c>
      <c r="J307" t="s">
        <v>46</v>
      </c>
      <c r="L307" t="s">
        <v>177</v>
      </c>
      <c r="M307" t="s">
        <v>19</v>
      </c>
    </row>
    <row r="308" spans="1:13" x14ac:dyDescent="0.3">
      <c r="A308" t="str">
        <f>HYPERLINK("https://hsdes.intel.com/resource/14013158815","14013158815")</f>
        <v>14013158815</v>
      </c>
      <c r="B308" t="s">
        <v>732</v>
      </c>
      <c r="C308" t="s">
        <v>12</v>
      </c>
      <c r="D308" t="s">
        <v>733</v>
      </c>
      <c r="E308" t="s">
        <v>14</v>
      </c>
      <c r="G308" t="s">
        <v>111</v>
      </c>
      <c r="H308" s="2">
        <v>44785</v>
      </c>
      <c r="I308" t="s">
        <v>16</v>
      </c>
      <c r="J308" t="s">
        <v>17</v>
      </c>
      <c r="L308" t="s">
        <v>18</v>
      </c>
      <c r="M308" t="s">
        <v>19</v>
      </c>
    </row>
    <row r="309" spans="1:13" x14ac:dyDescent="0.3">
      <c r="A309" t="str">
        <f>HYPERLINK("https://hsdes.intel.com/resource/14013158817","14013158817")</f>
        <v>14013158817</v>
      </c>
      <c r="B309" t="s">
        <v>734</v>
      </c>
      <c r="C309" t="s">
        <v>12</v>
      </c>
      <c r="D309" t="s">
        <v>735</v>
      </c>
      <c r="E309" t="s">
        <v>14</v>
      </c>
      <c r="G309" t="s">
        <v>111</v>
      </c>
      <c r="H309" s="2">
        <v>44785</v>
      </c>
      <c r="I309" t="s">
        <v>16</v>
      </c>
      <c r="J309" t="s">
        <v>17</v>
      </c>
      <c r="L309" t="s">
        <v>18</v>
      </c>
      <c r="M309" t="s">
        <v>19</v>
      </c>
    </row>
    <row r="310" spans="1:13" x14ac:dyDescent="0.3">
      <c r="A310" t="str">
        <f>HYPERLINK("https://hsdes.intel.com/resource/14013158819","14013158819")</f>
        <v>14013158819</v>
      </c>
      <c r="B310" t="s">
        <v>736</v>
      </c>
      <c r="C310" t="s">
        <v>12</v>
      </c>
      <c r="D310" t="s">
        <v>737</v>
      </c>
      <c r="E310" t="s">
        <v>14</v>
      </c>
      <c r="G310" t="s">
        <v>111</v>
      </c>
      <c r="H310" s="2">
        <v>44785</v>
      </c>
      <c r="I310" t="s">
        <v>16</v>
      </c>
      <c r="J310" t="s">
        <v>17</v>
      </c>
      <c r="L310" t="s">
        <v>18</v>
      </c>
      <c r="M310" t="s">
        <v>19</v>
      </c>
    </row>
    <row r="311" spans="1:13" x14ac:dyDescent="0.3">
      <c r="A311" t="str">
        <f>HYPERLINK("https://hsdes.intel.com/resource/14013158821","14013158821")</f>
        <v>14013158821</v>
      </c>
      <c r="B311" t="s">
        <v>738</v>
      </c>
      <c r="C311" t="s">
        <v>12</v>
      </c>
      <c r="D311" t="s">
        <v>739</v>
      </c>
      <c r="E311" t="s">
        <v>14</v>
      </c>
      <c r="G311" t="s">
        <v>111</v>
      </c>
      <c r="H311" s="2">
        <v>44785</v>
      </c>
      <c r="I311" t="s">
        <v>16</v>
      </c>
      <c r="J311" t="s">
        <v>17</v>
      </c>
      <c r="L311" t="s">
        <v>18</v>
      </c>
      <c r="M311" t="s">
        <v>19</v>
      </c>
    </row>
    <row r="312" spans="1:13" x14ac:dyDescent="0.3">
      <c r="A312" t="str">
        <f>HYPERLINK("https://hsdes.intel.com/resource/14013158823","14013158823")</f>
        <v>14013158823</v>
      </c>
      <c r="B312" t="s">
        <v>740</v>
      </c>
      <c r="C312" t="s">
        <v>12</v>
      </c>
      <c r="D312" t="s">
        <v>741</v>
      </c>
      <c r="E312" t="s">
        <v>14</v>
      </c>
      <c r="G312" t="s">
        <v>111</v>
      </c>
      <c r="H312" s="2">
        <v>44785</v>
      </c>
      <c r="I312" t="s">
        <v>16</v>
      </c>
      <c r="J312" t="s">
        <v>17</v>
      </c>
      <c r="L312" t="s">
        <v>18</v>
      </c>
      <c r="M312" t="s">
        <v>19</v>
      </c>
    </row>
    <row r="313" spans="1:13" x14ac:dyDescent="0.3">
      <c r="A313" t="str">
        <f>HYPERLINK("https://hsdes.intel.com/resource/14013158825","14013158825")</f>
        <v>14013158825</v>
      </c>
      <c r="B313" t="s">
        <v>742</v>
      </c>
      <c r="C313" t="s">
        <v>12</v>
      </c>
      <c r="D313" t="s">
        <v>743</v>
      </c>
      <c r="E313" t="s">
        <v>14</v>
      </c>
      <c r="G313" t="s">
        <v>111</v>
      </c>
      <c r="H313" s="2">
        <v>44785</v>
      </c>
      <c r="I313" t="s">
        <v>16</v>
      </c>
      <c r="J313" t="s">
        <v>17</v>
      </c>
      <c r="L313" t="s">
        <v>18</v>
      </c>
      <c r="M313" t="s">
        <v>19</v>
      </c>
    </row>
    <row r="314" spans="1:13" x14ac:dyDescent="0.3">
      <c r="A314" t="str">
        <f>HYPERLINK("https://hsdes.intel.com/resource/14013158834","14013158834")</f>
        <v>14013158834</v>
      </c>
      <c r="B314" t="s">
        <v>744</v>
      </c>
      <c r="C314" t="s">
        <v>12</v>
      </c>
      <c r="D314" t="s">
        <v>745</v>
      </c>
      <c r="E314" t="s">
        <v>14</v>
      </c>
      <c r="G314" t="s">
        <v>111</v>
      </c>
      <c r="H314" s="2">
        <v>44785</v>
      </c>
      <c r="I314" t="s">
        <v>16</v>
      </c>
      <c r="J314" t="s">
        <v>17</v>
      </c>
      <c r="L314" t="s">
        <v>18</v>
      </c>
      <c r="M314" t="s">
        <v>19</v>
      </c>
    </row>
    <row r="315" spans="1:13" x14ac:dyDescent="0.3">
      <c r="A315" t="str">
        <f>HYPERLINK("https://hsdes.intel.com/resource/14013158836","14013158836")</f>
        <v>14013158836</v>
      </c>
      <c r="B315" t="s">
        <v>746</v>
      </c>
      <c r="C315" t="s">
        <v>12</v>
      </c>
      <c r="D315" t="s">
        <v>747</v>
      </c>
      <c r="E315" t="s">
        <v>14</v>
      </c>
      <c r="G315" t="s">
        <v>111</v>
      </c>
      <c r="H315" s="2">
        <v>44785</v>
      </c>
      <c r="I315" t="s">
        <v>16</v>
      </c>
      <c r="J315" t="s">
        <v>17</v>
      </c>
      <c r="L315" t="s">
        <v>18</v>
      </c>
      <c r="M315" t="s">
        <v>19</v>
      </c>
    </row>
    <row r="316" spans="1:13" x14ac:dyDescent="0.3">
      <c r="A316" t="str">
        <f>HYPERLINK("https://hsdes.intel.com/resource/14013158841","14013158841")</f>
        <v>14013158841</v>
      </c>
      <c r="B316" t="s">
        <v>748</v>
      </c>
      <c r="C316" t="s">
        <v>12</v>
      </c>
      <c r="D316" t="s">
        <v>749</v>
      </c>
      <c r="E316" t="s">
        <v>14</v>
      </c>
      <c r="G316" t="s">
        <v>111</v>
      </c>
      <c r="H316" s="2">
        <v>44785</v>
      </c>
      <c r="I316" t="s">
        <v>16</v>
      </c>
      <c r="J316" t="s">
        <v>17</v>
      </c>
      <c r="L316" t="s">
        <v>18</v>
      </c>
      <c r="M316" t="s">
        <v>22</v>
      </c>
    </row>
    <row r="317" spans="1:13" x14ac:dyDescent="0.3">
      <c r="A317" t="str">
        <f>HYPERLINK("https://hsdes.intel.com/resource/14013158843","14013158843")</f>
        <v>14013158843</v>
      </c>
      <c r="B317" t="s">
        <v>750</v>
      </c>
      <c r="C317" t="s">
        <v>12</v>
      </c>
      <c r="D317" t="s">
        <v>751</v>
      </c>
      <c r="E317" t="s">
        <v>14</v>
      </c>
      <c r="G317" t="s">
        <v>111</v>
      </c>
      <c r="H317" s="2">
        <v>44785</v>
      </c>
      <c r="I317" t="s">
        <v>16</v>
      </c>
      <c r="J317" t="s">
        <v>17</v>
      </c>
      <c r="L317" t="s">
        <v>18</v>
      </c>
      <c r="M317" t="s">
        <v>19</v>
      </c>
    </row>
    <row r="318" spans="1:13" x14ac:dyDescent="0.3">
      <c r="A318" t="str">
        <f>HYPERLINK("https://hsdes.intel.com/resource/14013158846","14013158846")</f>
        <v>14013158846</v>
      </c>
      <c r="B318" t="s">
        <v>752</v>
      </c>
      <c r="C318" t="s">
        <v>12</v>
      </c>
      <c r="D318" t="s">
        <v>753</v>
      </c>
      <c r="E318" t="s">
        <v>14</v>
      </c>
      <c r="G318" t="s">
        <v>111</v>
      </c>
      <c r="H318" s="2">
        <v>44785</v>
      </c>
      <c r="I318" t="s">
        <v>16</v>
      </c>
      <c r="J318" t="s">
        <v>17</v>
      </c>
      <c r="L318" t="s">
        <v>18</v>
      </c>
      <c r="M318" t="s">
        <v>22</v>
      </c>
    </row>
    <row r="319" spans="1:13" x14ac:dyDescent="0.3">
      <c r="A319" t="str">
        <f>HYPERLINK("https://hsdes.intel.com/resource/14013158871","14013158871")</f>
        <v>14013158871</v>
      </c>
      <c r="B319" t="s">
        <v>754</v>
      </c>
      <c r="C319" t="s">
        <v>12</v>
      </c>
      <c r="D319" t="s">
        <v>755</v>
      </c>
      <c r="E319" t="s">
        <v>120</v>
      </c>
      <c r="F319" t="s">
        <v>756</v>
      </c>
      <c r="G319" t="s">
        <v>89</v>
      </c>
      <c r="H319" s="4">
        <v>44792</v>
      </c>
      <c r="I319" t="s">
        <v>38</v>
      </c>
      <c r="J319" t="s">
        <v>77</v>
      </c>
      <c r="L319" t="s">
        <v>78</v>
      </c>
      <c r="M319" t="s">
        <v>26</v>
      </c>
    </row>
    <row r="320" spans="1:13" x14ac:dyDescent="0.3">
      <c r="A320" t="str">
        <f>HYPERLINK("https://hsdes.intel.com/resource/14013158880","14013158880")</f>
        <v>14013158880</v>
      </c>
      <c r="B320" t="s">
        <v>757</v>
      </c>
      <c r="C320" t="s">
        <v>12</v>
      </c>
      <c r="D320" t="s">
        <v>758</v>
      </c>
      <c r="E320" t="s">
        <v>97</v>
      </c>
      <c r="F320" s="9" t="s">
        <v>759</v>
      </c>
      <c r="G320" t="s">
        <v>81</v>
      </c>
      <c r="I320" t="s">
        <v>16</v>
      </c>
      <c r="J320" t="s">
        <v>17</v>
      </c>
      <c r="L320" t="s">
        <v>18</v>
      </c>
      <c r="M320" t="s">
        <v>19</v>
      </c>
    </row>
    <row r="321" spans="1:13" x14ac:dyDescent="0.3">
      <c r="A321" t="str">
        <f>HYPERLINK("https://hsdes.intel.com/resource/14013158882","14013158882")</f>
        <v>14013158882</v>
      </c>
      <c r="B321" t="s">
        <v>760</v>
      </c>
      <c r="C321" t="s">
        <v>12</v>
      </c>
      <c r="D321" t="s">
        <v>761</v>
      </c>
      <c r="E321" t="s">
        <v>97</v>
      </c>
      <c r="F321" s="9" t="s">
        <v>759</v>
      </c>
      <c r="G321" t="s">
        <v>81</v>
      </c>
      <c r="I321" t="s">
        <v>16</v>
      </c>
      <c r="J321" t="s">
        <v>17</v>
      </c>
      <c r="L321" t="s">
        <v>18</v>
      </c>
      <c r="M321" t="s">
        <v>19</v>
      </c>
    </row>
    <row r="322" spans="1:13" x14ac:dyDescent="0.3">
      <c r="A322" t="str">
        <f>HYPERLINK("https://hsdes.intel.com/resource/14013158885","14013158885")</f>
        <v>14013158885</v>
      </c>
      <c r="B322" t="s">
        <v>762</v>
      </c>
      <c r="C322" t="s">
        <v>12</v>
      </c>
      <c r="D322" t="s">
        <v>763</v>
      </c>
      <c r="E322" t="s">
        <v>14</v>
      </c>
      <c r="G322" t="s">
        <v>111</v>
      </c>
      <c r="H322" s="2">
        <v>44785</v>
      </c>
      <c r="I322" t="s">
        <v>16</v>
      </c>
      <c r="J322" t="s">
        <v>17</v>
      </c>
      <c r="L322" t="s">
        <v>18</v>
      </c>
      <c r="M322" t="s">
        <v>19</v>
      </c>
    </row>
    <row r="323" spans="1:13" x14ac:dyDescent="0.3">
      <c r="A323" t="str">
        <f>HYPERLINK("https://hsdes.intel.com/resource/14013158892","14013158892")</f>
        <v>14013158892</v>
      </c>
      <c r="B323" t="s">
        <v>764</v>
      </c>
      <c r="C323" t="s">
        <v>12</v>
      </c>
      <c r="D323" t="s">
        <v>765</v>
      </c>
      <c r="E323" t="s">
        <v>14</v>
      </c>
      <c r="G323" t="s">
        <v>111</v>
      </c>
      <c r="H323" s="2">
        <v>44785</v>
      </c>
      <c r="I323" t="s">
        <v>16</v>
      </c>
      <c r="J323" t="s">
        <v>17</v>
      </c>
      <c r="L323" t="s">
        <v>18</v>
      </c>
      <c r="M323" t="s">
        <v>19</v>
      </c>
    </row>
    <row r="324" spans="1:13" x14ac:dyDescent="0.3">
      <c r="A324" t="str">
        <f>HYPERLINK("https://hsdes.intel.com/resource/14013158901","14013158901")</f>
        <v>14013158901</v>
      </c>
      <c r="B324" t="s">
        <v>766</v>
      </c>
      <c r="C324" t="s">
        <v>12</v>
      </c>
      <c r="D324" t="s">
        <v>767</v>
      </c>
      <c r="E324" t="s">
        <v>14</v>
      </c>
      <c r="G324" t="s">
        <v>111</v>
      </c>
      <c r="H324" s="2">
        <v>44785</v>
      </c>
      <c r="I324" t="s">
        <v>16</v>
      </c>
      <c r="J324" t="s">
        <v>17</v>
      </c>
      <c r="L324" t="s">
        <v>18</v>
      </c>
      <c r="M324" t="s">
        <v>19</v>
      </c>
    </row>
    <row r="325" spans="1:13" x14ac:dyDescent="0.3">
      <c r="A325" t="str">
        <f>HYPERLINK("https://hsdes.intel.com/resource/14013158903","14013158903")</f>
        <v>14013158903</v>
      </c>
      <c r="B325" t="s">
        <v>768</v>
      </c>
      <c r="C325" t="s">
        <v>12</v>
      </c>
      <c r="D325" t="s">
        <v>769</v>
      </c>
      <c r="E325" t="s">
        <v>612</v>
      </c>
      <c r="F325" t="s">
        <v>770</v>
      </c>
      <c r="G325" t="s">
        <v>111</v>
      </c>
      <c r="H325" s="2">
        <v>44785</v>
      </c>
      <c r="I325" t="s">
        <v>16</v>
      </c>
      <c r="J325" t="s">
        <v>17</v>
      </c>
      <c r="L325" t="s">
        <v>18</v>
      </c>
      <c r="M325" t="s">
        <v>19</v>
      </c>
    </row>
    <row r="326" spans="1:13" x14ac:dyDescent="0.3">
      <c r="A326" t="str">
        <f>HYPERLINK("https://hsdes.intel.com/resource/14013158905","14013158905")</f>
        <v>14013158905</v>
      </c>
      <c r="B326" t="s">
        <v>771</v>
      </c>
      <c r="C326" t="s">
        <v>12</v>
      </c>
      <c r="D326" t="s">
        <v>772</v>
      </c>
      <c r="E326" t="s">
        <v>612</v>
      </c>
      <c r="F326" t="s">
        <v>770</v>
      </c>
      <c r="G326" t="s">
        <v>111</v>
      </c>
      <c r="H326" s="2">
        <v>44785</v>
      </c>
      <c r="I326" t="s">
        <v>16</v>
      </c>
      <c r="J326" t="s">
        <v>17</v>
      </c>
      <c r="L326" t="s">
        <v>18</v>
      </c>
      <c r="M326" t="s">
        <v>19</v>
      </c>
    </row>
    <row r="327" spans="1:13" x14ac:dyDescent="0.3">
      <c r="A327" t="str">
        <f>HYPERLINK("https://hsdes.intel.com/resource/14013158906","14013158906")</f>
        <v>14013158906</v>
      </c>
      <c r="B327" t="s">
        <v>773</v>
      </c>
      <c r="C327" t="s">
        <v>12</v>
      </c>
      <c r="D327" t="s">
        <v>774</v>
      </c>
      <c r="E327" t="s">
        <v>612</v>
      </c>
      <c r="F327" t="s">
        <v>770</v>
      </c>
      <c r="G327" t="s">
        <v>111</v>
      </c>
      <c r="H327" s="2">
        <v>44785</v>
      </c>
      <c r="I327" t="s">
        <v>16</v>
      </c>
      <c r="J327" t="s">
        <v>17</v>
      </c>
      <c r="L327" t="s">
        <v>18</v>
      </c>
      <c r="M327" t="s">
        <v>19</v>
      </c>
    </row>
    <row r="328" spans="1:13" x14ac:dyDescent="0.3">
      <c r="A328" t="str">
        <f>HYPERLINK("https://hsdes.intel.com/resource/14013158908","14013158908")</f>
        <v>14013158908</v>
      </c>
      <c r="B328" t="s">
        <v>775</v>
      </c>
      <c r="C328" t="s">
        <v>12</v>
      </c>
      <c r="D328" t="s">
        <v>776</v>
      </c>
      <c r="E328" t="s">
        <v>612</v>
      </c>
      <c r="F328" t="s">
        <v>770</v>
      </c>
      <c r="G328" t="s">
        <v>111</v>
      </c>
      <c r="H328" s="2">
        <v>44785</v>
      </c>
      <c r="I328" t="s">
        <v>16</v>
      </c>
      <c r="J328" t="s">
        <v>17</v>
      </c>
      <c r="L328" t="s">
        <v>18</v>
      </c>
      <c r="M328" t="s">
        <v>19</v>
      </c>
    </row>
    <row r="329" spans="1:13" x14ac:dyDescent="0.3">
      <c r="A329" t="str">
        <f>HYPERLINK("https://hsdes.intel.com/resource/14013158912","14013158912")</f>
        <v>14013158912</v>
      </c>
      <c r="B329" t="s">
        <v>777</v>
      </c>
      <c r="C329" t="s">
        <v>12</v>
      </c>
      <c r="D329" t="s">
        <v>778</v>
      </c>
      <c r="E329" t="s">
        <v>779</v>
      </c>
      <c r="F329" t="s">
        <v>2830</v>
      </c>
      <c r="G329" t="s">
        <v>111</v>
      </c>
      <c r="H329" s="2">
        <v>44802</v>
      </c>
      <c r="I329" t="s">
        <v>16</v>
      </c>
      <c r="J329" t="s">
        <v>17</v>
      </c>
      <c r="L329" t="s">
        <v>18</v>
      </c>
      <c r="M329" t="s">
        <v>19</v>
      </c>
    </row>
    <row r="330" spans="1:13" x14ac:dyDescent="0.3">
      <c r="A330" t="str">
        <f>HYPERLINK("https://hsdes.intel.com/resource/14013158922","14013158922")</f>
        <v>14013158922</v>
      </c>
      <c r="B330" t="s">
        <v>780</v>
      </c>
      <c r="C330" t="s">
        <v>12</v>
      </c>
      <c r="D330" t="s">
        <v>781</v>
      </c>
      <c r="E330" t="s">
        <v>612</v>
      </c>
      <c r="F330" t="s">
        <v>770</v>
      </c>
      <c r="G330" t="s">
        <v>111</v>
      </c>
      <c r="H330" s="2">
        <v>44785</v>
      </c>
      <c r="I330" t="s">
        <v>16</v>
      </c>
      <c r="J330" t="s">
        <v>17</v>
      </c>
      <c r="L330" t="s">
        <v>18</v>
      </c>
      <c r="M330" t="s">
        <v>19</v>
      </c>
    </row>
    <row r="331" spans="1:13" x14ac:dyDescent="0.3">
      <c r="A331" t="str">
        <f>HYPERLINK("https://hsdes.intel.com/resource/14013158926","14013158926")</f>
        <v>14013158926</v>
      </c>
      <c r="B331" t="s">
        <v>782</v>
      </c>
      <c r="C331" t="s">
        <v>12</v>
      </c>
      <c r="D331" t="s">
        <v>783</v>
      </c>
      <c r="E331" t="s">
        <v>612</v>
      </c>
      <c r="F331" t="s">
        <v>770</v>
      </c>
      <c r="G331" t="s">
        <v>111</v>
      </c>
      <c r="H331" s="2">
        <v>44785</v>
      </c>
      <c r="I331" t="s">
        <v>16</v>
      </c>
      <c r="J331" t="s">
        <v>17</v>
      </c>
      <c r="L331" t="s">
        <v>18</v>
      </c>
      <c r="M331" t="s">
        <v>19</v>
      </c>
    </row>
    <row r="332" spans="1:13" x14ac:dyDescent="0.3">
      <c r="A332" t="str">
        <f>HYPERLINK("https://hsdes.intel.com/resource/14013158937","14013158937")</f>
        <v>14013158937</v>
      </c>
      <c r="B332" t="s">
        <v>784</v>
      </c>
      <c r="C332" t="s">
        <v>12</v>
      </c>
      <c r="D332" t="s">
        <v>785</v>
      </c>
      <c r="E332" t="s">
        <v>14</v>
      </c>
      <c r="G332" t="s">
        <v>111</v>
      </c>
      <c r="H332" s="2">
        <v>44785</v>
      </c>
      <c r="I332" t="s">
        <v>16</v>
      </c>
      <c r="J332" t="s">
        <v>17</v>
      </c>
      <c r="L332" t="s">
        <v>18</v>
      </c>
      <c r="M332" t="s">
        <v>19</v>
      </c>
    </row>
    <row r="333" spans="1:13" x14ac:dyDescent="0.3">
      <c r="A333" t="str">
        <f>HYPERLINK("https://hsdes.intel.com/resource/14013158953","14013158953")</f>
        <v>14013158953</v>
      </c>
      <c r="B333" t="s">
        <v>786</v>
      </c>
      <c r="C333" t="s">
        <v>12</v>
      </c>
      <c r="D333" t="s">
        <v>787</v>
      </c>
      <c r="E333" t="s">
        <v>14</v>
      </c>
      <c r="G333" t="s">
        <v>15</v>
      </c>
      <c r="H333" s="2">
        <v>44784</v>
      </c>
      <c r="I333" t="s">
        <v>16</v>
      </c>
      <c r="J333" t="s">
        <v>17</v>
      </c>
      <c r="L333" t="s">
        <v>18</v>
      </c>
      <c r="M333" t="s">
        <v>19</v>
      </c>
    </row>
    <row r="334" spans="1:13" x14ac:dyDescent="0.3">
      <c r="A334" t="str">
        <f>HYPERLINK("https://hsdes.intel.com/resource/14013158965","14013158965")</f>
        <v>14013158965</v>
      </c>
      <c r="B334" t="s">
        <v>788</v>
      </c>
      <c r="C334" t="s">
        <v>12</v>
      </c>
      <c r="D334" t="s">
        <v>789</v>
      </c>
      <c r="E334" t="s">
        <v>14</v>
      </c>
      <c r="G334" t="s">
        <v>99</v>
      </c>
      <c r="H334" s="2">
        <v>44802</v>
      </c>
      <c r="I334" t="s">
        <v>38</v>
      </c>
      <c r="J334" t="s">
        <v>77</v>
      </c>
      <c r="L334" t="s">
        <v>78</v>
      </c>
      <c r="M334" t="s">
        <v>26</v>
      </c>
    </row>
    <row r="335" spans="1:13" x14ac:dyDescent="0.3">
      <c r="A335" t="str">
        <f>HYPERLINK("https://hsdes.intel.com/resource/14013158967","14013158967")</f>
        <v>14013158967</v>
      </c>
      <c r="B335" t="s">
        <v>790</v>
      </c>
      <c r="C335" t="s">
        <v>12</v>
      </c>
      <c r="D335" t="s">
        <v>791</v>
      </c>
      <c r="E335" t="s">
        <v>779</v>
      </c>
      <c r="F335" t="s">
        <v>3456</v>
      </c>
      <c r="G335" t="s">
        <v>99</v>
      </c>
      <c r="H335" s="2">
        <v>44802</v>
      </c>
      <c r="I335" t="s">
        <v>38</v>
      </c>
      <c r="J335" t="s">
        <v>77</v>
      </c>
      <c r="L335" t="s">
        <v>78</v>
      </c>
      <c r="M335" t="s">
        <v>26</v>
      </c>
    </row>
    <row r="336" spans="1:13" x14ac:dyDescent="0.3">
      <c r="A336" t="str">
        <f>HYPERLINK("https://hsdes.intel.com/resource/14013158987","14013158987")</f>
        <v>14013158987</v>
      </c>
      <c r="B336" t="s">
        <v>792</v>
      </c>
      <c r="C336" t="s">
        <v>12</v>
      </c>
      <c r="D336" t="s">
        <v>793</v>
      </c>
      <c r="E336" t="s">
        <v>14</v>
      </c>
      <c r="G336" t="s">
        <v>89</v>
      </c>
      <c r="H336" s="4">
        <v>44792</v>
      </c>
      <c r="I336" t="s">
        <v>38</v>
      </c>
      <c r="J336" t="s">
        <v>77</v>
      </c>
      <c r="L336" t="s">
        <v>78</v>
      </c>
      <c r="M336" t="s">
        <v>26</v>
      </c>
    </row>
    <row r="337" spans="1:13" x14ac:dyDescent="0.3">
      <c r="A337" t="str">
        <f>HYPERLINK("https://hsdes.intel.com/resource/14013158991","14013158991")</f>
        <v>14013158991</v>
      </c>
      <c r="B337" t="s">
        <v>794</v>
      </c>
      <c r="C337" t="s">
        <v>12</v>
      </c>
      <c r="D337" t="s">
        <v>795</v>
      </c>
      <c r="E337" t="s">
        <v>14</v>
      </c>
      <c r="G337" t="s">
        <v>31</v>
      </c>
      <c r="H337" s="2">
        <v>44795</v>
      </c>
      <c r="I337" t="s">
        <v>38</v>
      </c>
      <c r="J337" t="s">
        <v>77</v>
      </c>
      <c r="L337" t="s">
        <v>78</v>
      </c>
      <c r="M337" t="s">
        <v>26</v>
      </c>
    </row>
    <row r="338" spans="1:13" x14ac:dyDescent="0.3">
      <c r="A338" t="str">
        <f>HYPERLINK("https://hsdes.intel.com/resource/14013158993","14013158993")</f>
        <v>14013158993</v>
      </c>
      <c r="B338" t="s">
        <v>796</v>
      </c>
      <c r="C338" t="s">
        <v>12</v>
      </c>
      <c r="D338" t="s">
        <v>797</v>
      </c>
      <c r="E338" t="s">
        <v>14</v>
      </c>
      <c r="G338" t="s">
        <v>89</v>
      </c>
      <c r="H338" s="4">
        <v>44792</v>
      </c>
      <c r="I338" t="s">
        <v>38</v>
      </c>
      <c r="J338" t="s">
        <v>77</v>
      </c>
      <c r="L338" t="s">
        <v>78</v>
      </c>
      <c r="M338" t="s">
        <v>26</v>
      </c>
    </row>
    <row r="339" spans="1:13" x14ac:dyDescent="0.3">
      <c r="A339" t="str">
        <f>HYPERLINK("https://hsdes.intel.com/resource/14013158996","14013158996")</f>
        <v>14013158996</v>
      </c>
      <c r="B339" t="s">
        <v>798</v>
      </c>
      <c r="C339" t="s">
        <v>12</v>
      </c>
      <c r="D339" t="s">
        <v>799</v>
      </c>
      <c r="E339" t="s">
        <v>14</v>
      </c>
      <c r="G339" t="s">
        <v>63</v>
      </c>
      <c r="H339" s="2">
        <v>44789</v>
      </c>
      <c r="I339" t="s">
        <v>64</v>
      </c>
      <c r="J339" t="s">
        <v>65</v>
      </c>
      <c r="L339" t="s">
        <v>66</v>
      </c>
      <c r="M339" t="s">
        <v>26</v>
      </c>
    </row>
    <row r="340" spans="1:13" x14ac:dyDescent="0.3">
      <c r="A340" t="str">
        <f>HYPERLINK("https://hsdes.intel.com/resource/14013158998","14013158998")</f>
        <v>14013158998</v>
      </c>
      <c r="B340" t="s">
        <v>800</v>
      </c>
      <c r="C340" t="s">
        <v>12</v>
      </c>
      <c r="D340" t="s">
        <v>801</v>
      </c>
      <c r="E340" t="s">
        <v>14</v>
      </c>
      <c r="G340" t="s">
        <v>63</v>
      </c>
      <c r="H340" s="2">
        <v>44789</v>
      </c>
      <c r="I340" t="s">
        <v>64</v>
      </c>
      <c r="J340" t="s">
        <v>65</v>
      </c>
      <c r="L340" t="s">
        <v>66</v>
      </c>
      <c r="M340" t="s">
        <v>26</v>
      </c>
    </row>
    <row r="341" spans="1:13" x14ac:dyDescent="0.3">
      <c r="A341" t="str">
        <f>HYPERLINK("https://hsdes.intel.com/resource/14013159000","14013159000")</f>
        <v>14013159000</v>
      </c>
      <c r="B341" t="s">
        <v>802</v>
      </c>
      <c r="C341" t="s">
        <v>12</v>
      </c>
      <c r="D341" t="s">
        <v>803</v>
      </c>
      <c r="E341" t="s">
        <v>14</v>
      </c>
      <c r="G341" t="s">
        <v>63</v>
      </c>
      <c r="H341" s="2">
        <v>44789</v>
      </c>
      <c r="I341" t="s">
        <v>64</v>
      </c>
      <c r="J341" t="s">
        <v>65</v>
      </c>
      <c r="L341" t="s">
        <v>66</v>
      </c>
      <c r="M341" t="s">
        <v>26</v>
      </c>
    </row>
    <row r="342" spans="1:13" x14ac:dyDescent="0.3">
      <c r="A342" t="str">
        <f>HYPERLINK("https://hsdes.intel.com/resource/14013159002","14013159002")</f>
        <v>14013159002</v>
      </c>
      <c r="B342" t="s">
        <v>804</v>
      </c>
      <c r="C342" t="s">
        <v>12</v>
      </c>
      <c r="D342" t="s">
        <v>805</v>
      </c>
      <c r="E342" t="s">
        <v>14</v>
      </c>
      <c r="G342" t="s">
        <v>43</v>
      </c>
      <c r="H342" s="2">
        <v>44783</v>
      </c>
      <c r="I342" t="s">
        <v>32</v>
      </c>
      <c r="J342" t="s">
        <v>46</v>
      </c>
      <c r="L342" t="s">
        <v>177</v>
      </c>
      <c r="M342" t="s">
        <v>19</v>
      </c>
    </row>
    <row r="343" spans="1:13" x14ac:dyDescent="0.3">
      <c r="A343" t="str">
        <f>HYPERLINK("https://hsdes.intel.com/resource/14013159006","14013159006")</f>
        <v>14013159006</v>
      </c>
      <c r="B343" t="s">
        <v>806</v>
      </c>
      <c r="C343" t="s">
        <v>12</v>
      </c>
      <c r="D343" t="s">
        <v>807</v>
      </c>
      <c r="E343" t="s">
        <v>14</v>
      </c>
      <c r="F343" t="s">
        <v>808</v>
      </c>
      <c r="G343" t="s">
        <v>43</v>
      </c>
      <c r="I343" t="s">
        <v>16</v>
      </c>
      <c r="J343" t="s">
        <v>17</v>
      </c>
      <c r="L343" t="s">
        <v>18</v>
      </c>
      <c r="M343" t="s">
        <v>22</v>
      </c>
    </row>
    <row r="344" spans="1:13" x14ac:dyDescent="0.3">
      <c r="A344" s="5" t="str">
        <f>HYPERLINK("https://hsdes.intel.com/resource/14013159008","14013159008")</f>
        <v>14013159008</v>
      </c>
      <c r="B344" t="s">
        <v>809</v>
      </c>
      <c r="C344" t="s">
        <v>12</v>
      </c>
      <c r="D344" t="s">
        <v>810</v>
      </c>
      <c r="E344" t="s">
        <v>14</v>
      </c>
      <c r="G344" t="s">
        <v>811</v>
      </c>
      <c r="I344" t="s">
        <v>38</v>
      </c>
      <c r="J344" t="s">
        <v>77</v>
      </c>
      <c r="L344" t="s">
        <v>78</v>
      </c>
      <c r="M344" t="s">
        <v>22</v>
      </c>
    </row>
    <row r="345" spans="1:13" x14ac:dyDescent="0.3">
      <c r="A345" t="str">
        <f>HYPERLINK("https://hsdes.intel.com/resource/14013159019","14013159019")</f>
        <v>14013159019</v>
      </c>
      <c r="B345" t="s">
        <v>812</v>
      </c>
      <c r="C345" t="s">
        <v>12</v>
      </c>
      <c r="D345" t="s">
        <v>813</v>
      </c>
      <c r="E345" t="s">
        <v>14</v>
      </c>
      <c r="G345" t="s">
        <v>15</v>
      </c>
      <c r="H345" s="2">
        <v>44784</v>
      </c>
      <c r="I345" t="s">
        <v>16</v>
      </c>
      <c r="J345" t="s">
        <v>17</v>
      </c>
      <c r="L345" t="s">
        <v>18</v>
      </c>
      <c r="M345" t="s">
        <v>26</v>
      </c>
    </row>
    <row r="346" spans="1:13" x14ac:dyDescent="0.3">
      <c r="A346" t="str">
        <f>HYPERLINK("https://hsdes.intel.com/resource/14013159027","14013159027")</f>
        <v>14013159027</v>
      </c>
      <c r="B346" t="s">
        <v>814</v>
      </c>
      <c r="C346" t="s">
        <v>12</v>
      </c>
      <c r="D346" t="s">
        <v>815</v>
      </c>
      <c r="E346" t="s">
        <v>14</v>
      </c>
      <c r="G346" t="s">
        <v>57</v>
      </c>
      <c r="I346" t="s">
        <v>16</v>
      </c>
      <c r="J346" t="s">
        <v>17</v>
      </c>
      <c r="L346" t="s">
        <v>18</v>
      </c>
      <c r="M346" t="s">
        <v>19</v>
      </c>
    </row>
    <row r="347" spans="1:13" x14ac:dyDescent="0.3">
      <c r="A347" t="str">
        <f>HYPERLINK("https://hsdes.intel.com/resource/14013159034","14013159034")</f>
        <v>14013159034</v>
      </c>
      <c r="B347" t="s">
        <v>816</v>
      </c>
      <c r="C347" t="s">
        <v>12</v>
      </c>
      <c r="D347" t="s">
        <v>817</v>
      </c>
      <c r="E347" t="s">
        <v>14</v>
      </c>
      <c r="G347" t="s">
        <v>111</v>
      </c>
      <c r="H347" s="2">
        <v>44783</v>
      </c>
      <c r="I347" t="s">
        <v>38</v>
      </c>
      <c r="J347" t="s">
        <v>77</v>
      </c>
      <c r="L347" t="s">
        <v>78</v>
      </c>
      <c r="M347" t="s">
        <v>22</v>
      </c>
    </row>
    <row r="348" spans="1:13" x14ac:dyDescent="0.3">
      <c r="A348" t="str">
        <f>HYPERLINK("https://hsdes.intel.com/resource/14013159048","14013159048")</f>
        <v>14013159048</v>
      </c>
      <c r="B348" t="s">
        <v>818</v>
      </c>
      <c r="C348" t="s">
        <v>12</v>
      </c>
      <c r="D348" t="s">
        <v>819</v>
      </c>
      <c r="E348" t="s">
        <v>14</v>
      </c>
      <c r="G348" t="s">
        <v>31</v>
      </c>
      <c r="H348" s="2">
        <v>44795</v>
      </c>
      <c r="I348" t="s">
        <v>38</v>
      </c>
      <c r="J348" t="s">
        <v>77</v>
      </c>
      <c r="L348" t="s">
        <v>78</v>
      </c>
      <c r="M348" t="s">
        <v>26</v>
      </c>
    </row>
    <row r="349" spans="1:13" x14ac:dyDescent="0.3">
      <c r="A349" t="str">
        <f>HYPERLINK("https://hsdes.intel.com/resource/14013159050","14013159050")</f>
        <v>14013159050</v>
      </c>
      <c r="B349" t="s">
        <v>820</v>
      </c>
      <c r="C349" t="s">
        <v>12</v>
      </c>
      <c r="D349" t="s">
        <v>821</v>
      </c>
      <c r="E349" t="s">
        <v>14</v>
      </c>
      <c r="G349" t="s">
        <v>43</v>
      </c>
      <c r="H349" s="2">
        <v>44785</v>
      </c>
      <c r="I349" t="s">
        <v>38</v>
      </c>
      <c r="J349" t="s">
        <v>39</v>
      </c>
      <c r="L349" t="s">
        <v>40</v>
      </c>
      <c r="M349" t="s">
        <v>26</v>
      </c>
    </row>
    <row r="350" spans="1:13" x14ac:dyDescent="0.3">
      <c r="A350" t="str">
        <f>HYPERLINK("https://hsdes.intel.com/resource/14013159082","14013159082")</f>
        <v>14013159082</v>
      </c>
      <c r="B350" t="s">
        <v>822</v>
      </c>
      <c r="C350" t="s">
        <v>12</v>
      </c>
      <c r="D350" t="s">
        <v>823</v>
      </c>
      <c r="E350" t="s">
        <v>14</v>
      </c>
      <c r="G350" t="s">
        <v>15</v>
      </c>
      <c r="H350" s="2">
        <v>44784</v>
      </c>
      <c r="I350" t="s">
        <v>16</v>
      </c>
      <c r="J350" t="s">
        <v>17</v>
      </c>
      <c r="L350" t="s">
        <v>18</v>
      </c>
      <c r="M350" t="s">
        <v>22</v>
      </c>
    </row>
    <row r="351" spans="1:13" x14ac:dyDescent="0.3">
      <c r="A351" t="str">
        <f>HYPERLINK("https://hsdes.intel.com/resource/14013159088","14013159088")</f>
        <v>14013159088</v>
      </c>
      <c r="B351" t="s">
        <v>824</v>
      </c>
      <c r="C351" t="s">
        <v>12</v>
      </c>
      <c r="D351" t="s">
        <v>825</v>
      </c>
      <c r="E351" t="s">
        <v>14</v>
      </c>
      <c r="G351" t="s">
        <v>15</v>
      </c>
      <c r="H351" s="2">
        <v>44784</v>
      </c>
      <c r="I351" t="s">
        <v>16</v>
      </c>
      <c r="J351" t="s">
        <v>17</v>
      </c>
      <c r="L351" t="s">
        <v>18</v>
      </c>
      <c r="M351" t="s">
        <v>19</v>
      </c>
    </row>
    <row r="352" spans="1:13" x14ac:dyDescent="0.3">
      <c r="A352" t="str">
        <f>HYPERLINK("https://hsdes.intel.com/resource/14013159100","14013159100")</f>
        <v>14013159100</v>
      </c>
      <c r="B352" t="s">
        <v>826</v>
      </c>
      <c r="C352" t="s">
        <v>12</v>
      </c>
      <c r="D352" t="s">
        <v>827</v>
      </c>
      <c r="E352" t="s">
        <v>14</v>
      </c>
      <c r="G352" t="s">
        <v>15</v>
      </c>
      <c r="H352" s="2">
        <v>44784</v>
      </c>
      <c r="I352" t="s">
        <v>16</v>
      </c>
      <c r="J352" t="s">
        <v>17</v>
      </c>
      <c r="L352" t="s">
        <v>18</v>
      </c>
      <c r="M352" t="s">
        <v>22</v>
      </c>
    </row>
    <row r="353" spans="1:13" x14ac:dyDescent="0.3">
      <c r="A353" t="str">
        <f>HYPERLINK("https://hsdes.intel.com/resource/14013159102","14013159102")</f>
        <v>14013159102</v>
      </c>
      <c r="B353" t="s">
        <v>828</v>
      </c>
      <c r="C353" t="s">
        <v>12</v>
      </c>
      <c r="D353" t="s">
        <v>829</v>
      </c>
      <c r="E353" t="s">
        <v>14</v>
      </c>
      <c r="G353" t="s">
        <v>15</v>
      </c>
      <c r="H353" s="2">
        <v>44784</v>
      </c>
      <c r="I353" t="s">
        <v>16</v>
      </c>
      <c r="J353" t="s">
        <v>17</v>
      </c>
      <c r="L353" t="s">
        <v>18</v>
      </c>
      <c r="M353" t="s">
        <v>26</v>
      </c>
    </row>
    <row r="354" spans="1:13" x14ac:dyDescent="0.3">
      <c r="A354" t="str">
        <f>HYPERLINK("https://hsdes.intel.com/resource/14013159106","14013159106")</f>
        <v>14013159106</v>
      </c>
      <c r="B354" t="s">
        <v>830</v>
      </c>
      <c r="C354" t="s">
        <v>12</v>
      </c>
      <c r="D354" t="s">
        <v>831</v>
      </c>
      <c r="E354" t="s">
        <v>14</v>
      </c>
      <c r="G354" t="s">
        <v>15</v>
      </c>
      <c r="H354" s="2">
        <v>44784</v>
      </c>
      <c r="I354" t="s">
        <v>16</v>
      </c>
      <c r="J354" t="s">
        <v>17</v>
      </c>
      <c r="L354" t="s">
        <v>18</v>
      </c>
      <c r="M354" t="s">
        <v>22</v>
      </c>
    </row>
    <row r="355" spans="1:13" x14ac:dyDescent="0.3">
      <c r="A355" t="str">
        <f>HYPERLINK("https://hsdes.intel.com/resource/14013159116","14013159116")</f>
        <v>14013159116</v>
      </c>
      <c r="B355" t="s">
        <v>834</v>
      </c>
      <c r="C355" t="s">
        <v>12</v>
      </c>
      <c r="D355" t="s">
        <v>835</v>
      </c>
      <c r="E355" t="s">
        <v>120</v>
      </c>
      <c r="F355" t="s">
        <v>186</v>
      </c>
      <c r="G355" t="s">
        <v>89</v>
      </c>
      <c r="H355" s="4">
        <v>44790</v>
      </c>
      <c r="I355" t="s">
        <v>16</v>
      </c>
      <c r="J355" t="s">
        <v>17</v>
      </c>
      <c r="L355" t="s">
        <v>18</v>
      </c>
      <c r="M355" t="s">
        <v>19</v>
      </c>
    </row>
    <row r="356" spans="1:13" x14ac:dyDescent="0.3">
      <c r="A356" t="str">
        <f>HYPERLINK("https://hsdes.intel.com/resource/14013159121","14013159121")</f>
        <v>14013159121</v>
      </c>
      <c r="B356" t="s">
        <v>836</v>
      </c>
      <c r="C356" t="s">
        <v>12</v>
      </c>
      <c r="D356" t="s">
        <v>837</v>
      </c>
      <c r="E356" t="s">
        <v>14</v>
      </c>
      <c r="G356" t="s">
        <v>15</v>
      </c>
      <c r="H356" s="2">
        <v>44784</v>
      </c>
      <c r="I356" t="s">
        <v>16</v>
      </c>
      <c r="J356" t="s">
        <v>17</v>
      </c>
      <c r="L356" t="s">
        <v>18</v>
      </c>
      <c r="M356" t="s">
        <v>22</v>
      </c>
    </row>
    <row r="357" spans="1:13" x14ac:dyDescent="0.3">
      <c r="A357" t="str">
        <f>HYPERLINK("https://hsdes.intel.com/resource/14013159132","14013159132")</f>
        <v>14013159132</v>
      </c>
      <c r="B357" t="s">
        <v>838</v>
      </c>
      <c r="C357" t="s">
        <v>12</v>
      </c>
      <c r="D357" t="s">
        <v>839</v>
      </c>
      <c r="E357" t="s">
        <v>14</v>
      </c>
      <c r="G357" t="s">
        <v>69</v>
      </c>
      <c r="H357" s="2">
        <v>44801</v>
      </c>
      <c r="I357" t="s">
        <v>16</v>
      </c>
      <c r="J357" t="s">
        <v>17</v>
      </c>
      <c r="L357" t="s">
        <v>18</v>
      </c>
      <c r="M357" t="s">
        <v>26</v>
      </c>
    </row>
    <row r="358" spans="1:13" x14ac:dyDescent="0.3">
      <c r="A358" t="str">
        <f>HYPERLINK("https://hsdes.intel.com/resource/14013159141","14013159141")</f>
        <v>14013159141</v>
      </c>
      <c r="B358" t="s">
        <v>844</v>
      </c>
      <c r="C358" t="s">
        <v>12</v>
      </c>
      <c r="D358" t="s">
        <v>845</v>
      </c>
      <c r="E358" t="s">
        <v>14</v>
      </c>
      <c r="F358" t="s">
        <v>846</v>
      </c>
      <c r="G358" t="s">
        <v>111</v>
      </c>
      <c r="H358" s="2">
        <v>44785</v>
      </c>
      <c r="I358" t="s">
        <v>16</v>
      </c>
      <c r="J358" t="s">
        <v>17</v>
      </c>
      <c r="L358" t="s">
        <v>18</v>
      </c>
      <c r="M358" t="s">
        <v>19</v>
      </c>
    </row>
    <row r="359" spans="1:13" x14ac:dyDescent="0.3">
      <c r="A359" t="str">
        <f>HYPERLINK("https://hsdes.intel.com/resource/14013159143","14013159143")</f>
        <v>14013159143</v>
      </c>
      <c r="B359" t="s">
        <v>847</v>
      </c>
      <c r="C359" t="s">
        <v>12</v>
      </c>
      <c r="D359" t="s">
        <v>848</v>
      </c>
      <c r="E359" t="s">
        <v>14</v>
      </c>
      <c r="F359" t="s">
        <v>849</v>
      </c>
      <c r="G359" t="s">
        <v>850</v>
      </c>
      <c r="H359" s="2">
        <v>44792</v>
      </c>
      <c r="I359" t="s">
        <v>16</v>
      </c>
      <c r="J359" t="s">
        <v>17</v>
      </c>
      <c r="L359" t="s">
        <v>18</v>
      </c>
      <c r="M359" t="s">
        <v>19</v>
      </c>
    </row>
    <row r="360" spans="1:13" x14ac:dyDescent="0.3">
      <c r="A360" t="str">
        <f>HYPERLINK("https://hsdes.intel.com/resource/14013159148","14013159148")</f>
        <v>14013159148</v>
      </c>
      <c r="B360" t="s">
        <v>851</v>
      </c>
      <c r="C360" t="s">
        <v>12</v>
      </c>
      <c r="D360" t="s">
        <v>852</v>
      </c>
      <c r="E360" t="s">
        <v>14</v>
      </c>
      <c r="G360" t="s">
        <v>15</v>
      </c>
      <c r="H360" s="2">
        <v>44784</v>
      </c>
      <c r="I360" t="s">
        <v>16</v>
      </c>
      <c r="J360" t="s">
        <v>17</v>
      </c>
      <c r="L360" t="s">
        <v>18</v>
      </c>
      <c r="M360" t="s">
        <v>19</v>
      </c>
    </row>
    <row r="361" spans="1:13" x14ac:dyDescent="0.3">
      <c r="A361" t="str">
        <f>HYPERLINK("https://hsdes.intel.com/resource/14013159151","14013159151")</f>
        <v>14013159151</v>
      </c>
      <c r="B361" t="s">
        <v>853</v>
      </c>
      <c r="C361" t="s">
        <v>12</v>
      </c>
      <c r="D361" t="s">
        <v>854</v>
      </c>
      <c r="E361" t="s">
        <v>120</v>
      </c>
      <c r="F361" t="s">
        <v>186</v>
      </c>
      <c r="G361" t="s">
        <v>111</v>
      </c>
      <c r="H361" s="2">
        <v>44785</v>
      </c>
      <c r="I361" t="s">
        <v>16</v>
      </c>
      <c r="J361" t="s">
        <v>17</v>
      </c>
      <c r="L361" t="s">
        <v>18</v>
      </c>
      <c r="M361" t="s">
        <v>19</v>
      </c>
    </row>
    <row r="362" spans="1:13" x14ac:dyDescent="0.3">
      <c r="A362" t="str">
        <f>HYPERLINK("https://hsdes.intel.com/resource/14013159155","14013159155")</f>
        <v>14013159155</v>
      </c>
      <c r="B362" t="s">
        <v>855</v>
      </c>
      <c r="C362" t="s">
        <v>12</v>
      </c>
      <c r="D362" t="s">
        <v>856</v>
      </c>
      <c r="E362" t="s">
        <v>97</v>
      </c>
      <c r="F362" t="s">
        <v>857</v>
      </c>
      <c r="G362" t="s">
        <v>31</v>
      </c>
      <c r="I362" t="s">
        <v>16</v>
      </c>
      <c r="J362" t="s">
        <v>17</v>
      </c>
      <c r="L362" t="s">
        <v>18</v>
      </c>
      <c r="M362" t="s">
        <v>22</v>
      </c>
    </row>
    <row r="363" spans="1:13" x14ac:dyDescent="0.3">
      <c r="A363" t="str">
        <f>HYPERLINK("https://hsdes.intel.com/resource/14013159158","14013159158")</f>
        <v>14013159158</v>
      </c>
      <c r="B363" t="s">
        <v>858</v>
      </c>
      <c r="C363" t="s">
        <v>12</v>
      </c>
      <c r="D363" t="s">
        <v>859</v>
      </c>
      <c r="E363" t="s">
        <v>14</v>
      </c>
      <c r="G363" t="s">
        <v>438</v>
      </c>
      <c r="H363" s="2">
        <v>44786</v>
      </c>
      <c r="I363" t="s">
        <v>16</v>
      </c>
      <c r="J363" t="s">
        <v>17</v>
      </c>
      <c r="L363" t="s">
        <v>18</v>
      </c>
      <c r="M363" t="s">
        <v>19</v>
      </c>
    </row>
    <row r="364" spans="1:13" x14ac:dyDescent="0.3">
      <c r="A364" t="str">
        <f>HYPERLINK("https://hsdes.intel.com/resource/14013159161","14013159161")</f>
        <v>14013159161</v>
      </c>
      <c r="B364" t="s">
        <v>860</v>
      </c>
      <c r="C364" t="s">
        <v>12</v>
      </c>
      <c r="D364" t="s">
        <v>861</v>
      </c>
      <c r="E364" t="s">
        <v>14</v>
      </c>
      <c r="G364" t="s">
        <v>15</v>
      </c>
      <c r="H364" s="2">
        <v>44785</v>
      </c>
      <c r="I364" t="s">
        <v>16</v>
      </c>
      <c r="J364" t="s">
        <v>17</v>
      </c>
      <c r="L364" t="s">
        <v>18</v>
      </c>
      <c r="M364" t="s">
        <v>22</v>
      </c>
    </row>
    <row r="365" spans="1:13" x14ac:dyDescent="0.3">
      <c r="A365" t="str">
        <f>HYPERLINK("https://hsdes.intel.com/resource/14013159169","14013159169")</f>
        <v>14013159169</v>
      </c>
      <c r="B365" t="s">
        <v>862</v>
      </c>
      <c r="C365" t="s">
        <v>12</v>
      </c>
      <c r="D365" t="s">
        <v>863</v>
      </c>
      <c r="E365" t="s">
        <v>14</v>
      </c>
      <c r="G365" t="s">
        <v>15</v>
      </c>
      <c r="H365" s="2">
        <v>44785</v>
      </c>
      <c r="I365" t="s">
        <v>16</v>
      </c>
      <c r="J365" t="s">
        <v>17</v>
      </c>
      <c r="L365" t="s">
        <v>18</v>
      </c>
      <c r="M365" t="s">
        <v>22</v>
      </c>
    </row>
    <row r="366" spans="1:13" x14ac:dyDescent="0.3">
      <c r="A366" t="str">
        <f>HYPERLINK("https://hsdes.intel.com/resource/14013159175","14013159175")</f>
        <v>14013159175</v>
      </c>
      <c r="B366" t="s">
        <v>866</v>
      </c>
      <c r="C366" t="s">
        <v>12</v>
      </c>
      <c r="D366" t="s">
        <v>867</v>
      </c>
      <c r="E366" t="s">
        <v>14</v>
      </c>
      <c r="F366" t="s">
        <v>868</v>
      </c>
      <c r="G366" t="s">
        <v>438</v>
      </c>
      <c r="H366" s="2">
        <v>44786</v>
      </c>
      <c r="I366" t="s">
        <v>16</v>
      </c>
      <c r="J366" t="s">
        <v>17</v>
      </c>
      <c r="L366" t="s">
        <v>18</v>
      </c>
      <c r="M366" t="s">
        <v>19</v>
      </c>
    </row>
    <row r="367" spans="1:13" x14ac:dyDescent="0.3">
      <c r="A367" t="str">
        <f>HYPERLINK("https://hsdes.intel.com/resource/14013159178","14013159178")</f>
        <v>14013159178</v>
      </c>
      <c r="B367" t="s">
        <v>869</v>
      </c>
      <c r="C367" t="s">
        <v>12</v>
      </c>
      <c r="D367" t="s">
        <v>870</v>
      </c>
      <c r="E367" t="s">
        <v>14</v>
      </c>
      <c r="G367" t="s">
        <v>15</v>
      </c>
      <c r="H367" s="2">
        <v>44789</v>
      </c>
      <c r="I367" t="s">
        <v>16</v>
      </c>
      <c r="J367" t="s">
        <v>17</v>
      </c>
      <c r="L367" t="s">
        <v>18</v>
      </c>
      <c r="M367" t="s">
        <v>19</v>
      </c>
    </row>
    <row r="368" spans="1:13" x14ac:dyDescent="0.3">
      <c r="A368" t="str">
        <f>HYPERLINK("https://hsdes.intel.com/resource/14013159182","14013159182")</f>
        <v>14013159182</v>
      </c>
      <c r="B368" t="s">
        <v>871</v>
      </c>
      <c r="C368" t="s">
        <v>12</v>
      </c>
      <c r="D368" t="s">
        <v>872</v>
      </c>
      <c r="E368" t="s">
        <v>14</v>
      </c>
      <c r="G368" t="s">
        <v>31</v>
      </c>
      <c r="H368" s="2">
        <v>44791</v>
      </c>
      <c r="I368" t="s">
        <v>16</v>
      </c>
      <c r="J368" t="s">
        <v>17</v>
      </c>
      <c r="L368" t="s">
        <v>18</v>
      </c>
      <c r="M368" t="s">
        <v>19</v>
      </c>
    </row>
    <row r="369" spans="1:13" x14ac:dyDescent="0.3">
      <c r="A369" t="str">
        <f>HYPERLINK("https://hsdes.intel.com/resource/14013159191","14013159191")</f>
        <v>14013159191</v>
      </c>
      <c r="B369" t="s">
        <v>873</v>
      </c>
      <c r="C369" t="s">
        <v>12</v>
      </c>
      <c r="D369" t="s">
        <v>874</v>
      </c>
      <c r="E369" t="s">
        <v>14</v>
      </c>
      <c r="F369" t="s">
        <v>868</v>
      </c>
      <c r="G369" t="s">
        <v>438</v>
      </c>
      <c r="H369" s="2">
        <v>44786</v>
      </c>
      <c r="I369" t="s">
        <v>16</v>
      </c>
      <c r="J369" t="s">
        <v>17</v>
      </c>
      <c r="L369" t="s">
        <v>18</v>
      </c>
      <c r="M369" t="s">
        <v>19</v>
      </c>
    </row>
    <row r="370" spans="1:13" x14ac:dyDescent="0.3">
      <c r="A370" t="str">
        <f>HYPERLINK("https://hsdes.intel.com/resource/14013159199","14013159199")</f>
        <v>14013159199</v>
      </c>
      <c r="B370" t="s">
        <v>875</v>
      </c>
      <c r="C370" t="s">
        <v>12</v>
      </c>
      <c r="D370" t="s">
        <v>876</v>
      </c>
      <c r="E370" t="s">
        <v>14</v>
      </c>
      <c r="G370" t="s">
        <v>31</v>
      </c>
      <c r="H370" s="2">
        <v>44791</v>
      </c>
      <c r="I370" t="s">
        <v>16</v>
      </c>
      <c r="J370" t="s">
        <v>17</v>
      </c>
      <c r="L370" t="s">
        <v>18</v>
      </c>
      <c r="M370" t="s">
        <v>19</v>
      </c>
    </row>
    <row r="371" spans="1:13" x14ac:dyDescent="0.3">
      <c r="A371" t="str">
        <f>HYPERLINK("https://hsdes.intel.com/resource/14013159204","14013159204")</f>
        <v>14013159204</v>
      </c>
      <c r="B371" t="s">
        <v>877</v>
      </c>
      <c r="C371" t="s">
        <v>12</v>
      </c>
      <c r="D371" t="s">
        <v>878</v>
      </c>
      <c r="E371" t="s">
        <v>14</v>
      </c>
      <c r="G371" t="s">
        <v>31</v>
      </c>
      <c r="H371" s="2">
        <v>44791</v>
      </c>
      <c r="I371" t="s">
        <v>16</v>
      </c>
      <c r="J371" t="s">
        <v>17</v>
      </c>
      <c r="L371" t="s">
        <v>18</v>
      </c>
      <c r="M371" t="s">
        <v>19</v>
      </c>
    </row>
    <row r="372" spans="1:13" x14ac:dyDescent="0.3">
      <c r="A372" t="str">
        <f>HYPERLINK("https://hsdes.intel.com/resource/14013159215","14013159215")</f>
        <v>14013159215</v>
      </c>
      <c r="B372" t="s">
        <v>879</v>
      </c>
      <c r="C372" t="s">
        <v>12</v>
      </c>
      <c r="D372" t="s">
        <v>880</v>
      </c>
      <c r="E372" t="s">
        <v>14</v>
      </c>
      <c r="F372" t="s">
        <v>881</v>
      </c>
      <c r="G372" t="s">
        <v>438</v>
      </c>
      <c r="H372" s="2">
        <v>44786</v>
      </c>
      <c r="I372" t="s">
        <v>16</v>
      </c>
      <c r="J372" t="s">
        <v>17</v>
      </c>
      <c r="L372" t="s">
        <v>18</v>
      </c>
      <c r="M372" t="s">
        <v>22</v>
      </c>
    </row>
    <row r="373" spans="1:13" x14ac:dyDescent="0.3">
      <c r="A373" t="str">
        <f>HYPERLINK("https://hsdes.intel.com/resource/14013159219","14013159219")</f>
        <v>14013159219</v>
      </c>
      <c r="B373" t="s">
        <v>882</v>
      </c>
      <c r="C373" t="s">
        <v>12</v>
      </c>
      <c r="D373" t="s">
        <v>883</v>
      </c>
      <c r="E373" t="s">
        <v>14</v>
      </c>
      <c r="G373" t="s">
        <v>31</v>
      </c>
      <c r="H373" s="2">
        <v>44792</v>
      </c>
      <c r="I373" t="s">
        <v>16</v>
      </c>
      <c r="J373" t="s">
        <v>17</v>
      </c>
      <c r="L373" t="s">
        <v>18</v>
      </c>
      <c r="M373" t="s">
        <v>22</v>
      </c>
    </row>
    <row r="374" spans="1:13" x14ac:dyDescent="0.3">
      <c r="A374" t="str">
        <f>HYPERLINK("https://hsdes.intel.com/resource/14013159222","14013159222")</f>
        <v>14013159222</v>
      </c>
      <c r="B374" t="s">
        <v>884</v>
      </c>
      <c r="C374" t="s">
        <v>12</v>
      </c>
      <c r="D374" t="s">
        <v>885</v>
      </c>
      <c r="E374" t="s">
        <v>14</v>
      </c>
      <c r="F374" t="s">
        <v>886</v>
      </c>
      <c r="G374" t="s">
        <v>31</v>
      </c>
      <c r="H374" s="2">
        <v>44792</v>
      </c>
      <c r="I374" t="s">
        <v>16</v>
      </c>
      <c r="J374" t="s">
        <v>17</v>
      </c>
      <c r="L374" t="s">
        <v>18</v>
      </c>
      <c r="M374" t="s">
        <v>19</v>
      </c>
    </row>
    <row r="375" spans="1:13" x14ac:dyDescent="0.3">
      <c r="A375" t="str">
        <f>HYPERLINK("https://hsdes.intel.com/resource/14013159227","14013159227")</f>
        <v>14013159227</v>
      </c>
      <c r="B375" t="s">
        <v>887</v>
      </c>
      <c r="C375" t="s">
        <v>12</v>
      </c>
      <c r="D375" t="s">
        <v>888</v>
      </c>
      <c r="E375" t="s">
        <v>14</v>
      </c>
      <c r="F375" t="s">
        <v>889</v>
      </c>
      <c r="G375" t="s">
        <v>31</v>
      </c>
      <c r="H375" s="2">
        <v>44792</v>
      </c>
      <c r="I375" t="s">
        <v>16</v>
      </c>
      <c r="J375" t="s">
        <v>17</v>
      </c>
      <c r="L375" t="s">
        <v>18</v>
      </c>
      <c r="M375" t="s">
        <v>19</v>
      </c>
    </row>
    <row r="376" spans="1:13" x14ac:dyDescent="0.3">
      <c r="A376" t="str">
        <f>HYPERLINK("https://hsdes.intel.com/resource/14013159254","14013159254")</f>
        <v>14013159254</v>
      </c>
      <c r="B376" t="s">
        <v>890</v>
      </c>
      <c r="C376" t="s">
        <v>12</v>
      </c>
      <c r="D376" t="s">
        <v>891</v>
      </c>
      <c r="E376" t="s">
        <v>14</v>
      </c>
      <c r="G376" t="s">
        <v>31</v>
      </c>
      <c r="H376" s="2">
        <v>44792</v>
      </c>
      <c r="I376" t="s">
        <v>16</v>
      </c>
      <c r="J376" t="s">
        <v>17</v>
      </c>
      <c r="L376" t="s">
        <v>18</v>
      </c>
      <c r="M376" t="s">
        <v>19</v>
      </c>
    </row>
    <row r="377" spans="1:13" x14ac:dyDescent="0.3">
      <c r="A377" t="str">
        <f>HYPERLINK("https://hsdes.intel.com/resource/14013159259","14013159259")</f>
        <v>14013159259</v>
      </c>
      <c r="B377" t="s">
        <v>892</v>
      </c>
      <c r="C377" t="s">
        <v>12</v>
      </c>
      <c r="D377" t="s">
        <v>893</v>
      </c>
      <c r="E377" t="s">
        <v>14</v>
      </c>
      <c r="F377" t="s">
        <v>894</v>
      </c>
      <c r="G377" t="s">
        <v>15</v>
      </c>
      <c r="H377" s="2">
        <v>44789</v>
      </c>
      <c r="I377" t="s">
        <v>16</v>
      </c>
      <c r="J377" t="s">
        <v>17</v>
      </c>
      <c r="L377" t="s">
        <v>18</v>
      </c>
      <c r="M377" t="s">
        <v>19</v>
      </c>
    </row>
    <row r="378" spans="1:13" x14ac:dyDescent="0.3">
      <c r="A378" t="str">
        <f>HYPERLINK("https://hsdes.intel.com/resource/14013159261","14013159261")</f>
        <v>14013159261</v>
      </c>
      <c r="B378" t="s">
        <v>895</v>
      </c>
      <c r="C378" t="s">
        <v>12</v>
      </c>
      <c r="D378" t="s">
        <v>896</v>
      </c>
      <c r="E378" t="s">
        <v>14</v>
      </c>
      <c r="F378" t="s">
        <v>889</v>
      </c>
      <c r="G378" t="s">
        <v>31</v>
      </c>
      <c r="H378" s="2">
        <v>44792</v>
      </c>
      <c r="I378" t="s">
        <v>16</v>
      </c>
      <c r="J378" t="s">
        <v>17</v>
      </c>
      <c r="L378" t="s">
        <v>18</v>
      </c>
      <c r="M378" t="s">
        <v>19</v>
      </c>
    </row>
    <row r="379" spans="1:13" x14ac:dyDescent="0.3">
      <c r="A379" t="str">
        <f>HYPERLINK("https://hsdes.intel.com/resource/14013159264","14013159264")</f>
        <v>14013159264</v>
      </c>
      <c r="B379" t="s">
        <v>897</v>
      </c>
      <c r="C379" t="s">
        <v>12</v>
      </c>
      <c r="D379" t="s">
        <v>898</v>
      </c>
      <c r="E379" t="s">
        <v>14</v>
      </c>
      <c r="F379" t="s">
        <v>894</v>
      </c>
      <c r="G379" t="s">
        <v>31</v>
      </c>
      <c r="H379" s="2">
        <v>44792</v>
      </c>
      <c r="I379" t="s">
        <v>16</v>
      </c>
      <c r="J379" t="s">
        <v>17</v>
      </c>
      <c r="L379" t="s">
        <v>18</v>
      </c>
      <c r="M379" t="s">
        <v>19</v>
      </c>
    </row>
    <row r="380" spans="1:13" x14ac:dyDescent="0.3">
      <c r="A380" t="str">
        <f>HYPERLINK("https://hsdes.intel.com/resource/14013159266","14013159266")</f>
        <v>14013159266</v>
      </c>
      <c r="B380" t="s">
        <v>899</v>
      </c>
      <c r="C380" t="s">
        <v>12</v>
      </c>
      <c r="D380" t="s">
        <v>900</v>
      </c>
      <c r="E380" t="s">
        <v>14</v>
      </c>
      <c r="F380" t="s">
        <v>894</v>
      </c>
      <c r="G380" t="s">
        <v>31</v>
      </c>
      <c r="H380" s="2">
        <v>44792</v>
      </c>
      <c r="I380" t="s">
        <v>16</v>
      </c>
      <c r="J380" t="s">
        <v>17</v>
      </c>
      <c r="L380" t="s">
        <v>18</v>
      </c>
      <c r="M380" t="s">
        <v>19</v>
      </c>
    </row>
    <row r="381" spans="1:13" x14ac:dyDescent="0.3">
      <c r="A381" t="str">
        <f>HYPERLINK("https://hsdes.intel.com/resource/14013159273","14013159273")</f>
        <v>14013159273</v>
      </c>
      <c r="B381" t="s">
        <v>901</v>
      </c>
      <c r="C381" t="s">
        <v>12</v>
      </c>
      <c r="D381" t="s">
        <v>902</v>
      </c>
      <c r="E381" t="s">
        <v>14</v>
      </c>
      <c r="F381" t="s">
        <v>889</v>
      </c>
      <c r="G381" t="s">
        <v>31</v>
      </c>
      <c r="H381" s="2">
        <v>44792</v>
      </c>
      <c r="I381" t="s">
        <v>16</v>
      </c>
      <c r="J381" t="s">
        <v>17</v>
      </c>
      <c r="L381" t="s">
        <v>18</v>
      </c>
      <c r="M381" t="s">
        <v>19</v>
      </c>
    </row>
    <row r="382" spans="1:13" x14ac:dyDescent="0.3">
      <c r="A382" t="str">
        <f>HYPERLINK("https://hsdes.intel.com/resource/14013159276","14013159276")</f>
        <v>14013159276</v>
      </c>
      <c r="B382" t="s">
        <v>903</v>
      </c>
      <c r="C382" t="s">
        <v>12</v>
      </c>
      <c r="D382" t="s">
        <v>904</v>
      </c>
      <c r="E382" t="s">
        <v>14</v>
      </c>
      <c r="G382" t="s">
        <v>31</v>
      </c>
      <c r="H382" s="2">
        <v>44792</v>
      </c>
      <c r="I382" t="s">
        <v>16</v>
      </c>
      <c r="J382" t="s">
        <v>17</v>
      </c>
      <c r="L382" t="s">
        <v>18</v>
      </c>
      <c r="M382" t="s">
        <v>19</v>
      </c>
    </row>
    <row r="383" spans="1:13" x14ac:dyDescent="0.3">
      <c r="A383" t="str">
        <f>HYPERLINK("https://hsdes.intel.com/resource/14013159294","14013159294")</f>
        <v>14013159294</v>
      </c>
      <c r="B383" t="s">
        <v>913</v>
      </c>
      <c r="C383" t="s">
        <v>12</v>
      </c>
      <c r="D383" t="s">
        <v>914</v>
      </c>
      <c r="E383" t="s">
        <v>14</v>
      </c>
      <c r="G383" t="s">
        <v>31</v>
      </c>
      <c r="H383" s="2">
        <v>44796</v>
      </c>
      <c r="I383" t="s">
        <v>16</v>
      </c>
      <c r="J383" t="s">
        <v>17</v>
      </c>
      <c r="L383" t="s">
        <v>18</v>
      </c>
      <c r="M383" t="s">
        <v>19</v>
      </c>
    </row>
    <row r="384" spans="1:13" x14ac:dyDescent="0.3">
      <c r="A384" t="str">
        <f>HYPERLINK("https://hsdes.intel.com/resource/14013159296","14013159296")</f>
        <v>14013159296</v>
      </c>
      <c r="B384" t="s">
        <v>915</v>
      </c>
      <c r="C384" t="s">
        <v>12</v>
      </c>
      <c r="D384" t="s">
        <v>916</v>
      </c>
      <c r="E384" t="s">
        <v>14</v>
      </c>
      <c r="G384" t="s">
        <v>31</v>
      </c>
      <c r="H384" s="2">
        <v>44796</v>
      </c>
      <c r="I384" t="s">
        <v>16</v>
      </c>
      <c r="J384" t="s">
        <v>17</v>
      </c>
      <c r="L384" t="s">
        <v>18</v>
      </c>
      <c r="M384" t="s">
        <v>19</v>
      </c>
    </row>
    <row r="385" spans="1:13" x14ac:dyDescent="0.3">
      <c r="A385" t="str">
        <f>HYPERLINK("https://hsdes.intel.com/resource/14013159299","14013159299")</f>
        <v>14013159299</v>
      </c>
      <c r="B385" t="s">
        <v>917</v>
      </c>
      <c r="C385" t="s">
        <v>12</v>
      </c>
      <c r="D385" t="s">
        <v>918</v>
      </c>
      <c r="E385" t="s">
        <v>14</v>
      </c>
      <c r="G385" t="s">
        <v>31</v>
      </c>
      <c r="H385" s="2">
        <v>44796</v>
      </c>
      <c r="I385" t="s">
        <v>16</v>
      </c>
      <c r="J385" t="s">
        <v>17</v>
      </c>
      <c r="L385" t="s">
        <v>18</v>
      </c>
      <c r="M385" t="s">
        <v>19</v>
      </c>
    </row>
    <row r="386" spans="1:13" x14ac:dyDescent="0.3">
      <c r="A386" t="str">
        <f>HYPERLINK("https://hsdes.intel.com/resource/14013159302","14013159302")</f>
        <v>14013159302</v>
      </c>
      <c r="B386" t="s">
        <v>919</v>
      </c>
      <c r="C386" t="s">
        <v>12</v>
      </c>
      <c r="D386" t="s">
        <v>920</v>
      </c>
      <c r="E386" t="s">
        <v>14</v>
      </c>
      <c r="F386" t="s">
        <v>921</v>
      </c>
      <c r="G386" t="s">
        <v>81</v>
      </c>
      <c r="H386" s="2">
        <v>44792</v>
      </c>
      <c r="I386" t="s">
        <v>16</v>
      </c>
      <c r="J386" t="s">
        <v>17</v>
      </c>
      <c r="L386" t="s">
        <v>18</v>
      </c>
      <c r="M386" t="s">
        <v>19</v>
      </c>
    </row>
    <row r="387" spans="1:13" x14ac:dyDescent="0.3">
      <c r="A387" t="str">
        <f>HYPERLINK("https://hsdes.intel.com/resource/14013159304","14013159304")</f>
        <v>14013159304</v>
      </c>
      <c r="B387" t="s">
        <v>922</v>
      </c>
      <c r="C387" t="s">
        <v>12</v>
      </c>
      <c r="D387" t="s">
        <v>923</v>
      </c>
      <c r="E387" t="s">
        <v>120</v>
      </c>
      <c r="F387" t="s">
        <v>924</v>
      </c>
      <c r="G387" t="s">
        <v>31</v>
      </c>
      <c r="H387" s="2">
        <v>44795</v>
      </c>
      <c r="I387" t="s">
        <v>38</v>
      </c>
      <c r="J387" t="s">
        <v>77</v>
      </c>
      <c r="L387" t="s">
        <v>78</v>
      </c>
      <c r="M387" t="s">
        <v>22</v>
      </c>
    </row>
    <row r="388" spans="1:13" x14ac:dyDescent="0.3">
      <c r="A388" t="str">
        <f>HYPERLINK("https://hsdes.intel.com/resource/14013159310","14013159310")</f>
        <v>14013159310</v>
      </c>
      <c r="B388" t="s">
        <v>925</v>
      </c>
      <c r="C388" t="s">
        <v>12</v>
      </c>
      <c r="D388" t="s">
        <v>926</v>
      </c>
      <c r="E388" t="s">
        <v>14</v>
      </c>
      <c r="G388" t="s">
        <v>111</v>
      </c>
      <c r="H388" s="2">
        <v>44783</v>
      </c>
      <c r="I388" t="s">
        <v>38</v>
      </c>
      <c r="J388" t="s">
        <v>77</v>
      </c>
      <c r="L388" t="s">
        <v>78</v>
      </c>
      <c r="M388" t="s">
        <v>22</v>
      </c>
    </row>
    <row r="389" spans="1:13" x14ac:dyDescent="0.3">
      <c r="A389" t="str">
        <f>HYPERLINK("https://hsdes.intel.com/resource/14013159319","14013159319")</f>
        <v>14013159319</v>
      </c>
      <c r="B389" t="s">
        <v>927</v>
      </c>
      <c r="C389" t="s">
        <v>12</v>
      </c>
      <c r="D389" t="s">
        <v>928</v>
      </c>
      <c r="E389" t="s">
        <v>14</v>
      </c>
      <c r="G389" t="s">
        <v>31</v>
      </c>
      <c r="H389" s="2">
        <v>44795</v>
      </c>
      <c r="I389" t="s">
        <v>38</v>
      </c>
      <c r="J389" t="s">
        <v>77</v>
      </c>
      <c r="L389" t="s">
        <v>78</v>
      </c>
      <c r="M389" t="s">
        <v>26</v>
      </c>
    </row>
    <row r="390" spans="1:13" x14ac:dyDescent="0.3">
      <c r="A390" t="str">
        <f>HYPERLINK("https://hsdes.intel.com/resource/14013159323","14013159323")</f>
        <v>14013159323</v>
      </c>
      <c r="B390" t="s">
        <v>929</v>
      </c>
      <c r="C390" t="s">
        <v>12</v>
      </c>
      <c r="D390" t="s">
        <v>930</v>
      </c>
      <c r="E390" t="s">
        <v>14</v>
      </c>
      <c r="G390" t="s">
        <v>438</v>
      </c>
      <c r="H390" s="2">
        <v>44786</v>
      </c>
      <c r="I390" t="s">
        <v>38</v>
      </c>
      <c r="J390" t="s">
        <v>77</v>
      </c>
      <c r="L390" t="s">
        <v>78</v>
      </c>
      <c r="M390" t="s">
        <v>26</v>
      </c>
    </row>
    <row r="391" spans="1:13" x14ac:dyDescent="0.3">
      <c r="A391" t="str">
        <f>HYPERLINK("https://hsdes.intel.com/resource/14013159329","14013159329")</f>
        <v>14013159329</v>
      </c>
      <c r="B391" t="s">
        <v>931</v>
      </c>
      <c r="C391" t="s">
        <v>12</v>
      </c>
      <c r="D391" t="s">
        <v>932</v>
      </c>
      <c r="E391" t="s">
        <v>14</v>
      </c>
      <c r="F391" t="s">
        <v>921</v>
      </c>
      <c r="G391" t="s">
        <v>81</v>
      </c>
      <c r="H391" s="2">
        <v>44792</v>
      </c>
      <c r="I391" t="s">
        <v>16</v>
      </c>
      <c r="J391" t="s">
        <v>17</v>
      </c>
      <c r="L391" t="s">
        <v>18</v>
      </c>
      <c r="M391" t="s">
        <v>22</v>
      </c>
    </row>
    <row r="392" spans="1:13" x14ac:dyDescent="0.3">
      <c r="A392" t="str">
        <f>HYPERLINK("https://hsdes.intel.com/resource/14013159340","14013159340")</f>
        <v>14013159340</v>
      </c>
      <c r="B392" t="s">
        <v>933</v>
      </c>
      <c r="C392" t="s">
        <v>12</v>
      </c>
      <c r="D392" t="s">
        <v>934</v>
      </c>
      <c r="E392" t="s">
        <v>14</v>
      </c>
      <c r="F392" t="s">
        <v>921</v>
      </c>
      <c r="G392" t="s">
        <v>81</v>
      </c>
      <c r="H392" s="2">
        <v>44792</v>
      </c>
      <c r="I392" t="s">
        <v>16</v>
      </c>
      <c r="J392" t="s">
        <v>17</v>
      </c>
      <c r="L392" t="s">
        <v>18</v>
      </c>
      <c r="M392" t="s">
        <v>19</v>
      </c>
    </row>
    <row r="393" spans="1:13" x14ac:dyDescent="0.3">
      <c r="A393" t="str">
        <f>HYPERLINK("https://hsdes.intel.com/resource/14013159343","14013159343")</f>
        <v>14013159343</v>
      </c>
      <c r="B393" t="s">
        <v>935</v>
      </c>
      <c r="C393" t="s">
        <v>12</v>
      </c>
      <c r="D393" t="s">
        <v>936</v>
      </c>
      <c r="E393" t="s">
        <v>14</v>
      </c>
      <c r="F393" t="s">
        <v>921</v>
      </c>
      <c r="G393" t="s">
        <v>81</v>
      </c>
      <c r="H393" s="2">
        <v>44792</v>
      </c>
      <c r="I393" t="s">
        <v>16</v>
      </c>
      <c r="J393" t="s">
        <v>17</v>
      </c>
      <c r="L393" t="s">
        <v>18</v>
      </c>
      <c r="M393" t="s">
        <v>19</v>
      </c>
    </row>
    <row r="394" spans="1:13" x14ac:dyDescent="0.3">
      <c r="A394" t="str">
        <f>HYPERLINK("https://hsdes.intel.com/resource/14013159344","14013159344")</f>
        <v>14013159344</v>
      </c>
      <c r="B394" t="s">
        <v>937</v>
      </c>
      <c r="C394" t="s">
        <v>12</v>
      </c>
      <c r="D394" t="s">
        <v>938</v>
      </c>
      <c r="E394" t="s">
        <v>14</v>
      </c>
      <c r="G394" t="s">
        <v>43</v>
      </c>
      <c r="H394" s="2">
        <v>44783</v>
      </c>
      <c r="I394" t="s">
        <v>16</v>
      </c>
      <c r="J394" t="s">
        <v>17</v>
      </c>
      <c r="L394" t="s">
        <v>18</v>
      </c>
      <c r="M394" t="s">
        <v>19</v>
      </c>
    </row>
    <row r="395" spans="1:13" x14ac:dyDescent="0.3">
      <c r="A395" t="str">
        <f>HYPERLINK("https://hsdes.intel.com/resource/14013159349","14013159349")</f>
        <v>14013159349</v>
      </c>
      <c r="B395" t="s">
        <v>939</v>
      </c>
      <c r="C395" t="s">
        <v>12</v>
      </c>
      <c r="D395" t="s">
        <v>940</v>
      </c>
      <c r="E395" t="s">
        <v>14</v>
      </c>
      <c r="G395" t="s">
        <v>43</v>
      </c>
      <c r="H395" s="2">
        <v>44785</v>
      </c>
      <c r="I395" t="s">
        <v>16</v>
      </c>
      <c r="J395" t="s">
        <v>17</v>
      </c>
      <c r="L395" t="s">
        <v>18</v>
      </c>
      <c r="M395" t="s">
        <v>19</v>
      </c>
    </row>
    <row r="396" spans="1:13" x14ac:dyDescent="0.3">
      <c r="A396" t="str">
        <f>HYPERLINK("https://hsdes.intel.com/resource/14013159351","14013159351")</f>
        <v>14013159351</v>
      </c>
      <c r="B396" t="s">
        <v>941</v>
      </c>
      <c r="C396" t="s">
        <v>12</v>
      </c>
      <c r="D396" t="s">
        <v>942</v>
      </c>
      <c r="E396" t="s">
        <v>14</v>
      </c>
      <c r="G396" t="s">
        <v>43</v>
      </c>
      <c r="H396" s="2">
        <v>44785</v>
      </c>
      <c r="I396" t="s">
        <v>16</v>
      </c>
      <c r="J396" t="s">
        <v>17</v>
      </c>
      <c r="L396" t="s">
        <v>18</v>
      </c>
      <c r="M396" t="s">
        <v>19</v>
      </c>
    </row>
    <row r="397" spans="1:13" x14ac:dyDescent="0.3">
      <c r="A397" t="str">
        <f>HYPERLINK("https://hsdes.intel.com/resource/14013159356","14013159356")</f>
        <v>14013159356</v>
      </c>
      <c r="B397" t="s">
        <v>943</v>
      </c>
      <c r="C397" t="s">
        <v>12</v>
      </c>
      <c r="D397" t="s">
        <v>944</v>
      </c>
      <c r="E397" t="s">
        <v>14</v>
      </c>
      <c r="G397" t="s">
        <v>43</v>
      </c>
      <c r="H397" s="2">
        <v>44785</v>
      </c>
      <c r="I397" t="s">
        <v>16</v>
      </c>
      <c r="J397" t="s">
        <v>17</v>
      </c>
      <c r="L397" t="s">
        <v>18</v>
      </c>
      <c r="M397" t="s">
        <v>19</v>
      </c>
    </row>
    <row r="398" spans="1:13" x14ac:dyDescent="0.3">
      <c r="A398" t="str">
        <f>HYPERLINK("https://hsdes.intel.com/resource/14013159363","14013159363")</f>
        <v>14013159363</v>
      </c>
      <c r="B398" t="s">
        <v>945</v>
      </c>
      <c r="C398" t="s">
        <v>12</v>
      </c>
      <c r="D398" t="s">
        <v>946</v>
      </c>
      <c r="E398" t="s">
        <v>14</v>
      </c>
      <c r="G398" t="s">
        <v>43</v>
      </c>
      <c r="H398" s="2">
        <v>44783</v>
      </c>
      <c r="I398" t="s">
        <v>16</v>
      </c>
      <c r="J398" t="s">
        <v>17</v>
      </c>
      <c r="L398" t="s">
        <v>18</v>
      </c>
      <c r="M398" t="s">
        <v>19</v>
      </c>
    </row>
    <row r="399" spans="1:13" x14ac:dyDescent="0.3">
      <c r="A399" t="str">
        <f>HYPERLINK("https://hsdes.intel.com/resource/14013159365","14013159365")</f>
        <v>14013159365</v>
      </c>
      <c r="B399" t="s">
        <v>947</v>
      </c>
      <c r="C399" t="s">
        <v>12</v>
      </c>
      <c r="D399" t="s">
        <v>948</v>
      </c>
      <c r="E399" t="s">
        <v>14</v>
      </c>
      <c r="G399" t="s">
        <v>43</v>
      </c>
      <c r="H399" s="2">
        <v>44783</v>
      </c>
      <c r="I399" t="s">
        <v>16</v>
      </c>
      <c r="J399" t="s">
        <v>17</v>
      </c>
      <c r="L399" t="s">
        <v>18</v>
      </c>
      <c r="M399" t="s">
        <v>19</v>
      </c>
    </row>
    <row r="400" spans="1:13" x14ac:dyDescent="0.3">
      <c r="A400" t="str">
        <f>HYPERLINK("https://hsdes.intel.com/resource/14013159413","14013159413")</f>
        <v>14013159413</v>
      </c>
      <c r="B400" t="s">
        <v>949</v>
      </c>
      <c r="C400" t="s">
        <v>12</v>
      </c>
      <c r="D400" t="s">
        <v>950</v>
      </c>
      <c r="E400" t="s">
        <v>120</v>
      </c>
      <c r="F400" s="9" t="s">
        <v>951</v>
      </c>
      <c r="G400" t="s">
        <v>43</v>
      </c>
      <c r="I400" t="s">
        <v>16</v>
      </c>
      <c r="J400" t="s">
        <v>17</v>
      </c>
      <c r="L400" t="s">
        <v>18</v>
      </c>
      <c r="M400" t="s">
        <v>19</v>
      </c>
    </row>
    <row r="401" spans="1:13" x14ac:dyDescent="0.3">
      <c r="A401" t="str">
        <f>HYPERLINK("https://hsdes.intel.com/resource/14013159419","14013159419")</f>
        <v>14013159419</v>
      </c>
      <c r="B401" t="s">
        <v>952</v>
      </c>
      <c r="C401" t="s">
        <v>12</v>
      </c>
      <c r="D401" t="s">
        <v>953</v>
      </c>
      <c r="E401" t="s">
        <v>14</v>
      </c>
      <c r="G401" t="s">
        <v>43</v>
      </c>
      <c r="H401" s="2">
        <v>44785</v>
      </c>
      <c r="I401" t="s">
        <v>16</v>
      </c>
      <c r="J401" t="s">
        <v>17</v>
      </c>
      <c r="L401" t="s">
        <v>18</v>
      </c>
      <c r="M401" t="s">
        <v>19</v>
      </c>
    </row>
    <row r="402" spans="1:13" x14ac:dyDescent="0.3">
      <c r="A402" t="str">
        <f>HYPERLINK("https://hsdes.intel.com/resource/14013159421","14013159421")</f>
        <v>14013159421</v>
      </c>
      <c r="B402" t="s">
        <v>954</v>
      </c>
      <c r="C402" t="s">
        <v>12</v>
      </c>
      <c r="D402" t="s">
        <v>955</v>
      </c>
      <c r="E402" t="s">
        <v>14</v>
      </c>
      <c r="G402" t="s">
        <v>43</v>
      </c>
      <c r="H402" s="2">
        <v>44785</v>
      </c>
      <c r="I402" t="s">
        <v>16</v>
      </c>
      <c r="J402" t="s">
        <v>17</v>
      </c>
      <c r="L402" t="s">
        <v>18</v>
      </c>
      <c r="M402" t="s">
        <v>19</v>
      </c>
    </row>
    <row r="403" spans="1:13" x14ac:dyDescent="0.3">
      <c r="A403" t="str">
        <f>HYPERLINK("https://hsdes.intel.com/resource/14013159423","14013159423")</f>
        <v>14013159423</v>
      </c>
      <c r="B403" t="s">
        <v>956</v>
      </c>
      <c r="C403" t="s">
        <v>12</v>
      </c>
      <c r="D403" t="s">
        <v>957</v>
      </c>
      <c r="E403" t="s">
        <v>14</v>
      </c>
      <c r="G403" t="s">
        <v>43</v>
      </c>
      <c r="H403" s="2">
        <v>44785</v>
      </c>
      <c r="I403" t="s">
        <v>16</v>
      </c>
      <c r="J403" t="s">
        <v>17</v>
      </c>
      <c r="L403" t="s">
        <v>18</v>
      </c>
      <c r="M403" t="s">
        <v>19</v>
      </c>
    </row>
    <row r="404" spans="1:13" x14ac:dyDescent="0.3">
      <c r="A404" t="str">
        <f>HYPERLINK("https://hsdes.intel.com/resource/14013159425","14013159425")</f>
        <v>14013159425</v>
      </c>
      <c r="B404" t="s">
        <v>958</v>
      </c>
      <c r="C404" t="s">
        <v>12</v>
      </c>
      <c r="D404" t="s">
        <v>959</v>
      </c>
      <c r="E404" t="s">
        <v>14</v>
      </c>
      <c r="G404" t="s">
        <v>43</v>
      </c>
      <c r="H404" s="2">
        <v>44785</v>
      </c>
      <c r="I404" t="s">
        <v>16</v>
      </c>
      <c r="J404" t="s">
        <v>17</v>
      </c>
      <c r="L404" t="s">
        <v>18</v>
      </c>
      <c r="M404" t="s">
        <v>19</v>
      </c>
    </row>
    <row r="405" spans="1:13" x14ac:dyDescent="0.3">
      <c r="A405" t="str">
        <f>HYPERLINK("https://hsdes.intel.com/resource/14013159431","14013159431")</f>
        <v>14013159431</v>
      </c>
      <c r="B405" t="s">
        <v>960</v>
      </c>
      <c r="C405" t="s">
        <v>12</v>
      </c>
      <c r="D405" t="s">
        <v>961</v>
      </c>
      <c r="E405" t="s">
        <v>14</v>
      </c>
      <c r="G405" t="s">
        <v>43</v>
      </c>
      <c r="H405" s="2">
        <v>44783</v>
      </c>
      <c r="I405" t="s">
        <v>16</v>
      </c>
      <c r="J405" t="s">
        <v>17</v>
      </c>
      <c r="L405" t="s">
        <v>18</v>
      </c>
      <c r="M405" t="s">
        <v>19</v>
      </c>
    </row>
    <row r="406" spans="1:13" x14ac:dyDescent="0.3">
      <c r="A406" t="str">
        <f>HYPERLINK("https://hsdes.intel.com/resource/14013159433","14013159433")</f>
        <v>14013159433</v>
      </c>
      <c r="B406" t="s">
        <v>962</v>
      </c>
      <c r="C406" t="s">
        <v>12</v>
      </c>
      <c r="D406" t="s">
        <v>963</v>
      </c>
      <c r="E406" t="s">
        <v>14</v>
      </c>
      <c r="G406" t="s">
        <v>43</v>
      </c>
      <c r="H406" s="2">
        <v>44784</v>
      </c>
      <c r="I406" t="s">
        <v>16</v>
      </c>
      <c r="J406" t="s">
        <v>17</v>
      </c>
      <c r="L406" t="s">
        <v>18</v>
      </c>
      <c r="M406" t="s">
        <v>19</v>
      </c>
    </row>
    <row r="407" spans="1:13" x14ac:dyDescent="0.3">
      <c r="A407" t="str">
        <f>HYPERLINK("https://hsdes.intel.com/resource/14013159441","14013159441")</f>
        <v>14013159441</v>
      </c>
      <c r="B407" t="s">
        <v>964</v>
      </c>
      <c r="C407" t="s">
        <v>12</v>
      </c>
      <c r="D407" t="s">
        <v>965</v>
      </c>
      <c r="E407" t="s">
        <v>14</v>
      </c>
      <c r="G407" t="s">
        <v>43</v>
      </c>
      <c r="H407" s="2">
        <v>44785</v>
      </c>
      <c r="I407" t="s">
        <v>16</v>
      </c>
      <c r="J407" t="s">
        <v>17</v>
      </c>
      <c r="L407" t="s">
        <v>18</v>
      </c>
      <c r="M407" t="s">
        <v>19</v>
      </c>
    </row>
    <row r="408" spans="1:13" x14ac:dyDescent="0.3">
      <c r="A408" t="str">
        <f>HYPERLINK("https://hsdes.intel.com/resource/14013159443","14013159443")</f>
        <v>14013159443</v>
      </c>
      <c r="B408" t="s">
        <v>966</v>
      </c>
      <c r="C408" t="s">
        <v>12</v>
      </c>
      <c r="D408" t="s">
        <v>967</v>
      </c>
      <c r="E408" t="s">
        <v>14</v>
      </c>
      <c r="G408" t="s">
        <v>43</v>
      </c>
      <c r="H408" s="2">
        <v>44785</v>
      </c>
      <c r="I408" t="s">
        <v>16</v>
      </c>
      <c r="J408" t="s">
        <v>17</v>
      </c>
      <c r="L408" t="s">
        <v>18</v>
      </c>
      <c r="M408" t="s">
        <v>19</v>
      </c>
    </row>
    <row r="409" spans="1:13" x14ac:dyDescent="0.3">
      <c r="A409" t="str">
        <f>HYPERLINK("https://hsdes.intel.com/resource/14013159446","14013159446")</f>
        <v>14013159446</v>
      </c>
      <c r="B409" t="s">
        <v>968</v>
      </c>
      <c r="C409" t="s">
        <v>12</v>
      </c>
      <c r="D409" t="s">
        <v>969</v>
      </c>
      <c r="E409" t="s">
        <v>14</v>
      </c>
      <c r="G409" t="s">
        <v>43</v>
      </c>
      <c r="H409" s="2">
        <v>44785</v>
      </c>
      <c r="I409" t="s">
        <v>16</v>
      </c>
      <c r="J409" t="s">
        <v>17</v>
      </c>
      <c r="L409" t="s">
        <v>18</v>
      </c>
      <c r="M409" t="s">
        <v>19</v>
      </c>
    </row>
    <row r="410" spans="1:13" x14ac:dyDescent="0.3">
      <c r="A410" t="str">
        <f>HYPERLINK("https://hsdes.intel.com/resource/14013159450","14013159450")</f>
        <v>14013159450</v>
      </c>
      <c r="B410" t="s">
        <v>970</v>
      </c>
      <c r="C410" t="s">
        <v>12</v>
      </c>
      <c r="D410" t="s">
        <v>971</v>
      </c>
      <c r="E410" t="s">
        <v>14</v>
      </c>
      <c r="G410" t="s">
        <v>43</v>
      </c>
      <c r="H410" s="2">
        <v>44784</v>
      </c>
      <c r="I410" t="s">
        <v>16</v>
      </c>
      <c r="J410" t="s">
        <v>17</v>
      </c>
      <c r="L410" t="s">
        <v>18</v>
      </c>
      <c r="M410" t="s">
        <v>19</v>
      </c>
    </row>
    <row r="411" spans="1:13" x14ac:dyDescent="0.3">
      <c r="A411" t="str">
        <f>HYPERLINK("https://hsdes.intel.com/resource/14013159453","14013159453")</f>
        <v>14013159453</v>
      </c>
      <c r="B411" t="s">
        <v>972</v>
      </c>
      <c r="C411" t="s">
        <v>12</v>
      </c>
      <c r="D411" t="s">
        <v>973</v>
      </c>
      <c r="E411" t="s">
        <v>14</v>
      </c>
      <c r="G411" t="s">
        <v>43</v>
      </c>
      <c r="H411" s="2">
        <v>44784</v>
      </c>
      <c r="I411" t="s">
        <v>16</v>
      </c>
      <c r="J411" t="s">
        <v>17</v>
      </c>
      <c r="L411" t="s">
        <v>18</v>
      </c>
      <c r="M411" t="s">
        <v>19</v>
      </c>
    </row>
    <row r="412" spans="1:13" x14ac:dyDescent="0.3">
      <c r="A412" t="str">
        <f>HYPERLINK("https://hsdes.intel.com/resource/14013159460","14013159460")</f>
        <v>14013159460</v>
      </c>
      <c r="B412" t="s">
        <v>974</v>
      </c>
      <c r="C412" t="s">
        <v>12</v>
      </c>
      <c r="D412" t="s">
        <v>975</v>
      </c>
      <c r="E412" t="s">
        <v>14</v>
      </c>
      <c r="G412" t="s">
        <v>43</v>
      </c>
      <c r="H412" s="2">
        <v>44784</v>
      </c>
      <c r="I412" t="s">
        <v>16</v>
      </c>
      <c r="J412" t="s">
        <v>17</v>
      </c>
      <c r="L412" t="s">
        <v>18</v>
      </c>
      <c r="M412" t="s">
        <v>19</v>
      </c>
    </row>
    <row r="413" spans="1:13" x14ac:dyDescent="0.3">
      <c r="A413" t="str">
        <f>HYPERLINK("https://hsdes.intel.com/resource/14013159478","14013159478")</f>
        <v>14013159478</v>
      </c>
      <c r="B413" t="s">
        <v>976</v>
      </c>
      <c r="C413" t="s">
        <v>12</v>
      </c>
      <c r="D413" t="s">
        <v>977</v>
      </c>
      <c r="E413" t="s">
        <v>14</v>
      </c>
      <c r="G413" t="s">
        <v>43</v>
      </c>
      <c r="H413" s="2">
        <v>44784</v>
      </c>
      <c r="I413" t="s">
        <v>16</v>
      </c>
      <c r="J413" t="s">
        <v>17</v>
      </c>
      <c r="L413" t="s">
        <v>18</v>
      </c>
      <c r="M413" t="s">
        <v>19</v>
      </c>
    </row>
    <row r="414" spans="1:13" x14ac:dyDescent="0.3">
      <c r="A414" t="str">
        <f>HYPERLINK("https://hsdes.intel.com/resource/14013159482","14013159482")</f>
        <v>14013159482</v>
      </c>
      <c r="B414" t="s">
        <v>978</v>
      </c>
      <c r="C414" t="s">
        <v>12</v>
      </c>
      <c r="D414" t="s">
        <v>979</v>
      </c>
      <c r="E414" t="s">
        <v>14</v>
      </c>
      <c r="G414" t="s">
        <v>43</v>
      </c>
      <c r="H414" s="2">
        <v>44784</v>
      </c>
      <c r="I414" t="s">
        <v>16</v>
      </c>
      <c r="J414" t="s">
        <v>17</v>
      </c>
      <c r="L414" t="s">
        <v>18</v>
      </c>
      <c r="M414" t="s">
        <v>19</v>
      </c>
    </row>
    <row r="415" spans="1:13" x14ac:dyDescent="0.3">
      <c r="A415" t="str">
        <f>HYPERLINK("https://hsdes.intel.com/resource/14013159484","14013159484")</f>
        <v>14013159484</v>
      </c>
      <c r="B415" t="s">
        <v>980</v>
      </c>
      <c r="C415" t="s">
        <v>12</v>
      </c>
      <c r="D415" t="s">
        <v>981</v>
      </c>
      <c r="E415" t="s">
        <v>14</v>
      </c>
      <c r="G415" t="s">
        <v>43</v>
      </c>
      <c r="H415" s="2">
        <v>44784</v>
      </c>
      <c r="I415" t="s">
        <v>16</v>
      </c>
      <c r="J415" t="s">
        <v>17</v>
      </c>
      <c r="L415" t="s">
        <v>18</v>
      </c>
      <c r="M415" t="s">
        <v>19</v>
      </c>
    </row>
    <row r="416" spans="1:13" x14ac:dyDescent="0.3">
      <c r="A416" t="str">
        <f>HYPERLINK("https://hsdes.intel.com/resource/14013159493","14013159493")</f>
        <v>14013159493</v>
      </c>
      <c r="B416" t="s">
        <v>982</v>
      </c>
      <c r="C416" t="s">
        <v>12</v>
      </c>
      <c r="D416" t="s">
        <v>983</v>
      </c>
      <c r="E416" t="s">
        <v>14</v>
      </c>
      <c r="G416" t="s">
        <v>43</v>
      </c>
      <c r="H416" s="2">
        <v>44785</v>
      </c>
      <c r="I416" t="s">
        <v>16</v>
      </c>
      <c r="J416" t="s">
        <v>17</v>
      </c>
      <c r="L416" t="s">
        <v>18</v>
      </c>
      <c r="M416" t="s">
        <v>19</v>
      </c>
    </row>
    <row r="417" spans="1:13" x14ac:dyDescent="0.3">
      <c r="A417" t="str">
        <f>HYPERLINK("https://hsdes.intel.com/resource/14013159498","14013159498")</f>
        <v>14013159498</v>
      </c>
      <c r="B417" t="s">
        <v>984</v>
      </c>
      <c r="C417" t="s">
        <v>12</v>
      </c>
      <c r="D417" t="s">
        <v>985</v>
      </c>
      <c r="E417" t="s">
        <v>14</v>
      </c>
      <c r="G417" t="s">
        <v>43</v>
      </c>
      <c r="H417" s="2">
        <v>44785</v>
      </c>
      <c r="I417" t="s">
        <v>16</v>
      </c>
      <c r="J417" t="s">
        <v>17</v>
      </c>
      <c r="L417" t="s">
        <v>18</v>
      </c>
      <c r="M417" t="s">
        <v>19</v>
      </c>
    </row>
    <row r="418" spans="1:13" x14ac:dyDescent="0.3">
      <c r="A418" t="str">
        <f>HYPERLINK("https://hsdes.intel.com/resource/14013159500","14013159500")</f>
        <v>14013159500</v>
      </c>
      <c r="B418" t="s">
        <v>986</v>
      </c>
      <c r="C418" t="s">
        <v>12</v>
      </c>
      <c r="D418" t="s">
        <v>987</v>
      </c>
      <c r="E418" t="s">
        <v>14</v>
      </c>
      <c r="G418" t="s">
        <v>43</v>
      </c>
      <c r="H418" s="2">
        <v>44785</v>
      </c>
      <c r="I418" t="s">
        <v>16</v>
      </c>
      <c r="J418" t="s">
        <v>17</v>
      </c>
      <c r="L418" t="s">
        <v>18</v>
      </c>
      <c r="M418" t="s">
        <v>19</v>
      </c>
    </row>
    <row r="419" spans="1:13" x14ac:dyDescent="0.3">
      <c r="A419" t="str">
        <f>HYPERLINK("https://hsdes.intel.com/resource/14013159503","14013159503")</f>
        <v>14013159503</v>
      </c>
      <c r="B419" t="s">
        <v>988</v>
      </c>
      <c r="C419" t="s">
        <v>12</v>
      </c>
      <c r="D419" t="s">
        <v>989</v>
      </c>
      <c r="E419" t="s">
        <v>14</v>
      </c>
      <c r="G419" t="s">
        <v>43</v>
      </c>
      <c r="H419" s="2">
        <v>44785</v>
      </c>
      <c r="I419" t="s">
        <v>16</v>
      </c>
      <c r="J419" t="s">
        <v>17</v>
      </c>
      <c r="L419" t="s">
        <v>18</v>
      </c>
      <c r="M419" t="s">
        <v>19</v>
      </c>
    </row>
    <row r="420" spans="1:13" x14ac:dyDescent="0.3">
      <c r="A420" t="str">
        <f>HYPERLINK("https://hsdes.intel.com/resource/14013159505","14013159505")</f>
        <v>14013159505</v>
      </c>
      <c r="B420" t="s">
        <v>990</v>
      </c>
      <c r="C420" t="s">
        <v>12</v>
      </c>
      <c r="D420" t="s">
        <v>991</v>
      </c>
      <c r="E420" t="s">
        <v>14</v>
      </c>
      <c r="G420" t="s">
        <v>438</v>
      </c>
      <c r="H420" s="2">
        <v>44786</v>
      </c>
      <c r="I420" t="s">
        <v>16</v>
      </c>
      <c r="J420" t="s">
        <v>17</v>
      </c>
      <c r="L420" t="s">
        <v>18</v>
      </c>
      <c r="M420" t="s">
        <v>19</v>
      </c>
    </row>
    <row r="421" spans="1:13" x14ac:dyDescent="0.3">
      <c r="A421" s="5" t="str">
        <f>HYPERLINK("https://hsdes.intel.com/resource/14013159507","14013159507")</f>
        <v>14013159507</v>
      </c>
      <c r="B421" t="s">
        <v>992</v>
      </c>
      <c r="C421" t="s">
        <v>12</v>
      </c>
      <c r="D421" t="s">
        <v>993</v>
      </c>
      <c r="E421" t="s">
        <v>14</v>
      </c>
      <c r="G421" t="s">
        <v>89</v>
      </c>
      <c r="H421" s="4">
        <v>44789</v>
      </c>
      <c r="I421" t="s">
        <v>16</v>
      </c>
      <c r="J421" t="s">
        <v>17</v>
      </c>
      <c r="L421" t="s">
        <v>18</v>
      </c>
      <c r="M421" t="s">
        <v>19</v>
      </c>
    </row>
    <row r="422" spans="1:13" x14ac:dyDescent="0.3">
      <c r="A422" t="str">
        <f>HYPERLINK("https://hsdes.intel.com/resource/14013159510","14013159510")</f>
        <v>14013159510</v>
      </c>
      <c r="B422" t="s">
        <v>994</v>
      </c>
      <c r="C422" t="s">
        <v>12</v>
      </c>
      <c r="D422" t="s">
        <v>995</v>
      </c>
      <c r="E422" t="s">
        <v>14</v>
      </c>
      <c r="G422" t="s">
        <v>89</v>
      </c>
      <c r="H422" s="4">
        <v>44789</v>
      </c>
      <c r="I422" t="s">
        <v>16</v>
      </c>
      <c r="J422" t="s">
        <v>17</v>
      </c>
      <c r="L422" t="s">
        <v>18</v>
      </c>
      <c r="M422" t="s">
        <v>19</v>
      </c>
    </row>
    <row r="423" spans="1:13" x14ac:dyDescent="0.3">
      <c r="A423" t="str">
        <f>HYPERLINK("https://hsdes.intel.com/resource/14013159519","14013159519")</f>
        <v>14013159519</v>
      </c>
      <c r="B423" t="s">
        <v>996</v>
      </c>
      <c r="C423" t="s">
        <v>12</v>
      </c>
      <c r="D423" t="s">
        <v>997</v>
      </c>
      <c r="E423" t="s">
        <v>14</v>
      </c>
      <c r="G423" t="s">
        <v>89</v>
      </c>
      <c r="H423" s="4">
        <v>44789</v>
      </c>
      <c r="I423" t="s">
        <v>16</v>
      </c>
      <c r="J423" t="s">
        <v>17</v>
      </c>
      <c r="L423" t="s">
        <v>18</v>
      </c>
      <c r="M423" t="s">
        <v>19</v>
      </c>
    </row>
    <row r="424" spans="1:13" x14ac:dyDescent="0.3">
      <c r="A424" t="str">
        <f>HYPERLINK("https://hsdes.intel.com/resource/14013159524","14013159524")</f>
        <v>14013159524</v>
      </c>
      <c r="B424" t="s">
        <v>998</v>
      </c>
      <c r="C424" t="s">
        <v>12</v>
      </c>
      <c r="D424" t="s">
        <v>999</v>
      </c>
      <c r="E424" t="s">
        <v>14</v>
      </c>
      <c r="G424" t="s">
        <v>89</v>
      </c>
      <c r="H424" s="4">
        <v>44789</v>
      </c>
      <c r="I424" t="s">
        <v>16</v>
      </c>
      <c r="J424" t="s">
        <v>17</v>
      </c>
      <c r="L424" t="s">
        <v>18</v>
      </c>
      <c r="M424" t="s">
        <v>19</v>
      </c>
    </row>
    <row r="425" spans="1:13" x14ac:dyDescent="0.3">
      <c r="A425" t="str">
        <f>HYPERLINK("https://hsdes.intel.com/resource/14013159554","14013159554")</f>
        <v>14013159554</v>
      </c>
      <c r="B425" t="s">
        <v>1000</v>
      </c>
      <c r="C425" t="s">
        <v>12</v>
      </c>
      <c r="D425" t="s">
        <v>1001</v>
      </c>
      <c r="E425" t="s">
        <v>14</v>
      </c>
      <c r="G425" t="s">
        <v>438</v>
      </c>
      <c r="H425" s="2">
        <v>44786</v>
      </c>
      <c r="I425" t="s">
        <v>16</v>
      </c>
      <c r="J425" t="s">
        <v>17</v>
      </c>
      <c r="L425" t="s">
        <v>18</v>
      </c>
      <c r="M425" t="s">
        <v>19</v>
      </c>
    </row>
    <row r="426" spans="1:13" x14ac:dyDescent="0.3">
      <c r="A426" t="str">
        <f>HYPERLINK("https://hsdes.intel.com/resource/14013159557","14013159557")</f>
        <v>14013159557</v>
      </c>
      <c r="B426" t="s">
        <v>1002</v>
      </c>
      <c r="C426" t="s">
        <v>12</v>
      </c>
      <c r="D426" t="s">
        <v>1003</v>
      </c>
      <c r="E426" t="s">
        <v>14</v>
      </c>
      <c r="G426" t="s">
        <v>89</v>
      </c>
      <c r="H426" s="4">
        <v>44789</v>
      </c>
      <c r="I426" t="s">
        <v>16</v>
      </c>
      <c r="J426" t="s">
        <v>17</v>
      </c>
      <c r="L426" t="s">
        <v>18</v>
      </c>
      <c r="M426" t="s">
        <v>19</v>
      </c>
    </row>
    <row r="427" spans="1:13" x14ac:dyDescent="0.3">
      <c r="A427" t="str">
        <f>HYPERLINK("https://hsdes.intel.com/resource/14013159561","14013159561")</f>
        <v>14013159561</v>
      </c>
      <c r="B427" t="s">
        <v>1004</v>
      </c>
      <c r="C427" t="s">
        <v>12</v>
      </c>
      <c r="D427" t="s">
        <v>1005</v>
      </c>
      <c r="E427" t="s">
        <v>120</v>
      </c>
      <c r="I427" t="s">
        <v>16</v>
      </c>
      <c r="J427" t="s">
        <v>17</v>
      </c>
      <c r="L427" t="s">
        <v>18</v>
      </c>
      <c r="M427" t="s">
        <v>19</v>
      </c>
    </row>
    <row r="428" spans="1:13" x14ac:dyDescent="0.3">
      <c r="A428" t="str">
        <f>HYPERLINK("https://hsdes.intel.com/resource/14013159563","14013159563")</f>
        <v>14013159563</v>
      </c>
      <c r="B428" t="s">
        <v>1006</v>
      </c>
      <c r="C428" t="s">
        <v>12</v>
      </c>
      <c r="D428" t="s">
        <v>1007</v>
      </c>
      <c r="E428" t="s">
        <v>120</v>
      </c>
      <c r="F428" t="s">
        <v>1008</v>
      </c>
      <c r="G428" t="s">
        <v>89</v>
      </c>
      <c r="H428" s="4">
        <v>44790</v>
      </c>
      <c r="I428" t="s">
        <v>16</v>
      </c>
      <c r="J428" t="s">
        <v>17</v>
      </c>
      <c r="L428" t="s">
        <v>18</v>
      </c>
      <c r="M428" t="s">
        <v>19</v>
      </c>
    </row>
    <row r="429" spans="1:13" x14ac:dyDescent="0.3">
      <c r="A429" t="str">
        <f>HYPERLINK("https://hsdes.intel.com/resource/14013159565","14013159565")</f>
        <v>14013159565</v>
      </c>
      <c r="B429" t="s">
        <v>1009</v>
      </c>
      <c r="C429" t="s">
        <v>12</v>
      </c>
      <c r="D429" t="s">
        <v>1010</v>
      </c>
      <c r="E429" t="s">
        <v>120</v>
      </c>
      <c r="I429" t="s">
        <v>16</v>
      </c>
      <c r="J429" t="s">
        <v>17</v>
      </c>
      <c r="L429" t="s">
        <v>18</v>
      </c>
      <c r="M429" t="s">
        <v>19</v>
      </c>
    </row>
    <row r="430" spans="1:13" x14ac:dyDescent="0.3">
      <c r="A430" t="str">
        <f>HYPERLINK("https://hsdes.intel.com/resource/14013159568","14013159568")</f>
        <v>14013159568</v>
      </c>
      <c r="B430" t="s">
        <v>1011</v>
      </c>
      <c r="C430" t="s">
        <v>12</v>
      </c>
      <c r="D430" t="s">
        <v>1012</v>
      </c>
      <c r="E430" t="s">
        <v>120</v>
      </c>
      <c r="I430" t="s">
        <v>16</v>
      </c>
      <c r="J430" t="s">
        <v>17</v>
      </c>
      <c r="L430" t="s">
        <v>18</v>
      </c>
      <c r="M430" t="s">
        <v>19</v>
      </c>
    </row>
    <row r="431" spans="1:13" x14ac:dyDescent="0.3">
      <c r="A431" t="str">
        <f>HYPERLINK("https://hsdes.intel.com/resource/14013159581","14013159581")</f>
        <v>14013159581</v>
      </c>
      <c r="B431" t="s">
        <v>1013</v>
      </c>
      <c r="C431" t="s">
        <v>12</v>
      </c>
      <c r="D431" t="s">
        <v>1014</v>
      </c>
      <c r="E431" t="s">
        <v>14</v>
      </c>
      <c r="G431" t="s">
        <v>438</v>
      </c>
      <c r="H431" s="2">
        <v>44786</v>
      </c>
      <c r="I431" t="s">
        <v>16</v>
      </c>
      <c r="J431" t="s">
        <v>17</v>
      </c>
      <c r="L431" t="s">
        <v>18</v>
      </c>
      <c r="M431" t="s">
        <v>19</v>
      </c>
    </row>
    <row r="432" spans="1:13" x14ac:dyDescent="0.3">
      <c r="A432" t="str">
        <f>HYPERLINK("https://hsdes.intel.com/resource/14013159584","14013159584")</f>
        <v>14013159584</v>
      </c>
      <c r="B432" t="s">
        <v>1015</v>
      </c>
      <c r="C432" t="s">
        <v>12</v>
      </c>
      <c r="D432" t="s">
        <v>1016</v>
      </c>
      <c r="E432" t="s">
        <v>14</v>
      </c>
      <c r="G432" t="s">
        <v>438</v>
      </c>
      <c r="H432" s="2">
        <v>44786</v>
      </c>
      <c r="I432" t="s">
        <v>16</v>
      </c>
      <c r="J432" t="s">
        <v>17</v>
      </c>
      <c r="L432" t="s">
        <v>18</v>
      </c>
      <c r="M432" t="s">
        <v>19</v>
      </c>
    </row>
    <row r="433" spans="1:13" x14ac:dyDescent="0.3">
      <c r="A433" t="str">
        <f>HYPERLINK("https://hsdes.intel.com/resource/14013159587","14013159587")</f>
        <v>14013159587</v>
      </c>
      <c r="B433" t="s">
        <v>1017</v>
      </c>
      <c r="C433" t="s">
        <v>12</v>
      </c>
      <c r="D433" t="s">
        <v>1018</v>
      </c>
      <c r="E433" t="s">
        <v>14</v>
      </c>
      <c r="G433" t="s">
        <v>438</v>
      </c>
      <c r="H433" s="2">
        <v>44786</v>
      </c>
      <c r="I433" t="s">
        <v>16</v>
      </c>
      <c r="J433" t="s">
        <v>17</v>
      </c>
      <c r="L433" t="s">
        <v>18</v>
      </c>
      <c r="M433" t="s">
        <v>19</v>
      </c>
    </row>
    <row r="434" spans="1:13" x14ac:dyDescent="0.3">
      <c r="A434" t="str">
        <f>HYPERLINK("https://hsdes.intel.com/resource/14013159589","14013159589")</f>
        <v>14013159589</v>
      </c>
      <c r="B434" t="s">
        <v>1019</v>
      </c>
      <c r="C434" t="s">
        <v>12</v>
      </c>
      <c r="D434" t="s">
        <v>1020</v>
      </c>
      <c r="E434" t="s">
        <v>14</v>
      </c>
      <c r="G434" t="s">
        <v>89</v>
      </c>
      <c r="H434" s="4">
        <v>44789</v>
      </c>
      <c r="I434" t="s">
        <v>16</v>
      </c>
      <c r="J434" t="s">
        <v>17</v>
      </c>
      <c r="L434" t="s">
        <v>18</v>
      </c>
      <c r="M434" t="s">
        <v>19</v>
      </c>
    </row>
    <row r="435" spans="1:13" x14ac:dyDescent="0.3">
      <c r="A435" t="str">
        <f>HYPERLINK("https://hsdes.intel.com/resource/14013159594","14013159594")</f>
        <v>14013159594</v>
      </c>
      <c r="B435" t="s">
        <v>1021</v>
      </c>
      <c r="C435" t="s">
        <v>12</v>
      </c>
      <c r="D435" t="s">
        <v>1022</v>
      </c>
      <c r="E435" t="s">
        <v>14</v>
      </c>
      <c r="G435" t="s">
        <v>89</v>
      </c>
      <c r="H435" s="4">
        <v>44789</v>
      </c>
      <c r="I435" t="s">
        <v>16</v>
      </c>
      <c r="J435" t="s">
        <v>17</v>
      </c>
      <c r="L435" t="s">
        <v>18</v>
      </c>
      <c r="M435" t="s">
        <v>19</v>
      </c>
    </row>
    <row r="436" spans="1:13" x14ac:dyDescent="0.3">
      <c r="A436" t="str">
        <f>HYPERLINK("https://hsdes.intel.com/resource/14013159601","14013159601")</f>
        <v>14013159601</v>
      </c>
      <c r="B436" t="s">
        <v>1023</v>
      </c>
      <c r="C436" t="s">
        <v>12</v>
      </c>
      <c r="D436" t="s">
        <v>1024</v>
      </c>
      <c r="E436" t="s">
        <v>14</v>
      </c>
      <c r="G436" t="s">
        <v>89</v>
      </c>
      <c r="H436" s="4">
        <v>44789</v>
      </c>
      <c r="I436" t="s">
        <v>16</v>
      </c>
      <c r="J436" t="s">
        <v>17</v>
      </c>
      <c r="L436" t="s">
        <v>18</v>
      </c>
      <c r="M436" t="s">
        <v>22</v>
      </c>
    </row>
    <row r="437" spans="1:13" x14ac:dyDescent="0.3">
      <c r="A437" t="str">
        <f>HYPERLINK("https://hsdes.intel.com/resource/14013159605","14013159605")</f>
        <v>14013159605</v>
      </c>
      <c r="B437" t="s">
        <v>1025</v>
      </c>
      <c r="C437" t="s">
        <v>12</v>
      </c>
      <c r="D437" t="s">
        <v>1026</v>
      </c>
      <c r="E437" t="s">
        <v>14</v>
      </c>
      <c r="G437" t="s">
        <v>89</v>
      </c>
      <c r="H437" s="4">
        <v>44789</v>
      </c>
      <c r="I437" t="s">
        <v>16</v>
      </c>
      <c r="J437" t="s">
        <v>17</v>
      </c>
      <c r="L437" t="s">
        <v>18</v>
      </c>
      <c r="M437" t="s">
        <v>19</v>
      </c>
    </row>
    <row r="438" spans="1:13" x14ac:dyDescent="0.3">
      <c r="A438" t="str">
        <f>HYPERLINK("https://hsdes.intel.com/resource/14013159609","14013159609")</f>
        <v>14013159609</v>
      </c>
      <c r="B438" t="s">
        <v>1027</v>
      </c>
      <c r="C438" t="s">
        <v>12</v>
      </c>
      <c r="D438" t="s">
        <v>1028</v>
      </c>
      <c r="E438" t="s">
        <v>14</v>
      </c>
      <c r="G438" t="s">
        <v>89</v>
      </c>
      <c r="H438" s="4">
        <v>44790</v>
      </c>
      <c r="I438" t="s">
        <v>16</v>
      </c>
      <c r="J438" t="s">
        <v>17</v>
      </c>
      <c r="L438" t="s">
        <v>18</v>
      </c>
      <c r="M438" t="s">
        <v>19</v>
      </c>
    </row>
    <row r="439" spans="1:13" x14ac:dyDescent="0.3">
      <c r="A439" t="str">
        <f>HYPERLINK("https://hsdes.intel.com/resource/14013159626","14013159626")</f>
        <v>14013159626</v>
      </c>
      <c r="B439" t="s">
        <v>1029</v>
      </c>
      <c r="C439" t="s">
        <v>12</v>
      </c>
      <c r="D439" t="s">
        <v>1030</v>
      </c>
      <c r="E439" t="s">
        <v>14</v>
      </c>
      <c r="G439" t="s">
        <v>89</v>
      </c>
      <c r="H439" s="4">
        <v>44790</v>
      </c>
      <c r="I439" t="s">
        <v>16</v>
      </c>
      <c r="J439" t="s">
        <v>17</v>
      </c>
      <c r="L439" t="s">
        <v>18</v>
      </c>
      <c r="M439" t="s">
        <v>19</v>
      </c>
    </row>
    <row r="440" spans="1:13" x14ac:dyDescent="0.3">
      <c r="A440" t="str">
        <f>HYPERLINK("https://hsdes.intel.com/resource/14013159627","14013159627")</f>
        <v>14013159627</v>
      </c>
      <c r="B440" t="s">
        <v>1031</v>
      </c>
      <c r="C440" t="s">
        <v>12</v>
      </c>
      <c r="D440" t="s">
        <v>1032</v>
      </c>
      <c r="E440" t="s">
        <v>14</v>
      </c>
      <c r="G440" t="s">
        <v>89</v>
      </c>
      <c r="H440" s="4">
        <v>44790</v>
      </c>
      <c r="I440" t="s">
        <v>16</v>
      </c>
      <c r="J440" t="s">
        <v>17</v>
      </c>
      <c r="L440" t="s">
        <v>18</v>
      </c>
      <c r="M440" t="s">
        <v>19</v>
      </c>
    </row>
    <row r="441" spans="1:13" x14ac:dyDescent="0.3">
      <c r="A441" t="str">
        <f>HYPERLINK("https://hsdes.intel.com/resource/14013159630","14013159630")</f>
        <v>14013159630</v>
      </c>
      <c r="B441" t="s">
        <v>1033</v>
      </c>
      <c r="C441" t="s">
        <v>12</v>
      </c>
      <c r="D441" t="s">
        <v>1034</v>
      </c>
      <c r="E441" t="s">
        <v>14</v>
      </c>
      <c r="G441" t="s">
        <v>89</v>
      </c>
      <c r="H441" s="4">
        <v>44790</v>
      </c>
      <c r="I441" t="s">
        <v>16</v>
      </c>
      <c r="J441" t="s">
        <v>17</v>
      </c>
      <c r="L441" t="s">
        <v>18</v>
      </c>
      <c r="M441" t="s">
        <v>19</v>
      </c>
    </row>
    <row r="442" spans="1:13" x14ac:dyDescent="0.3">
      <c r="A442" t="str">
        <f>HYPERLINK("https://hsdes.intel.com/resource/14013159637","14013159637")</f>
        <v>14013159637</v>
      </c>
      <c r="B442" t="s">
        <v>1035</v>
      </c>
      <c r="C442" t="s">
        <v>12</v>
      </c>
      <c r="D442" t="s">
        <v>1036</v>
      </c>
      <c r="E442" t="s">
        <v>120</v>
      </c>
      <c r="F442" t="s">
        <v>1037</v>
      </c>
      <c r="G442" t="s">
        <v>57</v>
      </c>
      <c r="I442" t="s">
        <v>16</v>
      </c>
      <c r="J442" t="s">
        <v>17</v>
      </c>
      <c r="L442" t="s">
        <v>18</v>
      </c>
      <c r="M442" t="s">
        <v>19</v>
      </c>
    </row>
    <row r="443" spans="1:13" x14ac:dyDescent="0.3">
      <c r="A443" t="str">
        <f>HYPERLINK("https://hsdes.intel.com/resource/14013159644","14013159644")</f>
        <v>14013159644</v>
      </c>
      <c r="B443" t="s">
        <v>1038</v>
      </c>
      <c r="C443" t="s">
        <v>12</v>
      </c>
      <c r="D443" t="s">
        <v>1039</v>
      </c>
      <c r="E443" t="s">
        <v>14</v>
      </c>
      <c r="G443" t="s">
        <v>438</v>
      </c>
      <c r="H443" s="2">
        <v>44786</v>
      </c>
      <c r="I443" t="s">
        <v>16</v>
      </c>
      <c r="J443" t="s">
        <v>17</v>
      </c>
      <c r="L443" t="s">
        <v>18</v>
      </c>
      <c r="M443" t="s">
        <v>19</v>
      </c>
    </row>
    <row r="444" spans="1:13" x14ac:dyDescent="0.3">
      <c r="A444" t="str">
        <f>HYPERLINK("https://hsdes.intel.com/resource/14013159645","14013159645")</f>
        <v>14013159645</v>
      </c>
      <c r="B444" t="s">
        <v>1040</v>
      </c>
      <c r="C444" t="s">
        <v>12</v>
      </c>
      <c r="D444" t="s">
        <v>1041</v>
      </c>
      <c r="E444" t="s">
        <v>14</v>
      </c>
      <c r="G444" t="s">
        <v>438</v>
      </c>
      <c r="H444" s="2">
        <v>44786</v>
      </c>
      <c r="I444" t="s">
        <v>16</v>
      </c>
      <c r="J444" t="s">
        <v>17</v>
      </c>
      <c r="L444" t="s">
        <v>18</v>
      </c>
      <c r="M444" t="s">
        <v>19</v>
      </c>
    </row>
    <row r="445" spans="1:13" x14ac:dyDescent="0.3">
      <c r="A445" t="str">
        <f>HYPERLINK("https://hsdes.intel.com/resource/14013159647","14013159647")</f>
        <v>14013159647</v>
      </c>
      <c r="B445" t="s">
        <v>1042</v>
      </c>
      <c r="C445" t="s">
        <v>12</v>
      </c>
      <c r="D445" t="s">
        <v>1043</v>
      </c>
      <c r="E445" t="s">
        <v>14</v>
      </c>
      <c r="G445" t="s">
        <v>89</v>
      </c>
      <c r="H445" s="4">
        <v>44790</v>
      </c>
      <c r="I445" t="s">
        <v>16</v>
      </c>
      <c r="J445" t="s">
        <v>17</v>
      </c>
      <c r="L445" t="s">
        <v>18</v>
      </c>
      <c r="M445" t="s">
        <v>22</v>
      </c>
    </row>
    <row r="446" spans="1:13" x14ac:dyDescent="0.3">
      <c r="A446" t="str">
        <f>HYPERLINK("https://hsdes.intel.com/resource/14013159649","14013159649")</f>
        <v>14013159649</v>
      </c>
      <c r="B446" t="s">
        <v>1044</v>
      </c>
      <c r="C446" t="s">
        <v>12</v>
      </c>
      <c r="D446" t="s">
        <v>1045</v>
      </c>
      <c r="E446" t="s">
        <v>14</v>
      </c>
      <c r="G446" t="s">
        <v>438</v>
      </c>
      <c r="H446" s="2">
        <v>44786</v>
      </c>
      <c r="I446" t="s">
        <v>16</v>
      </c>
      <c r="J446" t="s">
        <v>17</v>
      </c>
      <c r="L446" t="s">
        <v>18</v>
      </c>
      <c r="M446" t="s">
        <v>19</v>
      </c>
    </row>
    <row r="447" spans="1:13" x14ac:dyDescent="0.3">
      <c r="A447" t="str">
        <f>HYPERLINK("https://hsdes.intel.com/resource/14013159652","14013159652")</f>
        <v>14013159652</v>
      </c>
      <c r="B447" t="s">
        <v>1046</v>
      </c>
      <c r="C447" t="s">
        <v>12</v>
      </c>
      <c r="D447" t="s">
        <v>1047</v>
      </c>
      <c r="E447" t="s">
        <v>14</v>
      </c>
      <c r="G447" t="s">
        <v>438</v>
      </c>
      <c r="H447" s="2">
        <v>44786</v>
      </c>
      <c r="I447" t="s">
        <v>16</v>
      </c>
      <c r="J447" t="s">
        <v>17</v>
      </c>
      <c r="L447" t="s">
        <v>18</v>
      </c>
      <c r="M447" t="s">
        <v>19</v>
      </c>
    </row>
    <row r="448" spans="1:13" x14ac:dyDescent="0.3">
      <c r="A448" t="str">
        <f>HYPERLINK("https://hsdes.intel.com/resource/14013159654","14013159654")</f>
        <v>14013159654</v>
      </c>
      <c r="B448" t="s">
        <v>1048</v>
      </c>
      <c r="C448" t="s">
        <v>12</v>
      </c>
      <c r="D448" t="s">
        <v>1049</v>
      </c>
      <c r="E448" t="s">
        <v>14</v>
      </c>
      <c r="G448" t="s">
        <v>438</v>
      </c>
      <c r="H448" s="2">
        <v>44786</v>
      </c>
      <c r="I448" t="s">
        <v>16</v>
      </c>
      <c r="J448" t="s">
        <v>17</v>
      </c>
      <c r="L448" t="s">
        <v>18</v>
      </c>
      <c r="M448" t="s">
        <v>19</v>
      </c>
    </row>
    <row r="449" spans="1:13" x14ac:dyDescent="0.3">
      <c r="A449" t="str">
        <f>HYPERLINK("https://hsdes.intel.com/resource/14013159656","14013159656")</f>
        <v>14013159656</v>
      </c>
      <c r="B449" t="s">
        <v>1050</v>
      </c>
      <c r="C449" t="s">
        <v>12</v>
      </c>
      <c r="D449" t="s">
        <v>1051</v>
      </c>
      <c r="E449" t="s">
        <v>14</v>
      </c>
      <c r="G449" t="s">
        <v>89</v>
      </c>
      <c r="H449" s="4">
        <v>44790</v>
      </c>
      <c r="I449" t="s">
        <v>16</v>
      </c>
      <c r="J449" t="s">
        <v>17</v>
      </c>
      <c r="L449" t="s">
        <v>18</v>
      </c>
      <c r="M449" t="s">
        <v>19</v>
      </c>
    </row>
    <row r="450" spans="1:13" x14ac:dyDescent="0.3">
      <c r="A450" t="str">
        <f>HYPERLINK("https://hsdes.intel.com/resource/14013159658","14013159658")</f>
        <v>14013159658</v>
      </c>
      <c r="B450" t="s">
        <v>1052</v>
      </c>
      <c r="C450" t="s">
        <v>12</v>
      </c>
      <c r="D450" t="s">
        <v>1053</v>
      </c>
      <c r="E450" t="s">
        <v>14</v>
      </c>
      <c r="G450" t="s">
        <v>89</v>
      </c>
      <c r="H450" s="4">
        <v>44790</v>
      </c>
      <c r="I450" t="s">
        <v>16</v>
      </c>
      <c r="J450" t="s">
        <v>17</v>
      </c>
      <c r="L450" t="s">
        <v>18</v>
      </c>
      <c r="M450" t="s">
        <v>19</v>
      </c>
    </row>
    <row r="451" spans="1:13" x14ac:dyDescent="0.3">
      <c r="A451" t="str">
        <f>HYPERLINK("https://hsdes.intel.com/resource/14013159662","14013159662")</f>
        <v>14013159662</v>
      </c>
      <c r="B451" t="s">
        <v>1054</v>
      </c>
      <c r="C451" t="s">
        <v>12</v>
      </c>
      <c r="D451" t="s">
        <v>1055</v>
      </c>
      <c r="E451" t="s">
        <v>14</v>
      </c>
      <c r="G451" t="s">
        <v>89</v>
      </c>
      <c r="H451" s="4">
        <v>44790</v>
      </c>
      <c r="I451" t="s">
        <v>16</v>
      </c>
      <c r="J451" t="s">
        <v>17</v>
      </c>
      <c r="L451" t="s">
        <v>18</v>
      </c>
      <c r="M451" t="s">
        <v>22</v>
      </c>
    </row>
    <row r="452" spans="1:13" x14ac:dyDescent="0.3">
      <c r="A452" t="str">
        <f>HYPERLINK("https://hsdes.intel.com/resource/14013159668","14013159668")</f>
        <v>14013159668</v>
      </c>
      <c r="B452" t="s">
        <v>1056</v>
      </c>
      <c r="C452" t="s">
        <v>12</v>
      </c>
      <c r="D452" t="s">
        <v>1057</v>
      </c>
      <c r="E452" t="s">
        <v>14</v>
      </c>
      <c r="G452" t="s">
        <v>89</v>
      </c>
      <c r="H452" s="4">
        <v>44790</v>
      </c>
      <c r="I452" t="s">
        <v>16</v>
      </c>
      <c r="J452" t="s">
        <v>17</v>
      </c>
      <c r="L452" t="s">
        <v>18</v>
      </c>
      <c r="M452" t="s">
        <v>19</v>
      </c>
    </row>
    <row r="453" spans="1:13" x14ac:dyDescent="0.3">
      <c r="A453" t="str">
        <f>HYPERLINK("https://hsdes.intel.com/resource/14013159696","14013159696")</f>
        <v>14013159696</v>
      </c>
      <c r="B453" t="s">
        <v>1058</v>
      </c>
      <c r="C453" t="s">
        <v>12</v>
      </c>
      <c r="D453" t="s">
        <v>1059</v>
      </c>
      <c r="E453" t="s">
        <v>14</v>
      </c>
      <c r="F453" t="s">
        <v>868</v>
      </c>
      <c r="G453" t="s">
        <v>57</v>
      </c>
      <c r="H453" s="2">
        <v>44786</v>
      </c>
      <c r="I453" t="s">
        <v>16</v>
      </c>
      <c r="J453" t="s">
        <v>17</v>
      </c>
      <c r="L453" t="s">
        <v>18</v>
      </c>
      <c r="M453" t="s">
        <v>19</v>
      </c>
    </row>
    <row r="454" spans="1:13" x14ac:dyDescent="0.3">
      <c r="A454" t="str">
        <f>HYPERLINK("https://hsdes.intel.com/resource/14013159700","14013159700")</f>
        <v>14013159700</v>
      </c>
      <c r="B454" t="s">
        <v>1060</v>
      </c>
      <c r="C454" t="s">
        <v>12</v>
      </c>
      <c r="D454" t="s">
        <v>1061</v>
      </c>
      <c r="E454" t="s">
        <v>14</v>
      </c>
      <c r="F454" t="s">
        <v>868</v>
      </c>
      <c r="G454" t="s">
        <v>57</v>
      </c>
      <c r="H454" s="2">
        <v>44786</v>
      </c>
      <c r="I454" t="s">
        <v>16</v>
      </c>
      <c r="J454" t="s">
        <v>17</v>
      </c>
      <c r="L454" t="s">
        <v>18</v>
      </c>
      <c r="M454" t="s">
        <v>19</v>
      </c>
    </row>
    <row r="455" spans="1:13" x14ac:dyDescent="0.3">
      <c r="A455" t="str">
        <f>HYPERLINK("https://hsdes.intel.com/resource/14013159702","14013159702")</f>
        <v>14013159702</v>
      </c>
      <c r="B455" t="s">
        <v>1062</v>
      </c>
      <c r="C455" t="s">
        <v>12</v>
      </c>
      <c r="D455" t="s">
        <v>1063</v>
      </c>
      <c r="E455" t="s">
        <v>14</v>
      </c>
      <c r="F455" t="s">
        <v>868</v>
      </c>
      <c r="G455" t="s">
        <v>57</v>
      </c>
      <c r="H455" s="2">
        <v>44786</v>
      </c>
      <c r="I455" t="s">
        <v>16</v>
      </c>
      <c r="J455" t="s">
        <v>17</v>
      </c>
      <c r="L455" t="s">
        <v>18</v>
      </c>
      <c r="M455" t="s">
        <v>19</v>
      </c>
    </row>
    <row r="456" spans="1:13" x14ac:dyDescent="0.3">
      <c r="A456" t="str">
        <f>HYPERLINK("https://hsdes.intel.com/resource/14013159709","14013159709")</f>
        <v>14013159709</v>
      </c>
      <c r="B456" t="s">
        <v>1064</v>
      </c>
      <c r="C456" t="s">
        <v>12</v>
      </c>
      <c r="D456" t="s">
        <v>1065</v>
      </c>
      <c r="E456" t="s">
        <v>14</v>
      </c>
      <c r="G456" t="s">
        <v>57</v>
      </c>
      <c r="H456" s="2">
        <v>44786</v>
      </c>
      <c r="I456" t="s">
        <v>16</v>
      </c>
      <c r="J456" t="s">
        <v>17</v>
      </c>
      <c r="L456" t="s">
        <v>18</v>
      </c>
      <c r="M456" t="s">
        <v>19</v>
      </c>
    </row>
    <row r="457" spans="1:13" x14ac:dyDescent="0.3">
      <c r="A457" t="str">
        <f>HYPERLINK("https://hsdes.intel.com/resource/14013159714","14013159714")</f>
        <v>14013159714</v>
      </c>
      <c r="B457" t="s">
        <v>1066</v>
      </c>
      <c r="C457" t="s">
        <v>12</v>
      </c>
      <c r="D457" t="s">
        <v>1067</v>
      </c>
      <c r="E457" t="s">
        <v>14</v>
      </c>
      <c r="G457" t="s">
        <v>15</v>
      </c>
      <c r="H457" s="2">
        <v>44789</v>
      </c>
      <c r="I457" t="s">
        <v>16</v>
      </c>
      <c r="J457" t="s">
        <v>17</v>
      </c>
      <c r="L457" t="s">
        <v>18</v>
      </c>
      <c r="M457" t="s">
        <v>19</v>
      </c>
    </row>
    <row r="458" spans="1:13" x14ac:dyDescent="0.3">
      <c r="A458" t="str">
        <f>HYPERLINK("https://hsdes.intel.com/resource/14013159812","14013159812")</f>
        <v>14013159812</v>
      </c>
      <c r="B458" t="s">
        <v>1068</v>
      </c>
      <c r="C458" t="s">
        <v>12</v>
      </c>
      <c r="D458" t="s">
        <v>1069</v>
      </c>
      <c r="E458" t="s">
        <v>14</v>
      </c>
      <c r="G458" t="s">
        <v>43</v>
      </c>
      <c r="H458" s="2">
        <v>44784</v>
      </c>
      <c r="I458" t="s">
        <v>32</v>
      </c>
      <c r="J458" t="s">
        <v>46</v>
      </c>
      <c r="L458" t="s">
        <v>177</v>
      </c>
      <c r="M458" t="s">
        <v>19</v>
      </c>
    </row>
    <row r="459" spans="1:13" x14ac:dyDescent="0.3">
      <c r="A459" t="str">
        <f>HYPERLINK("https://hsdes.intel.com/resource/14013159852","14013159852")</f>
        <v>14013159852</v>
      </c>
      <c r="B459" t="s">
        <v>1070</v>
      </c>
      <c r="C459" t="s">
        <v>12</v>
      </c>
      <c r="D459" t="s">
        <v>1071</v>
      </c>
      <c r="E459" t="s">
        <v>14</v>
      </c>
      <c r="G459" t="s">
        <v>31</v>
      </c>
      <c r="H459" s="2">
        <v>44796</v>
      </c>
      <c r="I459" t="s">
        <v>38</v>
      </c>
      <c r="J459" t="s">
        <v>77</v>
      </c>
      <c r="L459" t="s">
        <v>78</v>
      </c>
      <c r="M459" t="s">
        <v>26</v>
      </c>
    </row>
    <row r="460" spans="1:13" x14ac:dyDescent="0.3">
      <c r="A460" t="str">
        <f>HYPERLINK("https://hsdes.intel.com/resource/14013159858","14013159858")</f>
        <v>14013159858</v>
      </c>
      <c r="B460" t="s">
        <v>1072</v>
      </c>
      <c r="C460" t="s">
        <v>12</v>
      </c>
      <c r="D460" t="s">
        <v>1073</v>
      </c>
      <c r="E460" t="s">
        <v>14</v>
      </c>
      <c r="F460" t="s">
        <v>1074</v>
      </c>
      <c r="G460" t="s">
        <v>31</v>
      </c>
      <c r="H460" s="2">
        <v>44792</v>
      </c>
      <c r="I460" t="s">
        <v>16</v>
      </c>
      <c r="J460" t="s">
        <v>17</v>
      </c>
      <c r="L460" t="s">
        <v>18</v>
      </c>
      <c r="M460" t="s">
        <v>26</v>
      </c>
    </row>
    <row r="461" spans="1:13" x14ac:dyDescent="0.3">
      <c r="A461" t="str">
        <f>HYPERLINK("https://hsdes.intel.com/resource/14013159862","14013159862")</f>
        <v>14013159862</v>
      </c>
      <c r="B461" t="s">
        <v>1075</v>
      </c>
      <c r="C461" t="s">
        <v>12</v>
      </c>
      <c r="D461" t="s">
        <v>1076</v>
      </c>
      <c r="E461" t="s">
        <v>14</v>
      </c>
      <c r="G461" t="s">
        <v>31</v>
      </c>
      <c r="H461" s="2">
        <v>44792</v>
      </c>
      <c r="I461" t="s">
        <v>16</v>
      </c>
      <c r="J461" t="s">
        <v>17</v>
      </c>
      <c r="L461" t="s">
        <v>18</v>
      </c>
      <c r="M461" t="s">
        <v>26</v>
      </c>
    </row>
    <row r="462" spans="1:13" x14ac:dyDescent="0.3">
      <c r="A462" t="str">
        <f>HYPERLINK("https://hsdes.intel.com/resource/14013159864","14013159864")</f>
        <v>14013159864</v>
      </c>
      <c r="B462" t="s">
        <v>1077</v>
      </c>
      <c r="C462" t="s">
        <v>12</v>
      </c>
      <c r="D462" t="s">
        <v>1078</v>
      </c>
      <c r="E462" t="s">
        <v>14</v>
      </c>
      <c r="G462" t="s">
        <v>31</v>
      </c>
      <c r="H462" s="2">
        <v>44792</v>
      </c>
      <c r="I462" t="s">
        <v>16</v>
      </c>
      <c r="J462" t="s">
        <v>17</v>
      </c>
      <c r="L462" t="s">
        <v>18</v>
      </c>
      <c r="M462" t="s">
        <v>19</v>
      </c>
    </row>
    <row r="463" spans="1:13" x14ac:dyDescent="0.3">
      <c r="A463" t="str">
        <f>HYPERLINK("https://hsdes.intel.com/resource/14013159868","14013159868")</f>
        <v>14013159868</v>
      </c>
      <c r="B463" t="s">
        <v>1079</v>
      </c>
      <c r="C463" t="s">
        <v>12</v>
      </c>
      <c r="D463" t="s">
        <v>1080</v>
      </c>
      <c r="E463" t="s">
        <v>14</v>
      </c>
      <c r="G463" t="s">
        <v>57</v>
      </c>
      <c r="H463" s="2">
        <v>44786</v>
      </c>
      <c r="I463" t="s">
        <v>16</v>
      </c>
      <c r="J463" t="s">
        <v>17</v>
      </c>
      <c r="L463" t="s">
        <v>18</v>
      </c>
      <c r="M463" t="s">
        <v>26</v>
      </c>
    </row>
    <row r="464" spans="1:13" x14ac:dyDescent="0.3">
      <c r="A464" t="str">
        <f>HYPERLINK("https://hsdes.intel.com/resource/14013159870","14013159870")</f>
        <v>14013159870</v>
      </c>
      <c r="B464" t="s">
        <v>1081</v>
      </c>
      <c r="C464" t="s">
        <v>12</v>
      </c>
      <c r="D464" t="s">
        <v>1082</v>
      </c>
      <c r="E464" t="s">
        <v>14</v>
      </c>
      <c r="G464" t="s">
        <v>57</v>
      </c>
      <c r="H464" s="2">
        <v>44786</v>
      </c>
      <c r="I464" t="s">
        <v>16</v>
      </c>
      <c r="J464" t="s">
        <v>17</v>
      </c>
      <c r="L464" t="s">
        <v>18</v>
      </c>
      <c r="M464" t="s">
        <v>19</v>
      </c>
    </row>
    <row r="465" spans="1:13" x14ac:dyDescent="0.3">
      <c r="A465" t="str">
        <f>HYPERLINK("https://hsdes.intel.com/resource/14013159874","14013159874")</f>
        <v>14013159874</v>
      </c>
      <c r="B465" t="s">
        <v>1083</v>
      </c>
      <c r="C465" t="s">
        <v>12</v>
      </c>
      <c r="D465" t="s">
        <v>1084</v>
      </c>
      <c r="E465" t="s">
        <v>14</v>
      </c>
      <c r="G465" t="s">
        <v>57</v>
      </c>
      <c r="H465" s="2">
        <v>44786</v>
      </c>
      <c r="I465" t="s">
        <v>16</v>
      </c>
      <c r="J465" t="s">
        <v>17</v>
      </c>
      <c r="L465" t="s">
        <v>18</v>
      </c>
      <c r="M465" t="s">
        <v>22</v>
      </c>
    </row>
    <row r="466" spans="1:13" x14ac:dyDescent="0.3">
      <c r="A466" t="str">
        <f>HYPERLINK("https://hsdes.intel.com/resource/14013159876","14013159876")</f>
        <v>14013159876</v>
      </c>
      <c r="B466" t="s">
        <v>1085</v>
      </c>
      <c r="C466" t="s">
        <v>12</v>
      </c>
      <c r="D466" t="s">
        <v>1086</v>
      </c>
      <c r="E466" t="s">
        <v>14</v>
      </c>
      <c r="G466" t="s">
        <v>111</v>
      </c>
      <c r="H466" s="2">
        <v>44789</v>
      </c>
      <c r="I466" t="s">
        <v>16</v>
      </c>
      <c r="J466" t="s">
        <v>17</v>
      </c>
      <c r="L466" t="s">
        <v>18</v>
      </c>
      <c r="M466" t="s">
        <v>19</v>
      </c>
    </row>
    <row r="467" spans="1:13" x14ac:dyDescent="0.3">
      <c r="A467" t="str">
        <f>HYPERLINK("https://hsdes.intel.com/resource/14013159881","14013159881")</f>
        <v>14013159881</v>
      </c>
      <c r="B467" t="s">
        <v>1087</v>
      </c>
      <c r="C467" t="s">
        <v>12</v>
      </c>
      <c r="D467" t="s">
        <v>1088</v>
      </c>
      <c r="E467" t="s">
        <v>14</v>
      </c>
      <c r="G467" t="s">
        <v>438</v>
      </c>
      <c r="H467" s="2">
        <v>44786</v>
      </c>
      <c r="I467" t="s">
        <v>16</v>
      </c>
      <c r="J467" t="s">
        <v>17</v>
      </c>
      <c r="L467" t="s">
        <v>18</v>
      </c>
      <c r="M467" t="s">
        <v>19</v>
      </c>
    </row>
    <row r="468" spans="1:13" x14ac:dyDescent="0.3">
      <c r="A468" t="str">
        <f>HYPERLINK("https://hsdes.intel.com/resource/14013159884","14013159884")</f>
        <v>14013159884</v>
      </c>
      <c r="B468" t="s">
        <v>1089</v>
      </c>
      <c r="C468" t="s">
        <v>12</v>
      </c>
      <c r="D468" t="s">
        <v>1090</v>
      </c>
      <c r="E468" t="s">
        <v>14</v>
      </c>
      <c r="G468" t="s">
        <v>438</v>
      </c>
      <c r="H468" s="2">
        <v>44786</v>
      </c>
      <c r="I468" t="s">
        <v>16</v>
      </c>
      <c r="J468" t="s">
        <v>17</v>
      </c>
      <c r="L468" t="s">
        <v>18</v>
      </c>
      <c r="M468" t="s">
        <v>19</v>
      </c>
    </row>
    <row r="469" spans="1:13" x14ac:dyDescent="0.3">
      <c r="A469" t="str">
        <f>HYPERLINK("https://hsdes.intel.com/resource/14013159887","14013159887")</f>
        <v>14013159887</v>
      </c>
      <c r="B469" t="s">
        <v>1091</v>
      </c>
      <c r="C469" t="s">
        <v>12</v>
      </c>
      <c r="D469" t="s">
        <v>1092</v>
      </c>
      <c r="E469" t="s">
        <v>14</v>
      </c>
      <c r="G469" t="s">
        <v>111</v>
      </c>
      <c r="H469" s="2">
        <v>44789</v>
      </c>
      <c r="I469" t="s">
        <v>16</v>
      </c>
      <c r="J469" t="s">
        <v>17</v>
      </c>
      <c r="L469" t="s">
        <v>18</v>
      </c>
      <c r="M469" t="s">
        <v>19</v>
      </c>
    </row>
    <row r="470" spans="1:13" x14ac:dyDescent="0.3">
      <c r="A470" t="str">
        <f>HYPERLINK("https://hsdes.intel.com/resource/14013159889","14013159889")</f>
        <v>14013159889</v>
      </c>
      <c r="B470" t="s">
        <v>1093</v>
      </c>
      <c r="C470" t="s">
        <v>12</v>
      </c>
      <c r="D470" t="s">
        <v>1094</v>
      </c>
      <c r="E470" t="s">
        <v>14</v>
      </c>
      <c r="G470" t="s">
        <v>1095</v>
      </c>
      <c r="I470" t="s">
        <v>16</v>
      </c>
      <c r="J470" t="s">
        <v>17</v>
      </c>
      <c r="L470" t="s">
        <v>18</v>
      </c>
      <c r="M470" t="s">
        <v>19</v>
      </c>
    </row>
    <row r="471" spans="1:13" x14ac:dyDescent="0.3">
      <c r="A471" t="str">
        <f>HYPERLINK("https://hsdes.intel.com/resource/14013159892","14013159892")</f>
        <v>14013159892</v>
      </c>
      <c r="B471" t="s">
        <v>1096</v>
      </c>
      <c r="C471" t="s">
        <v>12</v>
      </c>
      <c r="D471" t="s">
        <v>1097</v>
      </c>
      <c r="E471" t="s">
        <v>612</v>
      </c>
      <c r="F471" t="s">
        <v>1098</v>
      </c>
      <c r="G471" t="s">
        <v>111</v>
      </c>
      <c r="H471" s="2">
        <v>44789</v>
      </c>
      <c r="I471" t="s">
        <v>16</v>
      </c>
      <c r="J471" t="s">
        <v>17</v>
      </c>
      <c r="L471" t="s">
        <v>18</v>
      </c>
      <c r="M471" t="s">
        <v>19</v>
      </c>
    </row>
    <row r="472" spans="1:13" x14ac:dyDescent="0.3">
      <c r="A472" t="str">
        <f>HYPERLINK("https://hsdes.intel.com/resource/14013159897","14013159897")</f>
        <v>14013159897</v>
      </c>
      <c r="B472" t="s">
        <v>1099</v>
      </c>
      <c r="C472" t="s">
        <v>12</v>
      </c>
      <c r="D472" t="s">
        <v>1100</v>
      </c>
      <c r="E472" t="s">
        <v>14</v>
      </c>
      <c r="G472" t="s">
        <v>438</v>
      </c>
      <c r="H472" s="2">
        <v>44786</v>
      </c>
      <c r="I472" t="s">
        <v>16</v>
      </c>
      <c r="J472" t="s">
        <v>17</v>
      </c>
      <c r="L472" t="s">
        <v>18</v>
      </c>
      <c r="M472" t="s">
        <v>19</v>
      </c>
    </row>
    <row r="473" spans="1:13" x14ac:dyDescent="0.3">
      <c r="A473" t="str">
        <f>HYPERLINK("https://hsdes.intel.com/resource/14013159899","14013159899")</f>
        <v>14013159899</v>
      </c>
      <c r="B473" t="s">
        <v>1101</v>
      </c>
      <c r="C473" t="s">
        <v>12</v>
      </c>
      <c r="D473" t="s">
        <v>1102</v>
      </c>
      <c r="E473" t="s">
        <v>120</v>
      </c>
      <c r="F473" t="s">
        <v>1103</v>
      </c>
      <c r="G473" t="s">
        <v>81</v>
      </c>
      <c r="I473" t="s">
        <v>16</v>
      </c>
      <c r="J473" t="s">
        <v>17</v>
      </c>
      <c r="L473" t="s">
        <v>18</v>
      </c>
      <c r="M473" t="s">
        <v>19</v>
      </c>
    </row>
    <row r="474" spans="1:13" x14ac:dyDescent="0.3">
      <c r="A474" t="str">
        <f>HYPERLINK("https://hsdes.intel.com/resource/14013159904","14013159904")</f>
        <v>14013159904</v>
      </c>
      <c r="B474" t="s">
        <v>1104</v>
      </c>
      <c r="C474" t="s">
        <v>12</v>
      </c>
      <c r="D474" t="s">
        <v>1105</v>
      </c>
      <c r="E474" t="s">
        <v>14</v>
      </c>
      <c r="G474" t="s">
        <v>111</v>
      </c>
      <c r="H474" s="2">
        <v>44790</v>
      </c>
      <c r="I474" t="s">
        <v>16</v>
      </c>
      <c r="J474" t="s">
        <v>17</v>
      </c>
      <c r="L474" t="s">
        <v>18</v>
      </c>
      <c r="M474" t="s">
        <v>26</v>
      </c>
    </row>
    <row r="475" spans="1:13" x14ac:dyDescent="0.3">
      <c r="A475" t="str">
        <f>HYPERLINK("https://hsdes.intel.com/resource/14013159907","14013159907")</f>
        <v>14013159907</v>
      </c>
      <c r="B475" t="s">
        <v>1106</v>
      </c>
      <c r="C475" t="s">
        <v>12</v>
      </c>
      <c r="D475" t="s">
        <v>1107</v>
      </c>
      <c r="E475" t="s">
        <v>14</v>
      </c>
      <c r="G475" t="s">
        <v>111</v>
      </c>
      <c r="H475" s="2">
        <v>44789</v>
      </c>
      <c r="I475" t="s">
        <v>16</v>
      </c>
      <c r="J475" t="s">
        <v>17</v>
      </c>
      <c r="L475" t="s">
        <v>18</v>
      </c>
      <c r="M475" t="s">
        <v>26</v>
      </c>
    </row>
    <row r="476" spans="1:13" x14ac:dyDescent="0.3">
      <c r="A476" t="str">
        <f>HYPERLINK("https://hsdes.intel.com/resource/14013159909","14013159909")</f>
        <v>14013159909</v>
      </c>
      <c r="B476" t="s">
        <v>1108</v>
      </c>
      <c r="C476" t="s">
        <v>12</v>
      </c>
      <c r="D476" t="s">
        <v>1109</v>
      </c>
      <c r="E476" t="s">
        <v>14</v>
      </c>
      <c r="G476" t="s">
        <v>111</v>
      </c>
      <c r="H476" s="2">
        <v>44789</v>
      </c>
      <c r="I476" t="s">
        <v>16</v>
      </c>
      <c r="J476" t="s">
        <v>17</v>
      </c>
      <c r="L476" t="s">
        <v>18</v>
      </c>
      <c r="M476" t="s">
        <v>26</v>
      </c>
    </row>
    <row r="477" spans="1:13" x14ac:dyDescent="0.3">
      <c r="A477" t="str">
        <f>HYPERLINK("https://hsdes.intel.com/resource/14013159912","14013159912")</f>
        <v>14013159912</v>
      </c>
      <c r="B477" t="s">
        <v>1110</v>
      </c>
      <c r="C477" t="s">
        <v>12</v>
      </c>
      <c r="D477" t="s">
        <v>1111</v>
      </c>
      <c r="E477" t="s">
        <v>14</v>
      </c>
      <c r="F477" t="s">
        <v>1112</v>
      </c>
      <c r="G477" t="s">
        <v>111</v>
      </c>
      <c r="H477" s="2">
        <v>44792</v>
      </c>
      <c r="I477" t="s">
        <v>16</v>
      </c>
      <c r="J477" t="s">
        <v>17</v>
      </c>
      <c r="L477" t="s">
        <v>18</v>
      </c>
      <c r="M477" t="s">
        <v>19</v>
      </c>
    </row>
    <row r="478" spans="1:13" x14ac:dyDescent="0.3">
      <c r="A478" t="str">
        <f>HYPERLINK("https://hsdes.intel.com/resource/14013159914","14013159914")</f>
        <v>14013159914</v>
      </c>
      <c r="B478" t="s">
        <v>1113</v>
      </c>
      <c r="C478" t="s">
        <v>12</v>
      </c>
      <c r="D478" t="s">
        <v>1114</v>
      </c>
      <c r="E478" t="s">
        <v>14</v>
      </c>
      <c r="G478" t="s">
        <v>111</v>
      </c>
      <c r="H478" s="2">
        <v>44791</v>
      </c>
      <c r="I478" t="s">
        <v>16</v>
      </c>
      <c r="J478" t="s">
        <v>17</v>
      </c>
      <c r="L478" t="s">
        <v>18</v>
      </c>
      <c r="M478" t="s">
        <v>19</v>
      </c>
    </row>
    <row r="479" spans="1:13" x14ac:dyDescent="0.3">
      <c r="A479" t="str">
        <f>HYPERLINK("https://hsdes.intel.com/resource/14013159917","14013159917")</f>
        <v>14013159917</v>
      </c>
      <c r="B479" t="s">
        <v>1115</v>
      </c>
      <c r="C479" t="s">
        <v>12</v>
      </c>
      <c r="D479" t="s">
        <v>1116</v>
      </c>
      <c r="E479" t="s">
        <v>14</v>
      </c>
      <c r="G479" t="s">
        <v>111</v>
      </c>
      <c r="H479" s="2">
        <v>44790</v>
      </c>
      <c r="I479" t="s">
        <v>16</v>
      </c>
      <c r="J479" t="s">
        <v>17</v>
      </c>
      <c r="L479" t="s">
        <v>18</v>
      </c>
      <c r="M479" t="s">
        <v>26</v>
      </c>
    </row>
    <row r="480" spans="1:13" x14ac:dyDescent="0.3">
      <c r="A480" t="str">
        <f>HYPERLINK("https://hsdes.intel.com/resource/14013159920","14013159920")</f>
        <v>14013159920</v>
      </c>
      <c r="B480" t="s">
        <v>1117</v>
      </c>
      <c r="C480" t="s">
        <v>12</v>
      </c>
      <c r="D480" t="s">
        <v>1118</v>
      </c>
      <c r="E480" t="s">
        <v>14</v>
      </c>
      <c r="G480" t="s">
        <v>111</v>
      </c>
      <c r="H480" s="2">
        <v>44790</v>
      </c>
      <c r="I480" t="s">
        <v>16</v>
      </c>
      <c r="J480" t="s">
        <v>17</v>
      </c>
      <c r="L480" t="s">
        <v>18</v>
      </c>
      <c r="M480" t="s">
        <v>26</v>
      </c>
    </row>
    <row r="481" spans="1:13" x14ac:dyDescent="0.3">
      <c r="A481" t="str">
        <f>HYPERLINK("https://hsdes.intel.com/resource/14013159923","14013159923")</f>
        <v>14013159923</v>
      </c>
      <c r="B481" t="s">
        <v>1119</v>
      </c>
      <c r="C481" t="s">
        <v>12</v>
      </c>
      <c r="D481" t="s">
        <v>1120</v>
      </c>
      <c r="E481" t="s">
        <v>14</v>
      </c>
      <c r="G481" t="s">
        <v>111</v>
      </c>
      <c r="H481" s="2">
        <v>44791</v>
      </c>
      <c r="I481" t="s">
        <v>16</v>
      </c>
      <c r="J481" t="s">
        <v>17</v>
      </c>
      <c r="L481" t="s">
        <v>18</v>
      </c>
      <c r="M481" t="s">
        <v>26</v>
      </c>
    </row>
    <row r="482" spans="1:13" x14ac:dyDescent="0.3">
      <c r="A482" t="str">
        <f>HYPERLINK("https://hsdes.intel.com/resource/14013159925","14013159925")</f>
        <v>14013159925</v>
      </c>
      <c r="B482" t="s">
        <v>1121</v>
      </c>
      <c r="C482" t="s">
        <v>12</v>
      </c>
      <c r="D482" t="s">
        <v>1122</v>
      </c>
      <c r="E482" t="s">
        <v>14</v>
      </c>
      <c r="G482" t="s">
        <v>111</v>
      </c>
      <c r="H482" s="2">
        <v>44792</v>
      </c>
      <c r="I482" t="s">
        <v>16</v>
      </c>
      <c r="J482" t="s">
        <v>17</v>
      </c>
      <c r="L482" t="s">
        <v>18</v>
      </c>
      <c r="M482" t="s">
        <v>22</v>
      </c>
    </row>
    <row r="483" spans="1:13" x14ac:dyDescent="0.3">
      <c r="A483" t="str">
        <f>HYPERLINK("https://hsdes.intel.com/resource/14013159928","14013159928")</f>
        <v>14013159928</v>
      </c>
      <c r="B483" t="s">
        <v>1123</v>
      </c>
      <c r="C483" t="s">
        <v>12</v>
      </c>
      <c r="D483" t="s">
        <v>1124</v>
      </c>
      <c r="E483" t="s">
        <v>14</v>
      </c>
      <c r="G483" t="s">
        <v>111</v>
      </c>
      <c r="H483" s="2">
        <v>44792</v>
      </c>
      <c r="I483" t="s">
        <v>16</v>
      </c>
      <c r="J483" t="s">
        <v>17</v>
      </c>
      <c r="L483" t="s">
        <v>18</v>
      </c>
      <c r="M483" t="s">
        <v>26</v>
      </c>
    </row>
    <row r="484" spans="1:13" x14ac:dyDescent="0.3">
      <c r="A484" t="str">
        <f>HYPERLINK("https://hsdes.intel.com/resource/14013159940","14013159940")</f>
        <v>14013159940</v>
      </c>
      <c r="B484" t="s">
        <v>1125</v>
      </c>
      <c r="C484" t="s">
        <v>12</v>
      </c>
      <c r="D484" t="s">
        <v>1126</v>
      </c>
      <c r="E484" t="s">
        <v>14</v>
      </c>
      <c r="F484" t="s">
        <v>1127</v>
      </c>
      <c r="G484" t="s">
        <v>43</v>
      </c>
      <c r="H484" s="2">
        <v>44802</v>
      </c>
      <c r="I484" t="s">
        <v>32</v>
      </c>
      <c r="J484" t="s">
        <v>46</v>
      </c>
      <c r="L484" t="s">
        <v>177</v>
      </c>
      <c r="M484" t="s">
        <v>19</v>
      </c>
    </row>
    <row r="485" spans="1:13" x14ac:dyDescent="0.3">
      <c r="A485" t="str">
        <f>HYPERLINK("https://hsdes.intel.com/resource/14013159952","14013159952")</f>
        <v>14013159952</v>
      </c>
      <c r="B485" t="s">
        <v>1128</v>
      </c>
      <c r="C485" t="s">
        <v>12</v>
      </c>
      <c r="D485" t="s">
        <v>1129</v>
      </c>
      <c r="E485" t="s">
        <v>14</v>
      </c>
      <c r="G485" t="s">
        <v>111</v>
      </c>
      <c r="H485" s="2">
        <v>44789</v>
      </c>
      <c r="I485" t="s">
        <v>16</v>
      </c>
      <c r="J485" t="s">
        <v>17</v>
      </c>
      <c r="L485" t="s">
        <v>18</v>
      </c>
      <c r="M485" t="s">
        <v>19</v>
      </c>
    </row>
    <row r="486" spans="1:13" x14ac:dyDescent="0.3">
      <c r="A486" t="str">
        <f>HYPERLINK("https://hsdes.intel.com/resource/14013159954","14013159954")</f>
        <v>14013159954</v>
      </c>
      <c r="B486" t="s">
        <v>1130</v>
      </c>
      <c r="C486" t="s">
        <v>12</v>
      </c>
      <c r="D486" t="s">
        <v>1131</v>
      </c>
      <c r="E486" t="s">
        <v>14</v>
      </c>
      <c r="G486" t="s">
        <v>111</v>
      </c>
      <c r="H486" s="2">
        <v>44789</v>
      </c>
      <c r="I486" t="s">
        <v>16</v>
      </c>
      <c r="J486" t="s">
        <v>17</v>
      </c>
      <c r="L486" t="s">
        <v>18</v>
      </c>
      <c r="M486" t="s">
        <v>19</v>
      </c>
    </row>
    <row r="487" spans="1:13" x14ac:dyDescent="0.3">
      <c r="A487" t="str">
        <f>HYPERLINK("https://hsdes.intel.com/resource/14013159957","14013159957")</f>
        <v>14013159957</v>
      </c>
      <c r="B487" t="s">
        <v>1132</v>
      </c>
      <c r="C487" t="s">
        <v>12</v>
      </c>
      <c r="D487" t="s">
        <v>1133</v>
      </c>
      <c r="E487" t="s">
        <v>612</v>
      </c>
      <c r="F487" t="s">
        <v>1134</v>
      </c>
      <c r="G487" t="s">
        <v>111</v>
      </c>
      <c r="H487" s="2">
        <v>44789</v>
      </c>
      <c r="I487" t="s">
        <v>16</v>
      </c>
      <c r="J487" t="s">
        <v>17</v>
      </c>
      <c r="L487" t="s">
        <v>18</v>
      </c>
      <c r="M487" t="s">
        <v>19</v>
      </c>
    </row>
    <row r="488" spans="1:13" x14ac:dyDescent="0.3">
      <c r="A488" t="str">
        <f>HYPERLINK("https://hsdes.intel.com/resource/14013159959","14013159959")</f>
        <v>14013159959</v>
      </c>
      <c r="B488" t="s">
        <v>1135</v>
      </c>
      <c r="C488" t="s">
        <v>12</v>
      </c>
      <c r="D488" t="s">
        <v>1136</v>
      </c>
      <c r="E488" t="s">
        <v>612</v>
      </c>
      <c r="F488" t="s">
        <v>1137</v>
      </c>
      <c r="G488" t="s">
        <v>111</v>
      </c>
      <c r="H488" s="2">
        <v>44789</v>
      </c>
      <c r="I488" t="s">
        <v>16</v>
      </c>
      <c r="J488" t="s">
        <v>17</v>
      </c>
      <c r="L488" t="s">
        <v>18</v>
      </c>
      <c r="M488" t="s">
        <v>19</v>
      </c>
    </row>
    <row r="489" spans="1:13" x14ac:dyDescent="0.3">
      <c r="A489" t="str">
        <f>HYPERLINK("https://hsdes.intel.com/resource/14013159961","14013159961")</f>
        <v>14013159961</v>
      </c>
      <c r="B489" t="s">
        <v>1138</v>
      </c>
      <c r="C489" t="s">
        <v>12</v>
      </c>
      <c r="D489" t="s">
        <v>1139</v>
      </c>
      <c r="E489" t="s">
        <v>14</v>
      </c>
      <c r="G489" t="s">
        <v>111</v>
      </c>
      <c r="H489" s="2">
        <v>44790</v>
      </c>
      <c r="I489" t="s">
        <v>16</v>
      </c>
      <c r="J489" t="s">
        <v>17</v>
      </c>
      <c r="L489" t="s">
        <v>18</v>
      </c>
      <c r="M489" t="s">
        <v>26</v>
      </c>
    </row>
    <row r="490" spans="1:13" x14ac:dyDescent="0.3">
      <c r="A490" t="str">
        <f>HYPERLINK("https://hsdes.intel.com/resource/14013159965","14013159965")</f>
        <v>14013159965</v>
      </c>
      <c r="B490" t="s">
        <v>1140</v>
      </c>
      <c r="C490" t="s">
        <v>12</v>
      </c>
      <c r="D490" t="s">
        <v>1141</v>
      </c>
      <c r="E490" t="s">
        <v>14</v>
      </c>
      <c r="G490" t="s">
        <v>111</v>
      </c>
      <c r="H490" s="2">
        <v>44790</v>
      </c>
      <c r="I490" t="s">
        <v>16</v>
      </c>
      <c r="J490" t="s">
        <v>17</v>
      </c>
      <c r="L490" t="s">
        <v>18</v>
      </c>
      <c r="M490" t="s">
        <v>26</v>
      </c>
    </row>
    <row r="491" spans="1:13" x14ac:dyDescent="0.3">
      <c r="A491" t="str">
        <f>HYPERLINK("https://hsdes.intel.com/resource/14013159967","14013159967")</f>
        <v>14013159967</v>
      </c>
      <c r="B491" t="s">
        <v>1142</v>
      </c>
      <c r="C491" t="s">
        <v>12</v>
      </c>
      <c r="D491" t="s">
        <v>1143</v>
      </c>
      <c r="E491" t="s">
        <v>14</v>
      </c>
      <c r="G491" t="s">
        <v>111</v>
      </c>
      <c r="H491" s="2">
        <v>44792</v>
      </c>
      <c r="I491" t="s">
        <v>16</v>
      </c>
      <c r="J491" t="s">
        <v>17</v>
      </c>
      <c r="L491" t="s">
        <v>18</v>
      </c>
      <c r="M491" t="s">
        <v>26</v>
      </c>
    </row>
    <row r="492" spans="1:13" x14ac:dyDescent="0.3">
      <c r="A492" t="str">
        <f>HYPERLINK("https://hsdes.intel.com/resource/14013159969","14013159969")</f>
        <v>14013159969</v>
      </c>
      <c r="B492" t="s">
        <v>1144</v>
      </c>
      <c r="C492" t="s">
        <v>12</v>
      </c>
      <c r="D492" t="s">
        <v>1145</v>
      </c>
      <c r="E492" t="s">
        <v>14</v>
      </c>
      <c r="G492" t="s">
        <v>31</v>
      </c>
      <c r="H492" s="2">
        <v>44790</v>
      </c>
      <c r="I492" t="s">
        <v>16</v>
      </c>
      <c r="J492" t="s">
        <v>17</v>
      </c>
      <c r="L492" t="s">
        <v>18</v>
      </c>
      <c r="M492" t="s">
        <v>26</v>
      </c>
    </row>
    <row r="493" spans="1:13" x14ac:dyDescent="0.3">
      <c r="A493" t="str">
        <f>HYPERLINK("https://hsdes.intel.com/resource/14013159971","14013159971")</f>
        <v>14013159971</v>
      </c>
      <c r="B493" t="s">
        <v>1146</v>
      </c>
      <c r="C493" t="s">
        <v>12</v>
      </c>
      <c r="D493" t="s">
        <v>1147</v>
      </c>
      <c r="E493" t="s">
        <v>14</v>
      </c>
      <c r="G493" t="s">
        <v>31</v>
      </c>
      <c r="H493" s="2">
        <v>44790</v>
      </c>
      <c r="I493" t="s">
        <v>16</v>
      </c>
      <c r="J493" t="s">
        <v>17</v>
      </c>
      <c r="L493" t="s">
        <v>18</v>
      </c>
      <c r="M493" t="s">
        <v>19</v>
      </c>
    </row>
    <row r="494" spans="1:13" x14ac:dyDescent="0.3">
      <c r="A494" t="str">
        <f>HYPERLINK("https://hsdes.intel.com/resource/14013159973","14013159973")</f>
        <v>14013159973</v>
      </c>
      <c r="B494" t="s">
        <v>1148</v>
      </c>
      <c r="C494" t="s">
        <v>12</v>
      </c>
      <c r="D494" t="s">
        <v>1149</v>
      </c>
      <c r="E494" t="s">
        <v>14</v>
      </c>
      <c r="G494" t="s">
        <v>31</v>
      </c>
      <c r="H494" s="2">
        <v>44790</v>
      </c>
      <c r="I494" t="s">
        <v>16</v>
      </c>
      <c r="J494" t="s">
        <v>17</v>
      </c>
      <c r="L494" t="s">
        <v>18</v>
      </c>
      <c r="M494" t="s">
        <v>26</v>
      </c>
    </row>
    <row r="495" spans="1:13" x14ac:dyDescent="0.3">
      <c r="A495" t="str">
        <f>HYPERLINK("https://hsdes.intel.com/resource/14013159979","14013159979")</f>
        <v>14013159979</v>
      </c>
      <c r="B495" t="s">
        <v>1150</v>
      </c>
      <c r="C495" t="s">
        <v>12</v>
      </c>
      <c r="D495" t="s">
        <v>1151</v>
      </c>
      <c r="E495" t="s">
        <v>14</v>
      </c>
      <c r="G495" t="s">
        <v>31</v>
      </c>
      <c r="H495" s="2">
        <v>44790</v>
      </c>
      <c r="I495" t="s">
        <v>16</v>
      </c>
      <c r="J495" t="s">
        <v>17</v>
      </c>
      <c r="L495" t="s">
        <v>18</v>
      </c>
      <c r="M495" t="s">
        <v>19</v>
      </c>
    </row>
    <row r="496" spans="1:13" x14ac:dyDescent="0.3">
      <c r="A496" t="str">
        <f>HYPERLINK("https://hsdes.intel.com/resource/14013159987","14013159987")</f>
        <v>14013159987</v>
      </c>
      <c r="B496" t="s">
        <v>1152</v>
      </c>
      <c r="C496" t="s">
        <v>12</v>
      </c>
      <c r="D496" t="s">
        <v>1153</v>
      </c>
      <c r="E496" t="s">
        <v>14</v>
      </c>
      <c r="G496" t="s">
        <v>31</v>
      </c>
      <c r="H496" s="2">
        <v>44790</v>
      </c>
      <c r="I496" t="s">
        <v>16</v>
      </c>
      <c r="J496" t="s">
        <v>17</v>
      </c>
      <c r="L496" t="s">
        <v>18</v>
      </c>
      <c r="M496" t="s">
        <v>22</v>
      </c>
    </row>
    <row r="497" spans="1:13" x14ac:dyDescent="0.3">
      <c r="A497" t="str">
        <f>HYPERLINK("https://hsdes.intel.com/resource/14013160002","14013160002")</f>
        <v>14013160002</v>
      </c>
      <c r="B497" t="s">
        <v>1154</v>
      </c>
      <c r="C497" t="s">
        <v>12</v>
      </c>
      <c r="D497" t="s">
        <v>1155</v>
      </c>
      <c r="E497" t="s">
        <v>14</v>
      </c>
      <c r="G497" t="s">
        <v>31</v>
      </c>
      <c r="H497" s="2">
        <v>44791</v>
      </c>
      <c r="I497" t="s">
        <v>16</v>
      </c>
      <c r="J497" t="s">
        <v>17</v>
      </c>
      <c r="L497" t="s">
        <v>18</v>
      </c>
      <c r="M497" t="s">
        <v>19</v>
      </c>
    </row>
    <row r="498" spans="1:13" x14ac:dyDescent="0.3">
      <c r="A498" t="str">
        <f>HYPERLINK("https://hsdes.intel.com/resource/14013160004","14013160004")</f>
        <v>14013160004</v>
      </c>
      <c r="B498" t="s">
        <v>1156</v>
      </c>
      <c r="C498" t="s">
        <v>12</v>
      </c>
      <c r="D498" t="s">
        <v>1157</v>
      </c>
      <c r="E498" t="s">
        <v>120</v>
      </c>
      <c r="F498" t="s">
        <v>662</v>
      </c>
      <c r="G498" t="s">
        <v>31</v>
      </c>
      <c r="I498" t="s">
        <v>16</v>
      </c>
      <c r="J498" t="s">
        <v>17</v>
      </c>
      <c r="L498" t="s">
        <v>18</v>
      </c>
      <c r="M498" t="s">
        <v>19</v>
      </c>
    </row>
    <row r="499" spans="1:13" x14ac:dyDescent="0.3">
      <c r="A499" t="str">
        <f>HYPERLINK("https://hsdes.intel.com/resource/14013160006","14013160006")</f>
        <v>14013160006</v>
      </c>
      <c r="B499" t="s">
        <v>1158</v>
      </c>
      <c r="C499" t="s">
        <v>12</v>
      </c>
      <c r="D499" t="s">
        <v>1159</v>
      </c>
      <c r="E499" t="s">
        <v>14</v>
      </c>
      <c r="G499" t="s">
        <v>31</v>
      </c>
      <c r="H499" s="2">
        <v>44790</v>
      </c>
      <c r="I499" t="s">
        <v>16</v>
      </c>
      <c r="J499" t="s">
        <v>17</v>
      </c>
      <c r="L499" t="s">
        <v>18</v>
      </c>
      <c r="M499" t="s">
        <v>26</v>
      </c>
    </row>
    <row r="500" spans="1:13" x14ac:dyDescent="0.3">
      <c r="A500" t="str">
        <f>HYPERLINK("https://hsdes.intel.com/resource/14013160009","14013160009")</f>
        <v>14013160009</v>
      </c>
      <c r="B500" t="s">
        <v>1160</v>
      </c>
      <c r="C500" t="s">
        <v>12</v>
      </c>
      <c r="D500" t="s">
        <v>1161</v>
      </c>
      <c r="E500" t="s">
        <v>14</v>
      </c>
      <c r="G500" t="s">
        <v>31</v>
      </c>
      <c r="H500" s="2">
        <v>44790</v>
      </c>
      <c r="I500" t="s">
        <v>16</v>
      </c>
      <c r="J500" t="s">
        <v>17</v>
      </c>
      <c r="L500" t="s">
        <v>18</v>
      </c>
      <c r="M500" t="s">
        <v>26</v>
      </c>
    </row>
    <row r="501" spans="1:13" x14ac:dyDescent="0.3">
      <c r="A501" t="str">
        <f>HYPERLINK("https://hsdes.intel.com/resource/14013160011","14013160011")</f>
        <v>14013160011</v>
      </c>
      <c r="B501" t="s">
        <v>1162</v>
      </c>
      <c r="C501" t="s">
        <v>12</v>
      </c>
      <c r="D501" t="s">
        <v>1163</v>
      </c>
      <c r="E501" t="s">
        <v>14</v>
      </c>
      <c r="G501" t="s">
        <v>31</v>
      </c>
      <c r="H501" s="2">
        <v>44790</v>
      </c>
      <c r="I501" t="s">
        <v>16</v>
      </c>
      <c r="J501" t="s">
        <v>17</v>
      </c>
      <c r="L501" t="s">
        <v>18</v>
      </c>
      <c r="M501" t="s">
        <v>19</v>
      </c>
    </row>
    <row r="502" spans="1:13" x14ac:dyDescent="0.3">
      <c r="A502" t="str">
        <f>HYPERLINK("https://hsdes.intel.com/resource/14013160014","14013160014")</f>
        <v>14013160014</v>
      </c>
      <c r="B502" t="s">
        <v>1164</v>
      </c>
      <c r="C502" t="s">
        <v>12</v>
      </c>
      <c r="D502" t="s">
        <v>1165</v>
      </c>
      <c r="E502" t="s">
        <v>14</v>
      </c>
      <c r="G502" t="s">
        <v>31</v>
      </c>
      <c r="H502" s="2">
        <v>44790</v>
      </c>
      <c r="I502" t="s">
        <v>16</v>
      </c>
      <c r="J502" t="s">
        <v>17</v>
      </c>
      <c r="L502" t="s">
        <v>18</v>
      </c>
      <c r="M502" t="s">
        <v>19</v>
      </c>
    </row>
    <row r="503" spans="1:13" x14ac:dyDescent="0.3">
      <c r="A503" t="str">
        <f>HYPERLINK("https://hsdes.intel.com/resource/14013160018","14013160018")</f>
        <v>14013160018</v>
      </c>
      <c r="B503" t="s">
        <v>1166</v>
      </c>
      <c r="C503" t="s">
        <v>12</v>
      </c>
      <c r="D503" t="s">
        <v>1167</v>
      </c>
      <c r="E503" t="s">
        <v>14</v>
      </c>
      <c r="G503" t="s">
        <v>31</v>
      </c>
      <c r="H503" s="2">
        <v>44790</v>
      </c>
      <c r="I503" t="s">
        <v>16</v>
      </c>
      <c r="J503" t="s">
        <v>17</v>
      </c>
      <c r="L503" t="s">
        <v>18</v>
      </c>
      <c r="M503" t="s">
        <v>19</v>
      </c>
    </row>
    <row r="504" spans="1:13" x14ac:dyDescent="0.3">
      <c r="A504" t="str">
        <f>HYPERLINK("https://hsdes.intel.com/resource/14013160020","14013160020")</f>
        <v>14013160020</v>
      </c>
      <c r="B504" t="s">
        <v>1168</v>
      </c>
      <c r="C504" t="s">
        <v>12</v>
      </c>
      <c r="D504" t="s">
        <v>1169</v>
      </c>
      <c r="E504" t="s">
        <v>14</v>
      </c>
      <c r="G504" t="s">
        <v>31</v>
      </c>
      <c r="H504" s="2">
        <v>44790</v>
      </c>
      <c r="I504" t="s">
        <v>16</v>
      </c>
      <c r="J504" t="s">
        <v>17</v>
      </c>
      <c r="L504" t="s">
        <v>18</v>
      </c>
      <c r="M504" t="s">
        <v>26</v>
      </c>
    </row>
    <row r="505" spans="1:13" x14ac:dyDescent="0.3">
      <c r="A505" t="str">
        <f>HYPERLINK("https://hsdes.intel.com/resource/14013160022","14013160022")</f>
        <v>14013160022</v>
      </c>
      <c r="B505" t="s">
        <v>1170</v>
      </c>
      <c r="C505" t="s">
        <v>12</v>
      </c>
      <c r="D505" t="s">
        <v>1171</v>
      </c>
      <c r="E505" t="s">
        <v>14</v>
      </c>
      <c r="G505" t="s">
        <v>31</v>
      </c>
      <c r="H505" s="2">
        <v>44790</v>
      </c>
      <c r="I505" t="s">
        <v>16</v>
      </c>
      <c r="J505" t="s">
        <v>17</v>
      </c>
      <c r="L505" t="s">
        <v>18</v>
      </c>
      <c r="M505" t="s">
        <v>26</v>
      </c>
    </row>
    <row r="506" spans="1:13" x14ac:dyDescent="0.3">
      <c r="A506" t="str">
        <f>HYPERLINK("https://hsdes.intel.com/resource/14013160024","14013160024")</f>
        <v>14013160024</v>
      </c>
      <c r="B506" t="s">
        <v>1172</v>
      </c>
      <c r="C506" t="s">
        <v>12</v>
      </c>
      <c r="D506" t="s">
        <v>1173</v>
      </c>
      <c r="E506" t="s">
        <v>14</v>
      </c>
      <c r="G506" t="s">
        <v>31</v>
      </c>
      <c r="H506" s="2">
        <v>44790</v>
      </c>
      <c r="I506" t="s">
        <v>16</v>
      </c>
      <c r="J506" t="s">
        <v>17</v>
      </c>
      <c r="L506" t="s">
        <v>18</v>
      </c>
      <c r="M506" t="s">
        <v>26</v>
      </c>
    </row>
    <row r="507" spans="1:13" x14ac:dyDescent="0.3">
      <c r="A507" t="str">
        <f>HYPERLINK("https://hsdes.intel.com/resource/14013160033","14013160033")</f>
        <v>14013160033</v>
      </c>
      <c r="B507" t="s">
        <v>1174</v>
      </c>
      <c r="C507" t="s">
        <v>12</v>
      </c>
      <c r="D507" t="s">
        <v>1175</v>
      </c>
      <c r="E507" t="s">
        <v>14</v>
      </c>
      <c r="G507" t="s">
        <v>31</v>
      </c>
      <c r="H507" s="2">
        <v>44790</v>
      </c>
      <c r="I507" t="s">
        <v>16</v>
      </c>
      <c r="J507" t="s">
        <v>17</v>
      </c>
      <c r="L507" t="s">
        <v>18</v>
      </c>
      <c r="M507" t="s">
        <v>26</v>
      </c>
    </row>
    <row r="508" spans="1:13" x14ac:dyDescent="0.3">
      <c r="A508" t="str">
        <f>HYPERLINK("https://hsdes.intel.com/resource/14013160036","14013160036")</f>
        <v>14013160036</v>
      </c>
      <c r="B508" t="s">
        <v>1176</v>
      </c>
      <c r="C508" t="s">
        <v>12</v>
      </c>
      <c r="D508" t="s">
        <v>1177</v>
      </c>
      <c r="E508" t="s">
        <v>14</v>
      </c>
      <c r="G508" t="s">
        <v>31</v>
      </c>
      <c r="H508" s="2">
        <v>44791</v>
      </c>
      <c r="I508" t="s">
        <v>16</v>
      </c>
      <c r="J508" t="s">
        <v>17</v>
      </c>
      <c r="L508" t="s">
        <v>18</v>
      </c>
      <c r="M508" t="s">
        <v>26</v>
      </c>
    </row>
    <row r="509" spans="1:13" x14ac:dyDescent="0.3">
      <c r="A509" t="str">
        <f>HYPERLINK("https://hsdes.intel.com/resource/14013160038","14013160038")</f>
        <v>14013160038</v>
      </c>
      <c r="B509" t="s">
        <v>1178</v>
      </c>
      <c r="C509" t="s">
        <v>12</v>
      </c>
      <c r="D509" t="s">
        <v>1179</v>
      </c>
      <c r="E509" t="s">
        <v>14</v>
      </c>
      <c r="G509" t="s">
        <v>31</v>
      </c>
      <c r="H509" s="2">
        <v>44791</v>
      </c>
      <c r="I509" t="s">
        <v>16</v>
      </c>
      <c r="J509" t="s">
        <v>17</v>
      </c>
      <c r="L509" t="s">
        <v>18</v>
      </c>
      <c r="M509" t="s">
        <v>19</v>
      </c>
    </row>
    <row r="510" spans="1:13" x14ac:dyDescent="0.3">
      <c r="A510" t="str">
        <f>HYPERLINK("https://hsdes.intel.com/resource/14013160044","14013160044")</f>
        <v>14013160044</v>
      </c>
      <c r="B510" t="s">
        <v>1180</v>
      </c>
      <c r="C510" t="s">
        <v>12</v>
      </c>
      <c r="D510" t="s">
        <v>1181</v>
      </c>
      <c r="E510" t="s">
        <v>14</v>
      </c>
      <c r="G510" t="s">
        <v>31</v>
      </c>
      <c r="H510" s="2">
        <v>44791</v>
      </c>
      <c r="I510" t="s">
        <v>16</v>
      </c>
      <c r="J510" t="s">
        <v>17</v>
      </c>
      <c r="L510" t="s">
        <v>18</v>
      </c>
      <c r="M510" t="s">
        <v>19</v>
      </c>
    </row>
    <row r="511" spans="1:13" x14ac:dyDescent="0.3">
      <c r="A511" t="str">
        <f>HYPERLINK("https://hsdes.intel.com/resource/14013160046","14013160046")</f>
        <v>14013160046</v>
      </c>
      <c r="B511" t="s">
        <v>1182</v>
      </c>
      <c r="C511" t="s">
        <v>12</v>
      </c>
      <c r="D511" t="s">
        <v>1183</v>
      </c>
      <c r="E511" t="s">
        <v>14</v>
      </c>
      <c r="G511" t="s">
        <v>31</v>
      </c>
      <c r="H511" s="2">
        <v>44791</v>
      </c>
      <c r="I511" t="s">
        <v>16</v>
      </c>
      <c r="J511" t="s">
        <v>17</v>
      </c>
      <c r="L511" t="s">
        <v>18</v>
      </c>
      <c r="M511" t="s">
        <v>19</v>
      </c>
    </row>
    <row r="512" spans="1:13" x14ac:dyDescent="0.3">
      <c r="A512" t="str">
        <f>HYPERLINK("https://hsdes.intel.com/resource/14013160048","14013160048")</f>
        <v>14013160048</v>
      </c>
      <c r="B512" t="s">
        <v>1184</v>
      </c>
      <c r="C512" t="s">
        <v>12</v>
      </c>
      <c r="D512" t="s">
        <v>1185</v>
      </c>
      <c r="E512" t="s">
        <v>120</v>
      </c>
      <c r="F512" t="s">
        <v>662</v>
      </c>
      <c r="G512" t="s">
        <v>31</v>
      </c>
      <c r="I512" t="s">
        <v>16</v>
      </c>
      <c r="J512" t="s">
        <v>17</v>
      </c>
      <c r="L512" t="s">
        <v>18</v>
      </c>
      <c r="M512" t="s">
        <v>19</v>
      </c>
    </row>
    <row r="513" spans="1:13" x14ac:dyDescent="0.3">
      <c r="A513" t="str">
        <f>HYPERLINK("https://hsdes.intel.com/resource/14013160052","14013160052")</f>
        <v>14013160052</v>
      </c>
      <c r="B513" t="s">
        <v>1186</v>
      </c>
      <c r="C513" t="s">
        <v>12</v>
      </c>
      <c r="D513" t="s">
        <v>1187</v>
      </c>
      <c r="E513" t="s">
        <v>14</v>
      </c>
      <c r="G513" t="s">
        <v>15</v>
      </c>
      <c r="H513" s="2">
        <v>44789</v>
      </c>
      <c r="I513" t="s">
        <v>16</v>
      </c>
      <c r="J513" t="s">
        <v>17</v>
      </c>
      <c r="L513" t="s">
        <v>18</v>
      </c>
      <c r="M513" t="s">
        <v>26</v>
      </c>
    </row>
    <row r="514" spans="1:13" x14ac:dyDescent="0.3">
      <c r="A514" t="str">
        <f>HYPERLINK("https://hsdes.intel.com/resource/14013160054","14013160054")</f>
        <v>14013160054</v>
      </c>
      <c r="B514" t="s">
        <v>1188</v>
      </c>
      <c r="C514" t="s">
        <v>12</v>
      </c>
      <c r="D514" t="s">
        <v>1189</v>
      </c>
      <c r="E514" t="s">
        <v>14</v>
      </c>
      <c r="G514" t="s">
        <v>31</v>
      </c>
      <c r="H514" s="2">
        <v>44791</v>
      </c>
      <c r="I514" t="s">
        <v>16</v>
      </c>
      <c r="J514" t="s">
        <v>17</v>
      </c>
      <c r="L514" t="s">
        <v>18</v>
      </c>
      <c r="M514" t="s">
        <v>26</v>
      </c>
    </row>
    <row r="515" spans="1:13" x14ac:dyDescent="0.3">
      <c r="A515" t="str">
        <f>HYPERLINK("https://hsdes.intel.com/resource/14013160057","14013160057")</f>
        <v>14013160057</v>
      </c>
      <c r="B515" t="s">
        <v>1190</v>
      </c>
      <c r="C515" t="s">
        <v>12</v>
      </c>
      <c r="D515" t="s">
        <v>1191</v>
      </c>
      <c r="E515" t="s">
        <v>14</v>
      </c>
      <c r="G515" t="s">
        <v>31</v>
      </c>
      <c r="H515" s="2">
        <v>44791</v>
      </c>
      <c r="I515" t="s">
        <v>16</v>
      </c>
      <c r="J515" t="s">
        <v>17</v>
      </c>
      <c r="L515" t="s">
        <v>18</v>
      </c>
      <c r="M515" t="s">
        <v>26</v>
      </c>
    </row>
    <row r="516" spans="1:13" x14ac:dyDescent="0.3">
      <c r="A516" t="str">
        <f>HYPERLINK("https://hsdes.intel.com/resource/14013160059","14013160059")</f>
        <v>14013160059</v>
      </c>
      <c r="B516" t="s">
        <v>1192</v>
      </c>
      <c r="C516" t="s">
        <v>12</v>
      </c>
      <c r="D516" t="s">
        <v>1193</v>
      </c>
      <c r="E516" t="s">
        <v>14</v>
      </c>
      <c r="F516" t="s">
        <v>1194</v>
      </c>
      <c r="G516" t="s">
        <v>31</v>
      </c>
      <c r="H516" s="2">
        <v>44790</v>
      </c>
      <c r="I516" t="s">
        <v>16</v>
      </c>
      <c r="J516" t="s">
        <v>17</v>
      </c>
      <c r="L516" t="s">
        <v>18</v>
      </c>
      <c r="M516" t="s">
        <v>19</v>
      </c>
    </row>
    <row r="517" spans="1:13" x14ac:dyDescent="0.3">
      <c r="A517" t="str">
        <f>HYPERLINK("https://hsdes.intel.com/resource/14013160061","14013160061")</f>
        <v>14013160061</v>
      </c>
      <c r="B517" t="s">
        <v>1195</v>
      </c>
      <c r="C517" t="s">
        <v>12</v>
      </c>
      <c r="D517" t="s">
        <v>1196</v>
      </c>
      <c r="E517" t="s">
        <v>14</v>
      </c>
      <c r="G517" t="s">
        <v>15</v>
      </c>
      <c r="H517" s="2">
        <v>44789</v>
      </c>
      <c r="I517" t="s">
        <v>16</v>
      </c>
      <c r="J517" t="s">
        <v>17</v>
      </c>
      <c r="L517" t="s">
        <v>18</v>
      </c>
      <c r="M517" t="s">
        <v>26</v>
      </c>
    </row>
    <row r="518" spans="1:13" x14ac:dyDescent="0.3">
      <c r="A518" t="str">
        <f>HYPERLINK("https://hsdes.intel.com/resource/14013160063","14013160063")</f>
        <v>14013160063</v>
      </c>
      <c r="B518" t="s">
        <v>1197</v>
      </c>
      <c r="C518" t="s">
        <v>12</v>
      </c>
      <c r="D518" t="s">
        <v>1198</v>
      </c>
      <c r="E518" t="s">
        <v>14</v>
      </c>
      <c r="G518" t="s">
        <v>15</v>
      </c>
      <c r="H518" s="2">
        <v>44789</v>
      </c>
      <c r="I518" t="s">
        <v>16</v>
      </c>
      <c r="J518" t="s">
        <v>17</v>
      </c>
      <c r="L518" t="s">
        <v>18</v>
      </c>
      <c r="M518" t="s">
        <v>26</v>
      </c>
    </row>
    <row r="519" spans="1:13" x14ac:dyDescent="0.3">
      <c r="A519" t="str">
        <f>HYPERLINK("https://hsdes.intel.com/resource/14013160066","14013160066")</f>
        <v>14013160066</v>
      </c>
      <c r="B519" t="s">
        <v>1199</v>
      </c>
      <c r="C519" t="s">
        <v>12</v>
      </c>
      <c r="D519" t="s">
        <v>1200</v>
      </c>
      <c r="E519" t="s">
        <v>14</v>
      </c>
      <c r="G519" t="s">
        <v>31</v>
      </c>
      <c r="H519" s="2">
        <v>44792</v>
      </c>
      <c r="I519" t="s">
        <v>16</v>
      </c>
      <c r="J519" t="s">
        <v>17</v>
      </c>
      <c r="L519" t="s">
        <v>18</v>
      </c>
      <c r="M519" t="s">
        <v>22</v>
      </c>
    </row>
    <row r="520" spans="1:13" x14ac:dyDescent="0.3">
      <c r="A520" t="str">
        <f>HYPERLINK("https://hsdes.intel.com/resource/14013160069","14013160069")</f>
        <v>14013160069</v>
      </c>
      <c r="B520" t="s">
        <v>1201</v>
      </c>
      <c r="C520" t="s">
        <v>12</v>
      </c>
      <c r="D520" t="s">
        <v>1202</v>
      </c>
      <c r="E520" t="s">
        <v>14</v>
      </c>
      <c r="G520" t="s">
        <v>31</v>
      </c>
      <c r="H520" s="2">
        <v>44792</v>
      </c>
      <c r="I520" t="s">
        <v>16</v>
      </c>
      <c r="J520" t="s">
        <v>17</v>
      </c>
      <c r="L520" t="s">
        <v>18</v>
      </c>
      <c r="M520" t="s">
        <v>19</v>
      </c>
    </row>
    <row r="521" spans="1:13" x14ac:dyDescent="0.3">
      <c r="A521" t="str">
        <f>HYPERLINK("https://hsdes.intel.com/resource/14013160080","14013160080")</f>
        <v>14013160080</v>
      </c>
      <c r="B521" t="s">
        <v>1203</v>
      </c>
      <c r="C521" t="s">
        <v>12</v>
      </c>
      <c r="D521" t="s">
        <v>1204</v>
      </c>
      <c r="E521" t="s">
        <v>14</v>
      </c>
      <c r="F521" t="s">
        <v>1205</v>
      </c>
      <c r="G521" t="s">
        <v>31</v>
      </c>
      <c r="H521" s="2">
        <v>44792</v>
      </c>
      <c r="I521" t="s">
        <v>16</v>
      </c>
      <c r="J521" t="s">
        <v>17</v>
      </c>
      <c r="L521" t="s">
        <v>18</v>
      </c>
      <c r="M521" t="s">
        <v>19</v>
      </c>
    </row>
    <row r="522" spans="1:13" x14ac:dyDescent="0.3">
      <c r="A522" t="str">
        <f>HYPERLINK("https://hsdes.intel.com/resource/14013160082","14013160082")</f>
        <v>14013160082</v>
      </c>
      <c r="B522" t="s">
        <v>1206</v>
      </c>
      <c r="C522" t="s">
        <v>12</v>
      </c>
      <c r="D522" t="s">
        <v>1207</v>
      </c>
      <c r="E522" t="s">
        <v>14</v>
      </c>
      <c r="G522" t="s">
        <v>1095</v>
      </c>
      <c r="I522" t="s">
        <v>16</v>
      </c>
      <c r="J522" t="s">
        <v>17</v>
      </c>
      <c r="L522" t="s">
        <v>18</v>
      </c>
      <c r="M522" t="s">
        <v>19</v>
      </c>
    </row>
    <row r="523" spans="1:13" x14ac:dyDescent="0.3">
      <c r="A523" t="str">
        <f>HYPERLINK("https://hsdes.intel.com/resource/14013160118","14013160118")</f>
        <v>14013160118</v>
      </c>
      <c r="B523" t="s">
        <v>1208</v>
      </c>
      <c r="C523" t="s">
        <v>12</v>
      </c>
      <c r="D523" t="s">
        <v>1209</v>
      </c>
      <c r="E523" t="s">
        <v>14</v>
      </c>
      <c r="G523" t="s">
        <v>57</v>
      </c>
      <c r="H523" s="2">
        <v>44798</v>
      </c>
      <c r="I523" t="s">
        <v>132</v>
      </c>
      <c r="J523" t="s">
        <v>115</v>
      </c>
      <c r="L523" t="s">
        <v>133</v>
      </c>
      <c r="M523" t="s">
        <v>26</v>
      </c>
    </row>
    <row r="524" spans="1:13" x14ac:dyDescent="0.3">
      <c r="A524" t="str">
        <f>HYPERLINK("https://hsdes.intel.com/resource/14013160125","14013160125")</f>
        <v>14013160125</v>
      </c>
      <c r="B524" t="s">
        <v>1210</v>
      </c>
      <c r="C524" t="s">
        <v>12</v>
      </c>
      <c r="D524" t="s">
        <v>1211</v>
      </c>
      <c r="E524" t="s">
        <v>14</v>
      </c>
      <c r="G524" t="s">
        <v>81</v>
      </c>
      <c r="H524" s="2">
        <v>44785</v>
      </c>
      <c r="I524" t="s">
        <v>132</v>
      </c>
      <c r="J524" t="s">
        <v>115</v>
      </c>
      <c r="L524" t="s">
        <v>133</v>
      </c>
      <c r="M524" t="s">
        <v>22</v>
      </c>
    </row>
    <row r="525" spans="1:13" x14ac:dyDescent="0.3">
      <c r="A525" t="str">
        <f>HYPERLINK("https://hsdes.intel.com/resource/14013160127","14013160127")</f>
        <v>14013160127</v>
      </c>
      <c r="B525" t="s">
        <v>1212</v>
      </c>
      <c r="C525" t="s">
        <v>12</v>
      </c>
      <c r="D525" t="s">
        <v>1213</v>
      </c>
      <c r="E525" t="s">
        <v>14</v>
      </c>
      <c r="F525" t="s">
        <v>1214</v>
      </c>
      <c r="G525" t="s">
        <v>86</v>
      </c>
      <c r="H525" s="2">
        <v>44799</v>
      </c>
      <c r="I525" t="s">
        <v>132</v>
      </c>
      <c r="J525" t="s">
        <v>115</v>
      </c>
      <c r="L525" t="s">
        <v>133</v>
      </c>
      <c r="M525" t="s">
        <v>22</v>
      </c>
    </row>
    <row r="526" spans="1:13" x14ac:dyDescent="0.3">
      <c r="A526" t="str">
        <f>HYPERLINK("https://hsdes.intel.com/resource/14013160130","14013160130")</f>
        <v>14013160130</v>
      </c>
      <c r="B526" t="s">
        <v>1215</v>
      </c>
      <c r="C526" t="s">
        <v>12</v>
      </c>
      <c r="D526" t="s">
        <v>1216</v>
      </c>
      <c r="E526" t="s">
        <v>14</v>
      </c>
      <c r="G526" t="s">
        <v>81</v>
      </c>
      <c r="H526" s="2">
        <v>44785</v>
      </c>
      <c r="I526" t="s">
        <v>132</v>
      </c>
      <c r="J526" t="s">
        <v>115</v>
      </c>
      <c r="L526" t="s">
        <v>133</v>
      </c>
      <c r="M526" t="s">
        <v>26</v>
      </c>
    </row>
    <row r="527" spans="1:13" x14ac:dyDescent="0.3">
      <c r="A527" t="str">
        <f>HYPERLINK("https://hsdes.intel.com/resource/14013160246","14013160246")</f>
        <v>14013160246</v>
      </c>
      <c r="B527" t="s">
        <v>1217</v>
      </c>
      <c r="C527" t="s">
        <v>12</v>
      </c>
      <c r="D527" t="s">
        <v>1218</v>
      </c>
      <c r="E527" t="s">
        <v>14</v>
      </c>
      <c r="G527" t="s">
        <v>31</v>
      </c>
      <c r="H527" s="2">
        <v>44791</v>
      </c>
      <c r="I527" t="s">
        <v>48</v>
      </c>
      <c r="J527" t="s">
        <v>271</v>
      </c>
      <c r="L527" t="s">
        <v>272</v>
      </c>
      <c r="M527" t="s">
        <v>22</v>
      </c>
    </row>
    <row r="528" spans="1:13" x14ac:dyDescent="0.3">
      <c r="A528" t="str">
        <f>HYPERLINK("https://hsdes.intel.com/resource/14013160285","14013160285")</f>
        <v>14013160285</v>
      </c>
      <c r="B528" t="s">
        <v>1219</v>
      </c>
      <c r="C528" t="s">
        <v>12</v>
      </c>
      <c r="D528" t="s">
        <v>1220</v>
      </c>
      <c r="E528" t="s">
        <v>14</v>
      </c>
      <c r="G528" t="s">
        <v>111</v>
      </c>
      <c r="H528" s="2">
        <v>44789</v>
      </c>
      <c r="I528" t="s">
        <v>16</v>
      </c>
      <c r="J528" t="s">
        <v>17</v>
      </c>
      <c r="L528" t="s">
        <v>18</v>
      </c>
      <c r="M528" t="s">
        <v>19</v>
      </c>
    </row>
    <row r="529" spans="1:13" x14ac:dyDescent="0.3">
      <c r="A529" t="str">
        <f>HYPERLINK("https://hsdes.intel.com/resource/14013160287","14013160287")</f>
        <v>14013160287</v>
      </c>
      <c r="B529" t="s">
        <v>1221</v>
      </c>
      <c r="C529" t="s">
        <v>12</v>
      </c>
      <c r="D529" t="s">
        <v>1222</v>
      </c>
      <c r="E529" t="s">
        <v>14</v>
      </c>
      <c r="G529" t="s">
        <v>111</v>
      </c>
      <c r="H529" s="2">
        <v>44789</v>
      </c>
      <c r="I529" t="s">
        <v>16</v>
      </c>
      <c r="J529" t="s">
        <v>17</v>
      </c>
      <c r="L529" t="s">
        <v>18</v>
      </c>
      <c r="M529" t="s">
        <v>19</v>
      </c>
    </row>
    <row r="530" spans="1:13" x14ac:dyDescent="0.3">
      <c r="A530" t="str">
        <f>HYPERLINK("https://hsdes.intel.com/resource/14013160289","14013160289")</f>
        <v>14013160289</v>
      </c>
      <c r="B530" t="s">
        <v>1223</v>
      </c>
      <c r="C530" t="s">
        <v>12</v>
      </c>
      <c r="D530" t="s">
        <v>1224</v>
      </c>
      <c r="E530" t="s">
        <v>14</v>
      </c>
      <c r="G530" t="s">
        <v>111</v>
      </c>
      <c r="H530" s="2">
        <v>44789</v>
      </c>
      <c r="I530" t="s">
        <v>16</v>
      </c>
      <c r="J530" t="s">
        <v>17</v>
      </c>
      <c r="L530" t="s">
        <v>18</v>
      </c>
      <c r="M530" t="s">
        <v>19</v>
      </c>
    </row>
    <row r="531" spans="1:13" x14ac:dyDescent="0.3">
      <c r="A531" t="str">
        <f>HYPERLINK("https://hsdes.intel.com/resource/14013160292","14013160292")</f>
        <v>14013160292</v>
      </c>
      <c r="B531" t="s">
        <v>1225</v>
      </c>
      <c r="C531" t="s">
        <v>12</v>
      </c>
      <c r="D531" t="s">
        <v>1226</v>
      </c>
      <c r="E531" t="s">
        <v>14</v>
      </c>
      <c r="G531" t="s">
        <v>111</v>
      </c>
      <c r="H531" s="2">
        <v>44789</v>
      </c>
      <c r="I531" t="s">
        <v>16</v>
      </c>
      <c r="J531" t="s">
        <v>17</v>
      </c>
      <c r="L531" t="s">
        <v>18</v>
      </c>
      <c r="M531" t="s">
        <v>19</v>
      </c>
    </row>
    <row r="532" spans="1:13" x14ac:dyDescent="0.3">
      <c r="A532" t="str">
        <f>HYPERLINK("https://hsdes.intel.com/resource/14013160294","14013160294")</f>
        <v>14013160294</v>
      </c>
      <c r="B532" t="s">
        <v>1227</v>
      </c>
      <c r="C532" t="s">
        <v>12</v>
      </c>
      <c r="D532" t="s">
        <v>1228</v>
      </c>
      <c r="E532" t="s">
        <v>14</v>
      </c>
      <c r="G532" t="s">
        <v>111</v>
      </c>
      <c r="H532" s="2">
        <v>44790</v>
      </c>
      <c r="I532" t="s">
        <v>16</v>
      </c>
      <c r="J532" t="s">
        <v>17</v>
      </c>
      <c r="L532" t="s">
        <v>18</v>
      </c>
      <c r="M532" t="s">
        <v>19</v>
      </c>
    </row>
    <row r="533" spans="1:13" x14ac:dyDescent="0.3">
      <c r="A533" t="str">
        <f>HYPERLINK("https://hsdes.intel.com/resource/14013160333","14013160333")</f>
        <v>14013160333</v>
      </c>
      <c r="B533" t="s">
        <v>1229</v>
      </c>
      <c r="C533" t="s">
        <v>12</v>
      </c>
      <c r="D533" t="s">
        <v>1230</v>
      </c>
      <c r="E533" t="s">
        <v>14</v>
      </c>
      <c r="G533" t="s">
        <v>111</v>
      </c>
      <c r="H533" s="2">
        <v>44790</v>
      </c>
      <c r="I533" t="s">
        <v>16</v>
      </c>
      <c r="J533" t="s">
        <v>17</v>
      </c>
      <c r="L533" t="s">
        <v>18</v>
      </c>
      <c r="M533" t="s">
        <v>19</v>
      </c>
    </row>
    <row r="534" spans="1:13" x14ac:dyDescent="0.3">
      <c r="A534" t="str">
        <f>HYPERLINK("https://hsdes.intel.com/resource/14013160374","14013160374")</f>
        <v>14013160374</v>
      </c>
      <c r="B534" t="s">
        <v>1231</v>
      </c>
      <c r="C534" t="s">
        <v>12</v>
      </c>
      <c r="D534" t="s">
        <v>1232</v>
      </c>
      <c r="E534" t="s">
        <v>14</v>
      </c>
      <c r="G534" t="s">
        <v>111</v>
      </c>
      <c r="H534" s="2">
        <v>44789</v>
      </c>
      <c r="I534" t="s">
        <v>16</v>
      </c>
      <c r="J534" t="s">
        <v>17</v>
      </c>
      <c r="L534" t="s">
        <v>18</v>
      </c>
      <c r="M534" t="s">
        <v>19</v>
      </c>
    </row>
    <row r="535" spans="1:13" x14ac:dyDescent="0.3">
      <c r="A535" t="str">
        <f>HYPERLINK("https://hsdes.intel.com/resource/14013160377","14013160377")</f>
        <v>14013160377</v>
      </c>
      <c r="B535" t="s">
        <v>1233</v>
      </c>
      <c r="C535" t="s">
        <v>12</v>
      </c>
      <c r="D535" t="s">
        <v>1234</v>
      </c>
      <c r="E535" t="s">
        <v>14</v>
      </c>
      <c r="G535" t="s">
        <v>111</v>
      </c>
      <c r="H535" s="2">
        <v>44789</v>
      </c>
      <c r="I535" t="s">
        <v>16</v>
      </c>
      <c r="J535" t="s">
        <v>17</v>
      </c>
      <c r="L535" t="s">
        <v>18</v>
      </c>
      <c r="M535" t="s">
        <v>19</v>
      </c>
    </row>
    <row r="536" spans="1:13" x14ac:dyDescent="0.3">
      <c r="A536" t="str">
        <f>HYPERLINK("https://hsdes.intel.com/resource/14013160417","14013160417")</f>
        <v>14013160417</v>
      </c>
      <c r="B536" t="s">
        <v>1235</v>
      </c>
      <c r="C536" t="s">
        <v>12</v>
      </c>
      <c r="D536" t="s">
        <v>1236</v>
      </c>
      <c r="E536" t="s">
        <v>14</v>
      </c>
      <c r="G536" t="s">
        <v>111</v>
      </c>
      <c r="H536" s="2">
        <v>44789</v>
      </c>
      <c r="I536" t="s">
        <v>16</v>
      </c>
      <c r="J536" t="s">
        <v>17</v>
      </c>
      <c r="L536" t="s">
        <v>18</v>
      </c>
      <c r="M536" t="s">
        <v>19</v>
      </c>
    </row>
    <row r="537" spans="1:13" x14ac:dyDescent="0.3">
      <c r="A537" t="str">
        <f>HYPERLINK("https://hsdes.intel.com/resource/14013160427","14013160427")</f>
        <v>14013160427</v>
      </c>
      <c r="B537" t="s">
        <v>1237</v>
      </c>
      <c r="C537" t="s">
        <v>12</v>
      </c>
      <c r="D537" t="s">
        <v>1238</v>
      </c>
      <c r="E537" t="s">
        <v>14</v>
      </c>
      <c r="G537" t="s">
        <v>15</v>
      </c>
      <c r="H537" s="2">
        <v>44784</v>
      </c>
      <c r="I537" t="s">
        <v>48</v>
      </c>
      <c r="J537" t="s">
        <v>271</v>
      </c>
      <c r="L537" t="s">
        <v>272</v>
      </c>
      <c r="M537" t="s">
        <v>22</v>
      </c>
    </row>
    <row r="538" spans="1:13" x14ac:dyDescent="0.3">
      <c r="A538" t="str">
        <f>HYPERLINK("https://hsdes.intel.com/resource/14013160431","14013160431")</f>
        <v>14013160431</v>
      </c>
      <c r="B538" t="s">
        <v>1239</v>
      </c>
      <c r="C538" t="s">
        <v>12</v>
      </c>
      <c r="D538" t="s">
        <v>1240</v>
      </c>
      <c r="E538" t="s">
        <v>14</v>
      </c>
      <c r="G538" t="s">
        <v>31</v>
      </c>
      <c r="H538" s="2">
        <v>44795</v>
      </c>
      <c r="I538" t="s">
        <v>132</v>
      </c>
      <c r="J538" t="s">
        <v>115</v>
      </c>
      <c r="L538" t="s">
        <v>133</v>
      </c>
      <c r="M538" t="s">
        <v>26</v>
      </c>
    </row>
    <row r="539" spans="1:13" x14ac:dyDescent="0.3">
      <c r="A539" t="str">
        <f>HYPERLINK("https://hsdes.intel.com/resource/14013160435","14013160435")</f>
        <v>14013160435</v>
      </c>
      <c r="B539" t="s">
        <v>1241</v>
      </c>
      <c r="C539" t="s">
        <v>12</v>
      </c>
      <c r="D539" t="s">
        <v>1242</v>
      </c>
      <c r="E539" t="s">
        <v>14</v>
      </c>
      <c r="G539" t="s">
        <v>31</v>
      </c>
      <c r="H539" s="2">
        <v>44795</v>
      </c>
      <c r="I539" t="s">
        <v>132</v>
      </c>
      <c r="J539" t="s">
        <v>115</v>
      </c>
      <c r="L539" t="s">
        <v>133</v>
      </c>
      <c r="M539" t="s">
        <v>22</v>
      </c>
    </row>
    <row r="540" spans="1:13" x14ac:dyDescent="0.3">
      <c r="A540" t="str">
        <f>HYPERLINK("https://hsdes.intel.com/resource/14013160464","14013160464")</f>
        <v>14013160464</v>
      </c>
      <c r="B540" t="s">
        <v>1243</v>
      </c>
      <c r="C540" t="s">
        <v>12</v>
      </c>
      <c r="D540" t="s">
        <v>1244</v>
      </c>
      <c r="E540" t="s">
        <v>14</v>
      </c>
      <c r="G540" t="s">
        <v>111</v>
      </c>
      <c r="H540" s="2">
        <v>44783</v>
      </c>
      <c r="I540" t="s">
        <v>38</v>
      </c>
      <c r="J540" t="s">
        <v>77</v>
      </c>
      <c r="L540" t="s">
        <v>78</v>
      </c>
      <c r="M540" t="s">
        <v>22</v>
      </c>
    </row>
    <row r="541" spans="1:13" x14ac:dyDescent="0.3">
      <c r="A541" t="str">
        <f>HYPERLINK("https://hsdes.intel.com/resource/14013160602","14013160602")</f>
        <v>14013160602</v>
      </c>
      <c r="B541" t="s">
        <v>1245</v>
      </c>
      <c r="C541" t="s">
        <v>12</v>
      </c>
      <c r="D541" t="s">
        <v>1246</v>
      </c>
      <c r="E541" t="s">
        <v>14</v>
      </c>
      <c r="G541" t="s">
        <v>43</v>
      </c>
      <c r="H541" s="2">
        <v>44799</v>
      </c>
      <c r="I541" t="s">
        <v>38</v>
      </c>
      <c r="J541" t="s">
        <v>77</v>
      </c>
      <c r="L541" t="s">
        <v>78</v>
      </c>
      <c r="M541" t="s">
        <v>26</v>
      </c>
    </row>
    <row r="542" spans="1:13" x14ac:dyDescent="0.3">
      <c r="A542" t="str">
        <f>HYPERLINK("https://hsdes.intel.com/resource/14013160612","14013160612")</f>
        <v>14013160612</v>
      </c>
      <c r="B542" t="s">
        <v>1247</v>
      </c>
      <c r="C542" t="s">
        <v>12</v>
      </c>
      <c r="D542" t="s">
        <v>1248</v>
      </c>
      <c r="E542" t="s">
        <v>14</v>
      </c>
      <c r="G542" t="s">
        <v>43</v>
      </c>
      <c r="H542" s="2">
        <v>44801</v>
      </c>
      <c r="I542" t="s">
        <v>38</v>
      </c>
      <c r="J542" t="s">
        <v>77</v>
      </c>
      <c r="L542" t="s">
        <v>78</v>
      </c>
      <c r="M542" t="s">
        <v>26</v>
      </c>
    </row>
    <row r="543" spans="1:13" x14ac:dyDescent="0.3">
      <c r="A543" t="str">
        <f>HYPERLINK("https://hsdes.intel.com/resource/14013160634","14013160634")</f>
        <v>14013160634</v>
      </c>
      <c r="B543" t="s">
        <v>1249</v>
      </c>
      <c r="C543" t="s">
        <v>12</v>
      </c>
      <c r="D543" t="s">
        <v>1250</v>
      </c>
      <c r="E543" t="s">
        <v>14</v>
      </c>
      <c r="G543" t="s">
        <v>111</v>
      </c>
      <c r="H543" s="2">
        <v>44789</v>
      </c>
      <c r="I543" t="s">
        <v>48</v>
      </c>
      <c r="J543" t="s">
        <v>1251</v>
      </c>
      <c r="L543" t="s">
        <v>152</v>
      </c>
      <c r="M543" t="s">
        <v>26</v>
      </c>
    </row>
    <row r="544" spans="1:13" x14ac:dyDescent="0.3">
      <c r="A544" t="str">
        <f>HYPERLINK("https://hsdes.intel.com/resource/14013160655","14013160655")</f>
        <v>14013160655</v>
      </c>
      <c r="B544" t="s">
        <v>1252</v>
      </c>
      <c r="C544" t="s">
        <v>12</v>
      </c>
      <c r="D544" t="s">
        <v>1253</v>
      </c>
      <c r="E544" t="s">
        <v>97</v>
      </c>
      <c r="F544" s="10" t="s">
        <v>1254</v>
      </c>
      <c r="G544" t="s">
        <v>43</v>
      </c>
      <c r="H544" s="2">
        <v>44799</v>
      </c>
      <c r="I544" t="s">
        <v>32</v>
      </c>
      <c r="J544" t="s">
        <v>46</v>
      </c>
      <c r="L544" t="s">
        <v>177</v>
      </c>
      <c r="M544" t="s">
        <v>19</v>
      </c>
    </row>
    <row r="545" spans="1:13" x14ac:dyDescent="0.3">
      <c r="A545" t="str">
        <f>HYPERLINK("https://hsdes.intel.com/resource/14013160659","14013160659")</f>
        <v>14013160659</v>
      </c>
      <c r="B545" t="s">
        <v>1255</v>
      </c>
      <c r="C545" t="s">
        <v>12</v>
      </c>
      <c r="D545" t="s">
        <v>1256</v>
      </c>
      <c r="E545" t="s">
        <v>14</v>
      </c>
      <c r="F545" t="s">
        <v>1257</v>
      </c>
      <c r="G545" t="s">
        <v>43</v>
      </c>
      <c r="H545" s="2">
        <v>44801</v>
      </c>
      <c r="I545" t="s">
        <v>32</v>
      </c>
      <c r="J545" t="s">
        <v>46</v>
      </c>
      <c r="L545" t="s">
        <v>177</v>
      </c>
      <c r="M545" t="s">
        <v>19</v>
      </c>
    </row>
    <row r="546" spans="1:13" x14ac:dyDescent="0.3">
      <c r="A546" t="str">
        <f>HYPERLINK("https://hsdes.intel.com/resource/14013160660","14013160660")</f>
        <v>14013160660</v>
      </c>
      <c r="B546" t="s">
        <v>1258</v>
      </c>
      <c r="C546" t="s">
        <v>12</v>
      </c>
      <c r="D546" t="s">
        <v>1259</v>
      </c>
      <c r="E546" t="s">
        <v>14</v>
      </c>
      <c r="F546" t="s">
        <v>1260</v>
      </c>
      <c r="G546" t="s">
        <v>43</v>
      </c>
      <c r="H546" s="2">
        <v>44801</v>
      </c>
      <c r="I546" t="s">
        <v>32</v>
      </c>
      <c r="J546" t="s">
        <v>46</v>
      </c>
      <c r="L546" t="s">
        <v>177</v>
      </c>
      <c r="M546" t="s">
        <v>19</v>
      </c>
    </row>
    <row r="547" spans="1:13" x14ac:dyDescent="0.3">
      <c r="A547" t="str">
        <f>HYPERLINK("https://hsdes.intel.com/resource/14013160688","14013160688")</f>
        <v>14013160688</v>
      </c>
      <c r="B547" t="s">
        <v>1261</v>
      </c>
      <c r="C547" t="s">
        <v>12</v>
      </c>
      <c r="D547" t="s">
        <v>1262</v>
      </c>
      <c r="E547" t="s">
        <v>14</v>
      </c>
      <c r="G547" t="s">
        <v>57</v>
      </c>
      <c r="H547" s="2">
        <v>44786</v>
      </c>
      <c r="I547" t="s">
        <v>132</v>
      </c>
      <c r="J547" t="s">
        <v>614</v>
      </c>
      <c r="L547" t="s">
        <v>615</v>
      </c>
      <c r="M547" t="s">
        <v>22</v>
      </c>
    </row>
    <row r="548" spans="1:13" x14ac:dyDescent="0.3">
      <c r="A548" t="str">
        <f>HYPERLINK("https://hsdes.intel.com/resource/14013160691","14013160691")</f>
        <v>14013160691</v>
      </c>
      <c r="B548" t="s">
        <v>1263</v>
      </c>
      <c r="C548" t="s">
        <v>12</v>
      </c>
      <c r="D548" t="s">
        <v>1264</v>
      </c>
      <c r="E548" t="s">
        <v>14</v>
      </c>
      <c r="F548" t="s">
        <v>1265</v>
      </c>
      <c r="G548" t="s">
        <v>57</v>
      </c>
      <c r="H548" s="2">
        <v>44786</v>
      </c>
      <c r="I548" t="s">
        <v>132</v>
      </c>
      <c r="J548" t="s">
        <v>614</v>
      </c>
      <c r="L548" t="s">
        <v>615</v>
      </c>
      <c r="M548" t="s">
        <v>22</v>
      </c>
    </row>
    <row r="549" spans="1:13" x14ac:dyDescent="0.3">
      <c r="A549" t="str">
        <f>HYPERLINK("https://hsdes.intel.com/resource/14013160703","14013160703")</f>
        <v>14013160703</v>
      </c>
      <c r="B549" t="s">
        <v>1266</v>
      </c>
      <c r="C549" t="s">
        <v>12</v>
      </c>
      <c r="D549" t="s">
        <v>1267</v>
      </c>
      <c r="E549" t="s">
        <v>14</v>
      </c>
      <c r="G549" t="s">
        <v>111</v>
      </c>
      <c r="H549" s="2">
        <v>44789</v>
      </c>
      <c r="I549" t="s">
        <v>48</v>
      </c>
      <c r="J549" t="s">
        <v>151</v>
      </c>
      <c r="L549" t="s">
        <v>152</v>
      </c>
      <c r="M549" t="s">
        <v>26</v>
      </c>
    </row>
    <row r="550" spans="1:13" x14ac:dyDescent="0.3">
      <c r="A550" t="str">
        <f>HYPERLINK("https://hsdes.intel.com/resource/14013160708","14013160708")</f>
        <v>14013160708</v>
      </c>
      <c r="B550" t="s">
        <v>1268</v>
      </c>
      <c r="C550" t="s">
        <v>12</v>
      </c>
      <c r="D550" t="s">
        <v>1269</v>
      </c>
      <c r="E550" t="s">
        <v>612</v>
      </c>
      <c r="F550" t="s">
        <v>613</v>
      </c>
      <c r="G550" t="s">
        <v>57</v>
      </c>
      <c r="I550" t="s">
        <v>132</v>
      </c>
      <c r="J550" t="s">
        <v>614</v>
      </c>
      <c r="L550" t="s">
        <v>615</v>
      </c>
      <c r="M550" t="s">
        <v>26</v>
      </c>
    </row>
    <row r="551" spans="1:13" x14ac:dyDescent="0.3">
      <c r="A551" t="str">
        <f>HYPERLINK("https://hsdes.intel.com/resource/14013160716","14013160716")</f>
        <v>14013160716</v>
      </c>
      <c r="B551" t="s">
        <v>1270</v>
      </c>
      <c r="C551" t="s">
        <v>12</v>
      </c>
      <c r="D551" t="s">
        <v>1271</v>
      </c>
      <c r="E551" t="s">
        <v>97</v>
      </c>
      <c r="F551" s="11" t="s">
        <v>1272</v>
      </c>
      <c r="G551" t="s">
        <v>43</v>
      </c>
      <c r="H551" s="2">
        <v>44802</v>
      </c>
      <c r="I551" t="s">
        <v>32</v>
      </c>
      <c r="J551" t="s">
        <v>46</v>
      </c>
      <c r="L551" t="s">
        <v>177</v>
      </c>
      <c r="M551" t="s">
        <v>19</v>
      </c>
    </row>
    <row r="552" spans="1:13" x14ac:dyDescent="0.3">
      <c r="A552" t="str">
        <f>HYPERLINK("https://hsdes.intel.com/resource/14013160718","14013160718")</f>
        <v>14013160718</v>
      </c>
      <c r="B552" t="s">
        <v>1273</v>
      </c>
      <c r="C552" t="s">
        <v>12</v>
      </c>
      <c r="D552" t="s">
        <v>1274</v>
      </c>
      <c r="E552" t="s">
        <v>97</v>
      </c>
      <c r="F552" s="11" t="s">
        <v>1272</v>
      </c>
      <c r="G552" t="s">
        <v>43</v>
      </c>
      <c r="H552" s="2">
        <v>44802</v>
      </c>
      <c r="I552" t="s">
        <v>32</v>
      </c>
      <c r="J552" t="s">
        <v>46</v>
      </c>
      <c r="L552" t="s">
        <v>177</v>
      </c>
      <c r="M552" t="s">
        <v>19</v>
      </c>
    </row>
    <row r="553" spans="1:13" x14ac:dyDescent="0.3">
      <c r="A553" t="str">
        <f>HYPERLINK("https://hsdes.intel.com/resource/14013160721","14013160721")</f>
        <v>14013160721</v>
      </c>
      <c r="B553" t="s">
        <v>1275</v>
      </c>
      <c r="C553" t="s">
        <v>12</v>
      </c>
      <c r="D553" t="s">
        <v>1276</v>
      </c>
      <c r="E553" t="s">
        <v>14</v>
      </c>
      <c r="F553" t="s">
        <v>1260</v>
      </c>
      <c r="G553" t="s">
        <v>43</v>
      </c>
      <c r="H553" s="2">
        <v>44801</v>
      </c>
      <c r="I553" t="s">
        <v>32</v>
      </c>
      <c r="J553" t="s">
        <v>46</v>
      </c>
      <c r="L553" t="s">
        <v>177</v>
      </c>
      <c r="M553" t="s">
        <v>19</v>
      </c>
    </row>
    <row r="554" spans="1:13" x14ac:dyDescent="0.3">
      <c r="A554" t="str">
        <f>HYPERLINK("https://hsdes.intel.com/resource/14013160722","14013160722")</f>
        <v>14013160722</v>
      </c>
      <c r="B554" t="s">
        <v>1277</v>
      </c>
      <c r="C554" t="s">
        <v>12</v>
      </c>
      <c r="D554" t="s">
        <v>1278</v>
      </c>
      <c r="E554" t="s">
        <v>14</v>
      </c>
      <c r="F554" t="s">
        <v>1257</v>
      </c>
      <c r="G554" t="s">
        <v>43</v>
      </c>
      <c r="H554" s="2">
        <v>44801</v>
      </c>
      <c r="I554" t="s">
        <v>32</v>
      </c>
      <c r="J554" t="s">
        <v>46</v>
      </c>
      <c r="L554" t="s">
        <v>177</v>
      </c>
      <c r="M554" t="s">
        <v>19</v>
      </c>
    </row>
    <row r="555" spans="1:13" x14ac:dyDescent="0.3">
      <c r="A555" t="str">
        <f>HYPERLINK("https://hsdes.intel.com/resource/14013160723","14013160723")</f>
        <v>14013160723</v>
      </c>
      <c r="B555" t="s">
        <v>1279</v>
      </c>
      <c r="C555" t="s">
        <v>12</v>
      </c>
      <c r="D555" t="s">
        <v>1280</v>
      </c>
      <c r="E555" t="s">
        <v>14</v>
      </c>
      <c r="G555" t="s">
        <v>81</v>
      </c>
      <c r="H555" s="2">
        <v>44791</v>
      </c>
      <c r="I555" t="s">
        <v>64</v>
      </c>
      <c r="J555" t="s">
        <v>65</v>
      </c>
      <c r="L555" t="s">
        <v>66</v>
      </c>
      <c r="M555" t="s">
        <v>26</v>
      </c>
    </row>
    <row r="556" spans="1:13" x14ac:dyDescent="0.3">
      <c r="A556" t="str">
        <f>HYPERLINK("https://hsdes.intel.com/resource/14013160725","14013160725")</f>
        <v>14013160725</v>
      </c>
      <c r="B556" t="s">
        <v>1281</v>
      </c>
      <c r="C556" t="s">
        <v>12</v>
      </c>
      <c r="D556" t="s">
        <v>1282</v>
      </c>
      <c r="E556" t="s">
        <v>14</v>
      </c>
      <c r="G556" t="s">
        <v>111</v>
      </c>
      <c r="H556" s="2">
        <v>44783</v>
      </c>
      <c r="I556" t="s">
        <v>38</v>
      </c>
      <c r="J556" t="s">
        <v>77</v>
      </c>
      <c r="L556" t="s">
        <v>78</v>
      </c>
      <c r="M556" t="s">
        <v>26</v>
      </c>
    </row>
    <row r="557" spans="1:13" x14ac:dyDescent="0.3">
      <c r="A557" t="str">
        <f>HYPERLINK("https://hsdes.intel.com/resource/14013160726","14013160726")</f>
        <v>14013160726</v>
      </c>
      <c r="B557" t="s">
        <v>1283</v>
      </c>
      <c r="C557" t="s">
        <v>12</v>
      </c>
      <c r="D557" t="s">
        <v>1284</v>
      </c>
      <c r="E557" t="s">
        <v>14</v>
      </c>
      <c r="G557" t="s">
        <v>111</v>
      </c>
      <c r="H557" s="2">
        <v>44789</v>
      </c>
      <c r="I557" t="s">
        <v>16</v>
      </c>
      <c r="J557" t="s">
        <v>17</v>
      </c>
      <c r="L557" t="s">
        <v>18</v>
      </c>
      <c r="M557" t="s">
        <v>26</v>
      </c>
    </row>
    <row r="558" spans="1:13" x14ac:dyDescent="0.3">
      <c r="A558" t="str">
        <f>HYPERLINK("https://hsdes.intel.com/resource/14013160728","14013160728")</f>
        <v>14013160728</v>
      </c>
      <c r="B558" t="s">
        <v>1285</v>
      </c>
      <c r="C558" t="s">
        <v>12</v>
      </c>
      <c r="D558" t="s">
        <v>1286</v>
      </c>
      <c r="E558" t="s">
        <v>14</v>
      </c>
      <c r="G558" t="s">
        <v>111</v>
      </c>
      <c r="H558" s="2">
        <v>44789</v>
      </c>
      <c r="I558" t="s">
        <v>16</v>
      </c>
      <c r="J558" t="s">
        <v>17</v>
      </c>
      <c r="L558" t="s">
        <v>18</v>
      </c>
      <c r="M558" t="s">
        <v>22</v>
      </c>
    </row>
    <row r="559" spans="1:13" x14ac:dyDescent="0.3">
      <c r="A559" t="str">
        <f>HYPERLINK("https://hsdes.intel.com/resource/14013160750","14013160750")</f>
        <v>14013160750</v>
      </c>
      <c r="B559" t="s">
        <v>1287</v>
      </c>
      <c r="C559" t="s">
        <v>12</v>
      </c>
      <c r="D559" t="s">
        <v>1288</v>
      </c>
      <c r="E559" t="s">
        <v>14</v>
      </c>
      <c r="G559" t="s">
        <v>86</v>
      </c>
      <c r="H559" s="2">
        <v>44799</v>
      </c>
      <c r="I559" t="s">
        <v>132</v>
      </c>
      <c r="J559" t="s">
        <v>33</v>
      </c>
      <c r="L559" t="s">
        <v>133</v>
      </c>
      <c r="M559" t="s">
        <v>26</v>
      </c>
    </row>
    <row r="560" spans="1:13" x14ac:dyDescent="0.3">
      <c r="A560" t="str">
        <f>HYPERLINK("https://hsdes.intel.com/resource/14013160762","14013160762")</f>
        <v>14013160762</v>
      </c>
      <c r="B560" t="s">
        <v>1289</v>
      </c>
      <c r="C560" t="s">
        <v>12</v>
      </c>
      <c r="D560" t="s">
        <v>1290</v>
      </c>
      <c r="E560" t="s">
        <v>14</v>
      </c>
      <c r="G560" t="s">
        <v>31</v>
      </c>
      <c r="H560" s="2">
        <v>44798</v>
      </c>
      <c r="I560" t="s">
        <v>48</v>
      </c>
      <c r="J560" t="s">
        <v>271</v>
      </c>
      <c r="L560" t="s">
        <v>272</v>
      </c>
      <c r="M560" t="s">
        <v>26</v>
      </c>
    </row>
    <row r="561" spans="1:13" x14ac:dyDescent="0.3">
      <c r="A561" t="str">
        <f>HYPERLINK("https://hsdes.intel.com/resource/14013160804","14013160804")</f>
        <v>14013160804</v>
      </c>
      <c r="B561" t="s">
        <v>1291</v>
      </c>
      <c r="C561" t="s">
        <v>12</v>
      </c>
      <c r="D561" t="s">
        <v>1292</v>
      </c>
      <c r="E561" t="s">
        <v>14</v>
      </c>
      <c r="G561" t="s">
        <v>111</v>
      </c>
      <c r="H561" s="2">
        <v>44789</v>
      </c>
      <c r="I561" t="s">
        <v>16</v>
      </c>
      <c r="J561" t="s">
        <v>17</v>
      </c>
      <c r="L561" t="s">
        <v>18</v>
      </c>
      <c r="M561" t="s">
        <v>26</v>
      </c>
    </row>
    <row r="562" spans="1:13" x14ac:dyDescent="0.3">
      <c r="A562" t="str">
        <f>HYPERLINK("https://hsdes.intel.com/resource/14013160825","14013160825")</f>
        <v>14013160825</v>
      </c>
      <c r="B562" t="s">
        <v>1293</v>
      </c>
      <c r="C562" t="s">
        <v>12</v>
      </c>
      <c r="D562" t="s">
        <v>1294</v>
      </c>
      <c r="E562" t="s">
        <v>14</v>
      </c>
      <c r="G562" t="s">
        <v>57</v>
      </c>
      <c r="I562" t="s">
        <v>38</v>
      </c>
      <c r="J562" t="s">
        <v>77</v>
      </c>
      <c r="L562" t="s">
        <v>133</v>
      </c>
      <c r="M562" t="s">
        <v>26</v>
      </c>
    </row>
    <row r="563" spans="1:13" x14ac:dyDescent="0.3">
      <c r="A563" t="str">
        <f>HYPERLINK("https://hsdes.intel.com/resource/14013160845","14013160845")</f>
        <v>14013160845</v>
      </c>
      <c r="B563" t="s">
        <v>1295</v>
      </c>
      <c r="C563" t="s">
        <v>12</v>
      </c>
      <c r="D563" t="s">
        <v>1296</v>
      </c>
      <c r="E563" t="s">
        <v>14</v>
      </c>
      <c r="G563" t="s">
        <v>43</v>
      </c>
      <c r="H563" s="2">
        <v>44799</v>
      </c>
      <c r="I563" t="s">
        <v>38</v>
      </c>
      <c r="J563" t="s">
        <v>77</v>
      </c>
      <c r="L563" t="s">
        <v>78</v>
      </c>
      <c r="M563" t="s">
        <v>26</v>
      </c>
    </row>
    <row r="564" spans="1:13" x14ac:dyDescent="0.3">
      <c r="A564" t="str">
        <f>HYPERLINK("https://hsdes.intel.com/resource/14013160847","14013160847")</f>
        <v>14013160847</v>
      </c>
      <c r="B564" t="s">
        <v>1297</v>
      </c>
      <c r="C564" t="s">
        <v>12</v>
      </c>
      <c r="D564" t="s">
        <v>1298</v>
      </c>
      <c r="E564" t="s">
        <v>14</v>
      </c>
      <c r="G564" t="s">
        <v>57</v>
      </c>
      <c r="I564" t="s">
        <v>132</v>
      </c>
      <c r="J564" t="s">
        <v>685</v>
      </c>
      <c r="L564" t="s">
        <v>133</v>
      </c>
      <c r="M564" t="s">
        <v>26</v>
      </c>
    </row>
    <row r="565" spans="1:13" x14ac:dyDescent="0.3">
      <c r="A565" t="str">
        <f>HYPERLINK("https://hsdes.intel.com/resource/14013160956","14013160956")</f>
        <v>14013160956</v>
      </c>
      <c r="B565" t="s">
        <v>1299</v>
      </c>
      <c r="C565" t="s">
        <v>12</v>
      </c>
      <c r="D565" t="s">
        <v>1300</v>
      </c>
      <c r="E565" t="s">
        <v>14</v>
      </c>
      <c r="G565" t="s">
        <v>43</v>
      </c>
      <c r="H565" s="2">
        <v>44784</v>
      </c>
      <c r="I565" t="s">
        <v>32</v>
      </c>
      <c r="J565" t="s">
        <v>46</v>
      </c>
      <c r="L565" t="s">
        <v>177</v>
      </c>
      <c r="M565" t="s">
        <v>22</v>
      </c>
    </row>
    <row r="566" spans="1:13" x14ac:dyDescent="0.3">
      <c r="A566" t="str">
        <f>HYPERLINK("https://hsdes.intel.com/resource/14013161002","14013161002")</f>
        <v>14013161002</v>
      </c>
      <c r="B566" t="s">
        <v>1301</v>
      </c>
      <c r="C566" t="s">
        <v>12</v>
      </c>
      <c r="D566" t="s">
        <v>1302</v>
      </c>
      <c r="E566" t="s">
        <v>14</v>
      </c>
      <c r="G566" t="s">
        <v>43</v>
      </c>
      <c r="H566" s="2">
        <v>44784</v>
      </c>
      <c r="I566" t="s">
        <v>32</v>
      </c>
      <c r="J566" t="s">
        <v>46</v>
      </c>
      <c r="L566" t="s">
        <v>177</v>
      </c>
      <c r="M566" t="s">
        <v>22</v>
      </c>
    </row>
    <row r="567" spans="1:13" x14ac:dyDescent="0.3">
      <c r="A567" t="str">
        <f>HYPERLINK("https://hsdes.intel.com/resource/14013161009","14013161009")</f>
        <v>14013161009</v>
      </c>
      <c r="B567" t="s">
        <v>1303</v>
      </c>
      <c r="C567" t="s">
        <v>12</v>
      </c>
      <c r="D567" t="s">
        <v>1304</v>
      </c>
      <c r="E567" t="s">
        <v>14</v>
      </c>
      <c r="G567" t="s">
        <v>43</v>
      </c>
      <c r="H567" s="2">
        <v>44784</v>
      </c>
      <c r="I567" t="s">
        <v>32</v>
      </c>
      <c r="J567" t="s">
        <v>46</v>
      </c>
      <c r="L567" t="s">
        <v>177</v>
      </c>
      <c r="M567" t="s">
        <v>19</v>
      </c>
    </row>
    <row r="568" spans="1:13" x14ac:dyDescent="0.3">
      <c r="A568" t="str">
        <f>HYPERLINK("https://hsdes.intel.com/resource/14013161019","14013161019")</f>
        <v>14013161019</v>
      </c>
      <c r="B568" t="s">
        <v>1305</v>
      </c>
      <c r="C568" t="s">
        <v>12</v>
      </c>
      <c r="D568" t="s">
        <v>1306</v>
      </c>
      <c r="E568" t="s">
        <v>14</v>
      </c>
      <c r="F568" t="s">
        <v>1307</v>
      </c>
      <c r="G568" t="s">
        <v>43</v>
      </c>
      <c r="H568" s="2">
        <v>44799</v>
      </c>
      <c r="I568" t="s">
        <v>32</v>
      </c>
      <c r="J568" t="s">
        <v>46</v>
      </c>
      <c r="L568" t="s">
        <v>177</v>
      </c>
      <c r="M568" t="s">
        <v>19</v>
      </c>
    </row>
    <row r="569" spans="1:13" x14ac:dyDescent="0.3">
      <c r="A569" t="str">
        <f>HYPERLINK("https://hsdes.intel.com/resource/14013161024","14013161024")</f>
        <v>14013161024</v>
      </c>
      <c r="B569" t="s">
        <v>1308</v>
      </c>
      <c r="C569" t="s">
        <v>12</v>
      </c>
      <c r="D569" t="s">
        <v>1309</v>
      </c>
      <c r="E569" t="s">
        <v>14</v>
      </c>
      <c r="F569" t="s">
        <v>1310</v>
      </c>
      <c r="G569" t="s">
        <v>43</v>
      </c>
      <c r="H569" s="2">
        <v>44799</v>
      </c>
      <c r="I569" t="s">
        <v>32</v>
      </c>
      <c r="J569" t="s">
        <v>46</v>
      </c>
      <c r="L569" t="s">
        <v>177</v>
      </c>
      <c r="M569" t="s">
        <v>19</v>
      </c>
    </row>
    <row r="570" spans="1:13" x14ac:dyDescent="0.3">
      <c r="A570" t="str">
        <f>HYPERLINK("https://hsdes.intel.com/resource/14013161080","14013161080")</f>
        <v>14013161080</v>
      </c>
      <c r="B570" t="s">
        <v>1311</v>
      </c>
      <c r="C570" t="s">
        <v>12</v>
      </c>
      <c r="D570" t="s">
        <v>1312</v>
      </c>
      <c r="E570" t="s">
        <v>14</v>
      </c>
      <c r="G570" t="s">
        <v>111</v>
      </c>
      <c r="H570" s="2">
        <v>44784</v>
      </c>
      <c r="I570" t="s">
        <v>32</v>
      </c>
      <c r="J570" t="s">
        <v>82</v>
      </c>
      <c r="L570" t="s">
        <v>125</v>
      </c>
      <c r="M570" t="s">
        <v>26</v>
      </c>
    </row>
    <row r="571" spans="1:13" x14ac:dyDescent="0.3">
      <c r="A571" t="str">
        <f>HYPERLINK("https://hsdes.intel.com/resource/14013161121","14013161121")</f>
        <v>14013161121</v>
      </c>
      <c r="B571" t="s">
        <v>1313</v>
      </c>
      <c r="C571" t="s">
        <v>12</v>
      </c>
      <c r="D571" t="s">
        <v>1314</v>
      </c>
      <c r="E571" t="s">
        <v>14</v>
      </c>
      <c r="F571" t="s">
        <v>1315</v>
      </c>
      <c r="G571" t="s">
        <v>86</v>
      </c>
      <c r="H571" s="2">
        <v>44802</v>
      </c>
      <c r="I571" t="s">
        <v>32</v>
      </c>
      <c r="J571" t="s">
        <v>46</v>
      </c>
      <c r="L571" t="s">
        <v>177</v>
      </c>
      <c r="M571" t="s">
        <v>26</v>
      </c>
    </row>
    <row r="572" spans="1:13" x14ac:dyDescent="0.3">
      <c r="A572" t="str">
        <f>HYPERLINK("https://hsdes.intel.com/resource/14013161169","14013161169")</f>
        <v>14013161169</v>
      </c>
      <c r="B572" t="s">
        <v>1316</v>
      </c>
      <c r="C572" t="s">
        <v>12</v>
      </c>
      <c r="D572" t="s">
        <v>1317</v>
      </c>
      <c r="E572" t="s">
        <v>612</v>
      </c>
      <c r="F572" t="s">
        <v>613</v>
      </c>
      <c r="G572" t="s">
        <v>57</v>
      </c>
      <c r="I572" t="s">
        <v>132</v>
      </c>
      <c r="J572" t="s">
        <v>614</v>
      </c>
      <c r="L572" t="s">
        <v>615</v>
      </c>
      <c r="M572" t="s">
        <v>22</v>
      </c>
    </row>
    <row r="573" spans="1:13" x14ac:dyDescent="0.3">
      <c r="A573" t="str">
        <f>HYPERLINK("https://hsdes.intel.com/resource/14013161181","14013161181")</f>
        <v>14013161181</v>
      </c>
      <c r="B573" t="s">
        <v>1318</v>
      </c>
      <c r="C573" t="s">
        <v>12</v>
      </c>
      <c r="D573" t="s">
        <v>1319</v>
      </c>
      <c r="E573" t="s">
        <v>14</v>
      </c>
      <c r="G573" t="s">
        <v>31</v>
      </c>
      <c r="H573" s="2">
        <v>44795</v>
      </c>
      <c r="I573" t="s">
        <v>16</v>
      </c>
      <c r="J573" t="s">
        <v>483</v>
      </c>
      <c r="L573" t="s">
        <v>78</v>
      </c>
      <c r="M573" t="s">
        <v>19</v>
      </c>
    </row>
    <row r="574" spans="1:13" x14ac:dyDescent="0.3">
      <c r="A574" t="str">
        <f>HYPERLINK("https://hsdes.intel.com/resource/14013161185","14013161185")</f>
        <v>14013161185</v>
      </c>
      <c r="B574" t="s">
        <v>1320</v>
      </c>
      <c r="C574" t="s">
        <v>12</v>
      </c>
      <c r="D574" t="s">
        <v>1321</v>
      </c>
      <c r="E574" t="s">
        <v>14</v>
      </c>
      <c r="G574" t="s">
        <v>31</v>
      </c>
      <c r="H574" s="2">
        <v>44795</v>
      </c>
      <c r="I574" t="s">
        <v>16</v>
      </c>
      <c r="J574" t="s">
        <v>483</v>
      </c>
      <c r="L574" t="s">
        <v>78</v>
      </c>
      <c r="M574" t="s">
        <v>19</v>
      </c>
    </row>
    <row r="575" spans="1:13" x14ac:dyDescent="0.3">
      <c r="A575" t="str">
        <f>HYPERLINK("https://hsdes.intel.com/resource/14013161188","14013161188")</f>
        <v>14013161188</v>
      </c>
      <c r="B575" t="s">
        <v>1322</v>
      </c>
      <c r="C575" t="s">
        <v>12</v>
      </c>
      <c r="D575" t="s">
        <v>1323</v>
      </c>
      <c r="E575" t="s">
        <v>14</v>
      </c>
      <c r="G575" t="s">
        <v>31</v>
      </c>
      <c r="H575" s="2">
        <v>44795</v>
      </c>
      <c r="I575" t="s">
        <v>16</v>
      </c>
      <c r="J575" t="s">
        <v>483</v>
      </c>
      <c r="L575" t="s">
        <v>78</v>
      </c>
      <c r="M575" t="s">
        <v>19</v>
      </c>
    </row>
    <row r="576" spans="1:13" x14ac:dyDescent="0.3">
      <c r="A576" t="str">
        <f>HYPERLINK("https://hsdes.intel.com/resource/14013161189","14013161189")</f>
        <v>14013161189</v>
      </c>
      <c r="B576" t="s">
        <v>1324</v>
      </c>
      <c r="C576" t="s">
        <v>12</v>
      </c>
      <c r="D576" t="s">
        <v>1325</v>
      </c>
      <c r="E576" t="s">
        <v>14</v>
      </c>
      <c r="G576" t="s">
        <v>31</v>
      </c>
      <c r="H576" s="2">
        <v>44795</v>
      </c>
      <c r="I576" t="s">
        <v>16</v>
      </c>
      <c r="J576" t="s">
        <v>483</v>
      </c>
      <c r="L576" t="s">
        <v>78</v>
      </c>
      <c r="M576" t="s">
        <v>26</v>
      </c>
    </row>
    <row r="577" spans="1:13" x14ac:dyDescent="0.3">
      <c r="A577" t="str">
        <f>HYPERLINK("https://hsdes.intel.com/resource/14013161190","14013161190")</f>
        <v>14013161190</v>
      </c>
      <c r="B577" t="s">
        <v>1326</v>
      </c>
      <c r="C577" t="s">
        <v>12</v>
      </c>
      <c r="D577" t="s">
        <v>1327</v>
      </c>
      <c r="E577" t="s">
        <v>14</v>
      </c>
      <c r="G577" t="s">
        <v>57</v>
      </c>
      <c r="H577" s="2">
        <v>44798</v>
      </c>
      <c r="I577" t="s">
        <v>132</v>
      </c>
      <c r="J577" t="s">
        <v>115</v>
      </c>
      <c r="L577" t="s">
        <v>133</v>
      </c>
      <c r="M577" t="s">
        <v>26</v>
      </c>
    </row>
    <row r="578" spans="1:13" x14ac:dyDescent="0.3">
      <c r="A578" t="str">
        <f>HYPERLINK("https://hsdes.intel.com/resource/14013161192","14013161192")</f>
        <v>14013161192</v>
      </c>
      <c r="B578" t="s">
        <v>1328</v>
      </c>
      <c r="C578" t="s">
        <v>12</v>
      </c>
      <c r="D578" t="s">
        <v>1329</v>
      </c>
      <c r="E578" t="s">
        <v>14</v>
      </c>
      <c r="G578" t="s">
        <v>15</v>
      </c>
      <c r="H578" s="2">
        <v>44784</v>
      </c>
      <c r="I578" t="s">
        <v>48</v>
      </c>
      <c r="J578" t="s">
        <v>271</v>
      </c>
      <c r="L578" t="s">
        <v>272</v>
      </c>
      <c r="M578" t="s">
        <v>26</v>
      </c>
    </row>
    <row r="579" spans="1:13" x14ac:dyDescent="0.3">
      <c r="A579" t="str">
        <f>HYPERLINK("https://hsdes.intel.com/resource/14013161207","14013161207")</f>
        <v>14013161207</v>
      </c>
      <c r="B579" t="s">
        <v>1330</v>
      </c>
      <c r="C579" t="s">
        <v>12</v>
      </c>
      <c r="D579" t="s">
        <v>1331</v>
      </c>
      <c r="E579" t="s">
        <v>14</v>
      </c>
      <c r="G579" t="s">
        <v>57</v>
      </c>
      <c r="H579" s="2">
        <v>44799</v>
      </c>
      <c r="I579" t="s">
        <v>132</v>
      </c>
      <c r="J579" t="s">
        <v>115</v>
      </c>
      <c r="L579" t="s">
        <v>133</v>
      </c>
      <c r="M579" t="s">
        <v>26</v>
      </c>
    </row>
    <row r="580" spans="1:13" x14ac:dyDescent="0.3">
      <c r="A580" t="str">
        <f>HYPERLINK("https://hsdes.intel.com/resource/14013161281","14013161281")</f>
        <v>14013161281</v>
      </c>
      <c r="B580" t="s">
        <v>1332</v>
      </c>
      <c r="C580" t="s">
        <v>12</v>
      </c>
      <c r="D580" t="s">
        <v>1333</v>
      </c>
      <c r="E580" t="s">
        <v>14</v>
      </c>
      <c r="G580" t="s">
        <v>31</v>
      </c>
      <c r="H580" s="2">
        <v>44795</v>
      </c>
      <c r="I580" t="s">
        <v>132</v>
      </c>
      <c r="J580" t="s">
        <v>115</v>
      </c>
      <c r="L580" t="s">
        <v>133</v>
      </c>
      <c r="M580" t="s">
        <v>22</v>
      </c>
    </row>
    <row r="581" spans="1:13" x14ac:dyDescent="0.3">
      <c r="A581" t="str">
        <f>HYPERLINK("https://hsdes.intel.com/resource/14013161293","14013161293")</f>
        <v>14013161293</v>
      </c>
      <c r="B581" t="s">
        <v>1334</v>
      </c>
      <c r="C581" t="s">
        <v>12</v>
      </c>
      <c r="D581" t="s">
        <v>1335</v>
      </c>
      <c r="E581" t="s">
        <v>14</v>
      </c>
      <c r="I581" t="s">
        <v>32</v>
      </c>
      <c r="J581" t="s">
        <v>33</v>
      </c>
      <c r="L581" t="s">
        <v>34</v>
      </c>
      <c r="M581" t="s">
        <v>26</v>
      </c>
    </row>
    <row r="582" spans="1:13" x14ac:dyDescent="0.3">
      <c r="A582" t="str">
        <f>HYPERLINK("https://hsdes.intel.com/resource/14013161298","14013161298")</f>
        <v>14013161298</v>
      </c>
      <c r="B582" t="s">
        <v>1336</v>
      </c>
      <c r="C582" t="s">
        <v>12</v>
      </c>
      <c r="D582" t="s">
        <v>1337</v>
      </c>
      <c r="E582" t="s">
        <v>14</v>
      </c>
      <c r="G582" t="s">
        <v>15</v>
      </c>
      <c r="H582" s="2">
        <v>44789</v>
      </c>
      <c r="I582" t="s">
        <v>32</v>
      </c>
      <c r="J582" t="s">
        <v>33</v>
      </c>
      <c r="L582" t="s">
        <v>34</v>
      </c>
      <c r="M582" t="s">
        <v>26</v>
      </c>
    </row>
    <row r="583" spans="1:13" x14ac:dyDescent="0.3">
      <c r="A583" t="str">
        <f>HYPERLINK("https://hsdes.intel.com/resource/14013161335","14013161335")</f>
        <v>14013161335</v>
      </c>
      <c r="B583" t="s">
        <v>1338</v>
      </c>
      <c r="C583" t="s">
        <v>12</v>
      </c>
      <c r="D583" t="s">
        <v>1339</v>
      </c>
      <c r="E583" t="s">
        <v>14</v>
      </c>
      <c r="F583" t="s">
        <v>1340</v>
      </c>
      <c r="G583" t="s">
        <v>15</v>
      </c>
      <c r="H583" s="2">
        <v>44789</v>
      </c>
      <c r="I583" t="s">
        <v>48</v>
      </c>
      <c r="J583" t="s">
        <v>271</v>
      </c>
      <c r="L583" t="s">
        <v>272</v>
      </c>
      <c r="M583" t="s">
        <v>26</v>
      </c>
    </row>
    <row r="584" spans="1:13" x14ac:dyDescent="0.3">
      <c r="A584" t="str">
        <f>HYPERLINK("https://hsdes.intel.com/resource/14013161348","14013161348")</f>
        <v>14013161348</v>
      </c>
      <c r="B584" t="s">
        <v>1341</v>
      </c>
      <c r="C584" t="s">
        <v>12</v>
      </c>
      <c r="D584" t="s">
        <v>1342</v>
      </c>
      <c r="E584" t="s">
        <v>14</v>
      </c>
      <c r="F584" t="s">
        <v>1343</v>
      </c>
      <c r="G584" t="s">
        <v>15</v>
      </c>
      <c r="H584" s="2">
        <v>44789</v>
      </c>
      <c r="I584" t="s">
        <v>48</v>
      </c>
      <c r="J584" t="s">
        <v>271</v>
      </c>
      <c r="L584" t="s">
        <v>272</v>
      </c>
      <c r="M584" t="s">
        <v>26</v>
      </c>
    </row>
    <row r="585" spans="1:13" x14ac:dyDescent="0.3">
      <c r="A585" t="str">
        <f>HYPERLINK("https://hsdes.intel.com/resource/14013161353","14013161353")</f>
        <v>14013161353</v>
      </c>
      <c r="B585" t="s">
        <v>1344</v>
      </c>
      <c r="C585" t="s">
        <v>12</v>
      </c>
      <c r="D585" t="s">
        <v>1345</v>
      </c>
      <c r="E585" t="s">
        <v>14</v>
      </c>
      <c r="F585" t="s">
        <v>1346</v>
      </c>
      <c r="G585" t="s">
        <v>15</v>
      </c>
      <c r="H585" s="2">
        <v>44789</v>
      </c>
      <c r="I585" t="s">
        <v>48</v>
      </c>
      <c r="J585" t="s">
        <v>271</v>
      </c>
      <c r="L585" t="s">
        <v>272</v>
      </c>
      <c r="M585" t="s">
        <v>26</v>
      </c>
    </row>
    <row r="586" spans="1:13" x14ac:dyDescent="0.3">
      <c r="A586" t="str">
        <f>HYPERLINK("https://hsdes.intel.com/resource/14013161356","14013161356")</f>
        <v>14013161356</v>
      </c>
      <c r="B586" t="s">
        <v>1347</v>
      </c>
      <c r="C586" t="s">
        <v>12</v>
      </c>
      <c r="D586" t="s">
        <v>1348</v>
      </c>
      <c r="E586" t="s">
        <v>14</v>
      </c>
      <c r="G586" t="s">
        <v>15</v>
      </c>
      <c r="H586" s="2">
        <v>44789</v>
      </c>
      <c r="I586" t="s">
        <v>48</v>
      </c>
      <c r="J586" t="s">
        <v>271</v>
      </c>
      <c r="L586" t="s">
        <v>272</v>
      </c>
      <c r="M586" t="s">
        <v>26</v>
      </c>
    </row>
    <row r="587" spans="1:13" x14ac:dyDescent="0.3">
      <c r="A587" t="str">
        <f>HYPERLINK("https://hsdes.intel.com/resource/14013161425","14013161425")</f>
        <v>14013161425</v>
      </c>
      <c r="B587" t="s">
        <v>1349</v>
      </c>
      <c r="C587" t="s">
        <v>12</v>
      </c>
      <c r="D587" t="s">
        <v>1350</v>
      </c>
      <c r="E587" t="s">
        <v>14</v>
      </c>
      <c r="G587" t="s">
        <v>111</v>
      </c>
      <c r="H587" s="2">
        <v>44789</v>
      </c>
      <c r="I587" t="s">
        <v>48</v>
      </c>
      <c r="J587" t="s">
        <v>1251</v>
      </c>
      <c r="L587" t="s">
        <v>152</v>
      </c>
      <c r="M587" t="s">
        <v>22</v>
      </c>
    </row>
    <row r="588" spans="1:13" x14ac:dyDescent="0.3">
      <c r="A588" t="str">
        <f>HYPERLINK("https://hsdes.intel.com/resource/14013161426","14013161426")</f>
        <v>14013161426</v>
      </c>
      <c r="B588" t="s">
        <v>1351</v>
      </c>
      <c r="C588" t="s">
        <v>12</v>
      </c>
      <c r="D588" t="s">
        <v>1352</v>
      </c>
      <c r="E588" t="s">
        <v>14</v>
      </c>
      <c r="G588" t="s">
        <v>15</v>
      </c>
      <c r="H588" s="2">
        <v>44789</v>
      </c>
      <c r="I588" t="s">
        <v>32</v>
      </c>
      <c r="J588" t="s">
        <v>46</v>
      </c>
      <c r="L588" t="s">
        <v>177</v>
      </c>
      <c r="M588" t="s">
        <v>19</v>
      </c>
    </row>
    <row r="589" spans="1:13" x14ac:dyDescent="0.3">
      <c r="A589" t="str">
        <f>HYPERLINK("https://hsdes.intel.com/resource/14013161430","14013161430")</f>
        <v>14013161430</v>
      </c>
      <c r="B589" t="s">
        <v>1353</v>
      </c>
      <c r="C589" t="s">
        <v>12</v>
      </c>
      <c r="D589" t="s">
        <v>1354</v>
      </c>
      <c r="E589" t="s">
        <v>14</v>
      </c>
      <c r="F589" t="s">
        <v>1355</v>
      </c>
      <c r="G589" t="s">
        <v>111</v>
      </c>
      <c r="H589" s="2">
        <v>44792</v>
      </c>
      <c r="I589" t="s">
        <v>16</v>
      </c>
      <c r="J589" t="s">
        <v>17</v>
      </c>
      <c r="L589" t="s">
        <v>18</v>
      </c>
      <c r="M589" t="s">
        <v>22</v>
      </c>
    </row>
    <row r="590" spans="1:13" x14ac:dyDescent="0.3">
      <c r="A590" t="str">
        <f>HYPERLINK("https://hsdes.intel.com/resource/14013161435","14013161435")</f>
        <v>14013161435</v>
      </c>
      <c r="B590" t="s">
        <v>1356</v>
      </c>
      <c r="C590" t="s">
        <v>12</v>
      </c>
      <c r="D590" t="s">
        <v>1357</v>
      </c>
      <c r="E590" t="s">
        <v>14</v>
      </c>
      <c r="F590" t="s">
        <v>1355</v>
      </c>
      <c r="G590" t="s">
        <v>111</v>
      </c>
      <c r="H590" s="2">
        <v>44792</v>
      </c>
      <c r="I590" t="s">
        <v>16</v>
      </c>
      <c r="J590" t="s">
        <v>17</v>
      </c>
      <c r="L590" t="s">
        <v>18</v>
      </c>
      <c r="M590" t="s">
        <v>22</v>
      </c>
    </row>
    <row r="591" spans="1:13" x14ac:dyDescent="0.3">
      <c r="A591" t="str">
        <f>HYPERLINK("https://hsdes.intel.com/resource/14013161439","14013161439")</f>
        <v>14013161439</v>
      </c>
      <c r="B591" t="s">
        <v>1358</v>
      </c>
      <c r="C591" t="s">
        <v>12</v>
      </c>
      <c r="D591" t="s">
        <v>1359</v>
      </c>
      <c r="E591" t="s">
        <v>14</v>
      </c>
      <c r="F591" t="s">
        <v>1355</v>
      </c>
      <c r="G591" t="s">
        <v>43</v>
      </c>
      <c r="H591" s="2">
        <v>44789</v>
      </c>
      <c r="I591" t="s">
        <v>16</v>
      </c>
      <c r="J591" t="s">
        <v>17</v>
      </c>
      <c r="L591" t="s">
        <v>18</v>
      </c>
      <c r="M591" t="s">
        <v>22</v>
      </c>
    </row>
    <row r="592" spans="1:13" x14ac:dyDescent="0.3">
      <c r="A592" t="str">
        <f>HYPERLINK("https://hsdes.intel.com/resource/14013161442","14013161442")</f>
        <v>14013161442</v>
      </c>
      <c r="B592" t="s">
        <v>1360</v>
      </c>
      <c r="C592" t="s">
        <v>12</v>
      </c>
      <c r="D592" t="s">
        <v>1361</v>
      </c>
      <c r="E592" t="s">
        <v>14</v>
      </c>
      <c r="F592" t="s">
        <v>1310</v>
      </c>
      <c r="G592" t="s">
        <v>43</v>
      </c>
      <c r="H592" s="2">
        <v>44802</v>
      </c>
      <c r="I592" t="s">
        <v>32</v>
      </c>
      <c r="J592" t="s">
        <v>46</v>
      </c>
      <c r="L592" t="s">
        <v>177</v>
      </c>
      <c r="M592" t="s">
        <v>19</v>
      </c>
    </row>
    <row r="593" spans="1:13" x14ac:dyDescent="0.3">
      <c r="A593" t="str">
        <f>HYPERLINK("https://hsdes.intel.com/resource/14013161443","14013161443")</f>
        <v>14013161443</v>
      </c>
      <c r="B593" t="s">
        <v>1362</v>
      </c>
      <c r="C593" t="s">
        <v>12</v>
      </c>
      <c r="D593" t="s">
        <v>1363</v>
      </c>
      <c r="E593" t="s">
        <v>14</v>
      </c>
      <c r="G593" t="s">
        <v>15</v>
      </c>
      <c r="H593" s="2">
        <v>44789</v>
      </c>
      <c r="I593" t="s">
        <v>32</v>
      </c>
      <c r="J593" t="s">
        <v>46</v>
      </c>
      <c r="L593" t="s">
        <v>177</v>
      </c>
      <c r="M593" t="s">
        <v>19</v>
      </c>
    </row>
    <row r="594" spans="1:13" x14ac:dyDescent="0.3">
      <c r="A594" t="str">
        <f>HYPERLINK("https://hsdes.intel.com/resource/14013161444","14013161444")</f>
        <v>14013161444</v>
      </c>
      <c r="B594" t="s">
        <v>1364</v>
      </c>
      <c r="C594" t="s">
        <v>12</v>
      </c>
      <c r="D594" t="s">
        <v>1365</v>
      </c>
      <c r="E594" t="s">
        <v>14</v>
      </c>
      <c r="F594" t="s">
        <v>1257</v>
      </c>
      <c r="G594" t="s">
        <v>43</v>
      </c>
      <c r="H594" s="2">
        <v>44799</v>
      </c>
      <c r="I594" t="s">
        <v>32</v>
      </c>
      <c r="J594" t="s">
        <v>46</v>
      </c>
      <c r="L594" t="s">
        <v>177</v>
      </c>
      <c r="M594" t="s">
        <v>19</v>
      </c>
    </row>
    <row r="595" spans="1:13" x14ac:dyDescent="0.3">
      <c r="A595" t="str">
        <f>HYPERLINK("https://hsdes.intel.com/resource/14013161458","14013161458")</f>
        <v>14013161458</v>
      </c>
      <c r="B595" t="s">
        <v>1366</v>
      </c>
      <c r="C595" t="s">
        <v>12</v>
      </c>
      <c r="D595" t="s">
        <v>1367</v>
      </c>
      <c r="E595" t="s">
        <v>14</v>
      </c>
      <c r="G595" t="s">
        <v>31</v>
      </c>
      <c r="H595" s="2">
        <v>44790</v>
      </c>
      <c r="I595" t="s">
        <v>48</v>
      </c>
      <c r="J595" t="s">
        <v>271</v>
      </c>
      <c r="L595" t="s">
        <v>272</v>
      </c>
      <c r="M595" t="s">
        <v>19</v>
      </c>
    </row>
    <row r="596" spans="1:13" x14ac:dyDescent="0.3">
      <c r="A596" t="str">
        <f>HYPERLINK("https://hsdes.intel.com/resource/14013161460","14013161460")</f>
        <v>14013161460</v>
      </c>
      <c r="B596" t="s">
        <v>1368</v>
      </c>
      <c r="C596" t="s">
        <v>12</v>
      </c>
      <c r="D596" t="s">
        <v>1369</v>
      </c>
      <c r="E596" t="s">
        <v>14</v>
      </c>
      <c r="G596" t="s">
        <v>31</v>
      </c>
      <c r="H596" s="2">
        <v>44790</v>
      </c>
      <c r="I596" t="s">
        <v>48</v>
      </c>
      <c r="J596" t="s">
        <v>271</v>
      </c>
      <c r="L596" t="s">
        <v>272</v>
      </c>
      <c r="M596" t="s">
        <v>19</v>
      </c>
    </row>
    <row r="597" spans="1:13" x14ac:dyDescent="0.3">
      <c r="A597" t="str">
        <f>HYPERLINK("https://hsdes.intel.com/resource/14013161466","14013161466")</f>
        <v>14013161466</v>
      </c>
      <c r="B597" t="s">
        <v>1370</v>
      </c>
      <c r="C597" t="s">
        <v>12</v>
      </c>
      <c r="D597" t="s">
        <v>1371</v>
      </c>
      <c r="E597" t="s">
        <v>14</v>
      </c>
      <c r="G597" t="s">
        <v>31</v>
      </c>
      <c r="H597" s="2">
        <v>44790</v>
      </c>
      <c r="I597" t="s">
        <v>48</v>
      </c>
      <c r="J597" t="s">
        <v>271</v>
      </c>
      <c r="L597" t="s">
        <v>272</v>
      </c>
      <c r="M597" t="s">
        <v>19</v>
      </c>
    </row>
    <row r="598" spans="1:13" x14ac:dyDescent="0.3">
      <c r="A598" t="str">
        <f>HYPERLINK("https://hsdes.intel.com/resource/14013161469","14013161469")</f>
        <v>14013161469</v>
      </c>
      <c r="B598" t="s">
        <v>1372</v>
      </c>
      <c r="C598" t="s">
        <v>12</v>
      </c>
      <c r="D598" t="s">
        <v>1373</v>
      </c>
      <c r="E598" t="s">
        <v>14</v>
      </c>
      <c r="G598" t="s">
        <v>31</v>
      </c>
      <c r="H598" s="2">
        <v>44790</v>
      </c>
      <c r="I598" t="s">
        <v>48</v>
      </c>
      <c r="J598" t="s">
        <v>271</v>
      </c>
      <c r="L598" t="s">
        <v>272</v>
      </c>
      <c r="M598" t="s">
        <v>19</v>
      </c>
    </row>
    <row r="599" spans="1:13" x14ac:dyDescent="0.3">
      <c r="A599" t="str">
        <f>HYPERLINK("https://hsdes.intel.com/resource/14013161527","14013161527")</f>
        <v>14013161527</v>
      </c>
      <c r="B599" t="s">
        <v>1374</v>
      </c>
      <c r="C599" t="s">
        <v>12</v>
      </c>
      <c r="D599" t="s">
        <v>1375</v>
      </c>
      <c r="E599" t="s">
        <v>14</v>
      </c>
      <c r="G599" t="s">
        <v>43</v>
      </c>
      <c r="H599" s="2">
        <v>44785</v>
      </c>
      <c r="I599" t="s">
        <v>16</v>
      </c>
      <c r="J599" t="s">
        <v>1376</v>
      </c>
      <c r="L599" t="s">
        <v>40</v>
      </c>
      <c r="M599" t="s">
        <v>19</v>
      </c>
    </row>
    <row r="600" spans="1:13" x14ac:dyDescent="0.3">
      <c r="A600" t="str">
        <f>HYPERLINK("https://hsdes.intel.com/resource/14013161560","14013161560")</f>
        <v>14013161560</v>
      </c>
      <c r="B600" t="s">
        <v>1377</v>
      </c>
      <c r="C600" t="s">
        <v>12</v>
      </c>
      <c r="D600" t="s">
        <v>1378</v>
      </c>
      <c r="E600" t="s">
        <v>14</v>
      </c>
      <c r="G600" t="s">
        <v>31</v>
      </c>
      <c r="H600" s="2">
        <v>44798</v>
      </c>
      <c r="I600" t="s">
        <v>32</v>
      </c>
      <c r="J600" t="s">
        <v>82</v>
      </c>
      <c r="L600" t="s">
        <v>125</v>
      </c>
      <c r="M600" t="s">
        <v>26</v>
      </c>
    </row>
    <row r="601" spans="1:13" x14ac:dyDescent="0.3">
      <c r="A601" t="str">
        <f>HYPERLINK("https://hsdes.intel.com/resource/14013161588","14013161588")</f>
        <v>14013161588</v>
      </c>
      <c r="B601" t="s">
        <v>1379</v>
      </c>
      <c r="C601" t="s">
        <v>12</v>
      </c>
      <c r="D601" t="s">
        <v>1380</v>
      </c>
      <c r="E601" t="s">
        <v>14</v>
      </c>
      <c r="F601" t="s">
        <v>1257</v>
      </c>
      <c r="G601" t="s">
        <v>43</v>
      </c>
      <c r="H601" s="2">
        <v>44799</v>
      </c>
      <c r="I601" t="s">
        <v>32</v>
      </c>
      <c r="J601" t="s">
        <v>46</v>
      </c>
      <c r="L601" t="s">
        <v>177</v>
      </c>
      <c r="M601" t="s">
        <v>19</v>
      </c>
    </row>
    <row r="602" spans="1:13" x14ac:dyDescent="0.3">
      <c r="A602" t="str">
        <f>HYPERLINK("https://hsdes.intel.com/resource/14013161591","14013161591")</f>
        <v>14013161591</v>
      </c>
      <c r="B602" t="s">
        <v>1381</v>
      </c>
      <c r="C602" t="s">
        <v>12</v>
      </c>
      <c r="D602" t="s">
        <v>1382</v>
      </c>
      <c r="E602" t="s">
        <v>14</v>
      </c>
      <c r="G602" t="s">
        <v>43</v>
      </c>
      <c r="H602" s="2">
        <v>44785</v>
      </c>
      <c r="I602" t="s">
        <v>16</v>
      </c>
      <c r="J602" t="s">
        <v>39</v>
      </c>
      <c r="L602" t="s">
        <v>40</v>
      </c>
      <c r="M602" t="s">
        <v>26</v>
      </c>
    </row>
    <row r="603" spans="1:13" x14ac:dyDescent="0.3">
      <c r="A603" t="str">
        <f>HYPERLINK("https://hsdes.intel.com/resource/14013161593","14013161593")</f>
        <v>14013161593</v>
      </c>
      <c r="B603" t="s">
        <v>1383</v>
      </c>
      <c r="C603" t="s">
        <v>12</v>
      </c>
      <c r="D603" t="s">
        <v>1384</v>
      </c>
      <c r="E603" t="s">
        <v>1385</v>
      </c>
      <c r="G603" t="s">
        <v>811</v>
      </c>
      <c r="I603" t="s">
        <v>38</v>
      </c>
      <c r="J603" t="s">
        <v>77</v>
      </c>
      <c r="L603" t="s">
        <v>78</v>
      </c>
      <c r="M603" t="s">
        <v>26</v>
      </c>
    </row>
    <row r="604" spans="1:13" x14ac:dyDescent="0.3">
      <c r="A604" t="str">
        <f>HYPERLINK("https://hsdes.intel.com/resource/14013161594","14013161594")</f>
        <v>14013161594</v>
      </c>
      <c r="B604" t="s">
        <v>1386</v>
      </c>
      <c r="C604" t="s">
        <v>12</v>
      </c>
      <c r="D604" t="s">
        <v>1387</v>
      </c>
      <c r="E604" t="s">
        <v>1385</v>
      </c>
      <c r="G604" t="s">
        <v>811</v>
      </c>
      <c r="I604" t="s">
        <v>38</v>
      </c>
      <c r="J604" t="s">
        <v>77</v>
      </c>
      <c r="L604" t="s">
        <v>78</v>
      </c>
      <c r="M604" t="s">
        <v>26</v>
      </c>
    </row>
    <row r="605" spans="1:13" x14ac:dyDescent="0.3">
      <c r="A605" t="str">
        <f>HYPERLINK("https://hsdes.intel.com/resource/14013161603","14013161603")</f>
        <v>14013161603</v>
      </c>
      <c r="B605" t="s">
        <v>1388</v>
      </c>
      <c r="C605" t="s">
        <v>12</v>
      </c>
      <c r="D605" t="s">
        <v>1389</v>
      </c>
      <c r="E605" t="s">
        <v>14</v>
      </c>
      <c r="G605" t="s">
        <v>43</v>
      </c>
      <c r="H605" s="2">
        <v>44784</v>
      </c>
      <c r="I605" t="s">
        <v>16</v>
      </c>
      <c r="J605" t="s">
        <v>77</v>
      </c>
      <c r="L605" t="s">
        <v>40</v>
      </c>
      <c r="M605" t="s">
        <v>22</v>
      </c>
    </row>
    <row r="606" spans="1:13" x14ac:dyDescent="0.3">
      <c r="A606" t="str">
        <f>HYPERLINK("https://hsdes.intel.com/resource/14013161605","14013161605")</f>
        <v>14013161605</v>
      </c>
      <c r="B606" t="s">
        <v>1390</v>
      </c>
      <c r="C606" t="s">
        <v>12</v>
      </c>
      <c r="D606" t="s">
        <v>1391</v>
      </c>
      <c r="E606" t="s">
        <v>14</v>
      </c>
      <c r="G606" t="s">
        <v>15</v>
      </c>
      <c r="H606" s="2">
        <v>44789</v>
      </c>
      <c r="I606" t="s">
        <v>32</v>
      </c>
      <c r="J606" t="s">
        <v>46</v>
      </c>
      <c r="L606" t="s">
        <v>177</v>
      </c>
      <c r="M606" t="s">
        <v>22</v>
      </c>
    </row>
    <row r="607" spans="1:13" x14ac:dyDescent="0.3">
      <c r="A607" t="str">
        <f>HYPERLINK("https://hsdes.intel.com/resource/14013161678","14013161678")</f>
        <v>14013161678</v>
      </c>
      <c r="B607" t="s">
        <v>1392</v>
      </c>
      <c r="C607" t="s">
        <v>12</v>
      </c>
      <c r="D607" t="s">
        <v>1393</v>
      </c>
      <c r="E607" t="s">
        <v>612</v>
      </c>
      <c r="F607" t="s">
        <v>1394</v>
      </c>
      <c r="G607" t="s">
        <v>57</v>
      </c>
      <c r="I607" t="s">
        <v>132</v>
      </c>
      <c r="J607" t="s">
        <v>614</v>
      </c>
      <c r="L607" t="s">
        <v>615</v>
      </c>
      <c r="M607" t="s">
        <v>19</v>
      </c>
    </row>
    <row r="608" spans="1:13" x14ac:dyDescent="0.3">
      <c r="A608" t="str">
        <f>HYPERLINK("https://hsdes.intel.com/resource/14013161679","14013161679")</f>
        <v>14013161679</v>
      </c>
      <c r="B608" t="s">
        <v>1395</v>
      </c>
      <c r="C608" t="s">
        <v>12</v>
      </c>
      <c r="D608" t="s">
        <v>1396</v>
      </c>
      <c r="E608" t="s">
        <v>612</v>
      </c>
      <c r="F608" t="s">
        <v>1394</v>
      </c>
      <c r="G608" t="s">
        <v>57</v>
      </c>
      <c r="I608" t="s">
        <v>132</v>
      </c>
      <c r="J608" t="s">
        <v>614</v>
      </c>
      <c r="L608" t="s">
        <v>615</v>
      </c>
      <c r="M608" t="s">
        <v>22</v>
      </c>
    </row>
    <row r="609" spans="1:13" x14ac:dyDescent="0.3">
      <c r="A609" t="str">
        <f>HYPERLINK("https://hsdes.intel.com/resource/14013161689","14013161689")</f>
        <v>14013161689</v>
      </c>
      <c r="B609" t="s">
        <v>1397</v>
      </c>
      <c r="C609" t="s">
        <v>12</v>
      </c>
      <c r="D609" t="s">
        <v>1398</v>
      </c>
      <c r="E609" t="s">
        <v>97</v>
      </c>
      <c r="F609" t="s">
        <v>1399</v>
      </c>
      <c r="G609" t="s">
        <v>111</v>
      </c>
      <c r="H609" s="2">
        <v>44801</v>
      </c>
      <c r="I609" t="s">
        <v>38</v>
      </c>
      <c r="J609" t="s">
        <v>77</v>
      </c>
      <c r="L609" t="s">
        <v>78</v>
      </c>
      <c r="M609" t="s">
        <v>26</v>
      </c>
    </row>
    <row r="610" spans="1:13" x14ac:dyDescent="0.3">
      <c r="A610" t="str">
        <f>HYPERLINK("https://hsdes.intel.com/resource/14013161698","14013161698")</f>
        <v>14013161698</v>
      </c>
      <c r="B610" t="s">
        <v>1400</v>
      </c>
      <c r="C610" t="s">
        <v>12</v>
      </c>
      <c r="D610" t="s">
        <v>1401</v>
      </c>
      <c r="E610" t="s">
        <v>97</v>
      </c>
      <c r="F610" t="s">
        <v>1402</v>
      </c>
      <c r="G610" t="s">
        <v>31</v>
      </c>
      <c r="H610" s="2">
        <v>44792</v>
      </c>
      <c r="I610" t="s">
        <v>32</v>
      </c>
      <c r="J610" t="s">
        <v>46</v>
      </c>
      <c r="L610" t="s">
        <v>177</v>
      </c>
      <c r="M610" t="s">
        <v>19</v>
      </c>
    </row>
    <row r="611" spans="1:13" x14ac:dyDescent="0.3">
      <c r="A611" t="str">
        <f>HYPERLINK("https://hsdes.intel.com/resource/14013161700","14013161700")</f>
        <v>14013161700</v>
      </c>
      <c r="B611" t="s">
        <v>1403</v>
      </c>
      <c r="C611" t="s">
        <v>12</v>
      </c>
      <c r="D611" t="s">
        <v>1404</v>
      </c>
      <c r="E611" t="s">
        <v>97</v>
      </c>
      <c r="F611" t="s">
        <v>1405</v>
      </c>
      <c r="G611" t="s">
        <v>31</v>
      </c>
      <c r="H611" s="2">
        <v>44792</v>
      </c>
      <c r="I611" t="s">
        <v>32</v>
      </c>
      <c r="J611" t="s">
        <v>46</v>
      </c>
      <c r="L611" t="s">
        <v>177</v>
      </c>
      <c r="M611" t="s">
        <v>22</v>
      </c>
    </row>
    <row r="612" spans="1:13" x14ac:dyDescent="0.3">
      <c r="A612" t="str">
        <f>HYPERLINK("https://hsdes.intel.com/resource/14013161706","14013161706")</f>
        <v>14013161706</v>
      </c>
      <c r="B612" t="s">
        <v>1406</v>
      </c>
      <c r="C612" t="s">
        <v>12</v>
      </c>
      <c r="D612" t="s">
        <v>1407</v>
      </c>
      <c r="E612" t="s">
        <v>14</v>
      </c>
      <c r="F612" t="s">
        <v>1408</v>
      </c>
      <c r="G612" t="s">
        <v>57</v>
      </c>
      <c r="H612" s="2">
        <v>44795</v>
      </c>
      <c r="I612" t="s">
        <v>32</v>
      </c>
      <c r="J612" t="s">
        <v>46</v>
      </c>
      <c r="L612" t="s">
        <v>177</v>
      </c>
      <c r="M612" t="s">
        <v>22</v>
      </c>
    </row>
    <row r="613" spans="1:13" x14ac:dyDescent="0.3">
      <c r="A613" t="str">
        <f>HYPERLINK("https://hsdes.intel.com/resource/14013161721","14013161721")</f>
        <v>14013161721</v>
      </c>
      <c r="B613" t="s">
        <v>1409</v>
      </c>
      <c r="C613" t="s">
        <v>12</v>
      </c>
      <c r="D613" t="s">
        <v>1410</v>
      </c>
      <c r="E613" t="s">
        <v>14</v>
      </c>
      <c r="G613" t="s">
        <v>63</v>
      </c>
      <c r="H613" s="2">
        <v>44792</v>
      </c>
      <c r="I613" t="s">
        <v>38</v>
      </c>
      <c r="J613" t="s">
        <v>77</v>
      </c>
      <c r="L613" t="s">
        <v>78</v>
      </c>
      <c r="M613" t="s">
        <v>26</v>
      </c>
    </row>
    <row r="614" spans="1:13" x14ac:dyDescent="0.3">
      <c r="A614" t="str">
        <f>HYPERLINK("https://hsdes.intel.com/resource/14013161732","14013161732")</f>
        <v>14013161732</v>
      </c>
      <c r="B614" t="s">
        <v>1411</v>
      </c>
      <c r="C614" t="s">
        <v>12</v>
      </c>
      <c r="D614" t="s">
        <v>1412</v>
      </c>
      <c r="E614" t="s">
        <v>14</v>
      </c>
      <c r="G614" t="s">
        <v>63</v>
      </c>
      <c r="H614" s="2">
        <v>44792</v>
      </c>
      <c r="I614" t="s">
        <v>38</v>
      </c>
      <c r="J614" t="s">
        <v>77</v>
      </c>
      <c r="L614" t="s">
        <v>78</v>
      </c>
      <c r="M614" t="s">
        <v>26</v>
      </c>
    </row>
    <row r="615" spans="1:13" x14ac:dyDescent="0.3">
      <c r="A615" t="str">
        <f>HYPERLINK("https://hsdes.intel.com/resource/14013161805","14013161805")</f>
        <v>14013161805</v>
      </c>
      <c r="B615" t="s">
        <v>1413</v>
      </c>
      <c r="C615" t="s">
        <v>12</v>
      </c>
      <c r="D615" t="s">
        <v>1414</v>
      </c>
      <c r="E615" t="s">
        <v>612</v>
      </c>
      <c r="F615" t="s">
        <v>1394</v>
      </c>
      <c r="G615" t="s">
        <v>57</v>
      </c>
      <c r="I615" t="s">
        <v>132</v>
      </c>
      <c r="J615" t="s">
        <v>614</v>
      </c>
      <c r="L615" t="s">
        <v>615</v>
      </c>
      <c r="M615" t="s">
        <v>22</v>
      </c>
    </row>
    <row r="616" spans="1:13" x14ac:dyDescent="0.3">
      <c r="A616" t="str">
        <f>HYPERLINK("https://hsdes.intel.com/resource/14013161928","14013161928")</f>
        <v>14013161928</v>
      </c>
      <c r="B616" t="s">
        <v>1415</v>
      </c>
      <c r="C616" t="s">
        <v>12</v>
      </c>
      <c r="D616" t="s">
        <v>1416</v>
      </c>
      <c r="E616" t="s">
        <v>97</v>
      </c>
      <c r="F616" t="s">
        <v>1417</v>
      </c>
      <c r="G616" t="s">
        <v>111</v>
      </c>
      <c r="H616" s="2">
        <v>44801</v>
      </c>
      <c r="I616" t="s">
        <v>167</v>
      </c>
      <c r="J616" t="s">
        <v>168</v>
      </c>
      <c r="L616" t="s">
        <v>147</v>
      </c>
      <c r="M616" t="s">
        <v>26</v>
      </c>
    </row>
    <row r="617" spans="1:13" x14ac:dyDescent="0.3">
      <c r="A617" t="str">
        <f>HYPERLINK("https://hsdes.intel.com/resource/14013161937","14013161937")</f>
        <v>14013161937</v>
      </c>
      <c r="B617" t="s">
        <v>1418</v>
      </c>
      <c r="C617" t="s">
        <v>12</v>
      </c>
      <c r="D617" t="s">
        <v>1419</v>
      </c>
      <c r="E617" t="s">
        <v>14</v>
      </c>
      <c r="F617" s="12" t="s">
        <v>1420</v>
      </c>
      <c r="G617" t="s">
        <v>43</v>
      </c>
      <c r="H617" s="2">
        <v>44801</v>
      </c>
      <c r="I617" t="s">
        <v>32</v>
      </c>
      <c r="J617" t="s">
        <v>46</v>
      </c>
      <c r="L617" t="s">
        <v>177</v>
      </c>
      <c r="M617" t="s">
        <v>19</v>
      </c>
    </row>
    <row r="618" spans="1:13" x14ac:dyDescent="0.3">
      <c r="A618" t="str">
        <f>HYPERLINK("https://hsdes.intel.com/resource/14013161981","14013161981")</f>
        <v>14013161981</v>
      </c>
      <c r="B618" t="s">
        <v>1421</v>
      </c>
      <c r="C618" t="s">
        <v>12</v>
      </c>
      <c r="D618" t="s">
        <v>1422</v>
      </c>
      <c r="E618" t="s">
        <v>14</v>
      </c>
      <c r="G618" t="s">
        <v>43</v>
      </c>
      <c r="H618" s="2">
        <v>44790</v>
      </c>
      <c r="I618" t="s">
        <v>38</v>
      </c>
      <c r="J618" t="s">
        <v>39</v>
      </c>
      <c r="L618" t="s">
        <v>40</v>
      </c>
      <c r="M618" t="s">
        <v>22</v>
      </c>
    </row>
    <row r="619" spans="1:13" x14ac:dyDescent="0.3">
      <c r="A619" t="str">
        <f>HYPERLINK("https://hsdes.intel.com/resource/14013161997","14013161997")</f>
        <v>14013161997</v>
      </c>
      <c r="B619" t="s">
        <v>1423</v>
      </c>
      <c r="C619" t="s">
        <v>12</v>
      </c>
      <c r="D619" t="s">
        <v>1424</v>
      </c>
      <c r="E619" t="s">
        <v>14</v>
      </c>
      <c r="G619" t="s">
        <v>43</v>
      </c>
      <c r="H619" s="2">
        <v>44790</v>
      </c>
      <c r="I619" t="s">
        <v>38</v>
      </c>
      <c r="J619" t="s">
        <v>39</v>
      </c>
      <c r="L619" t="s">
        <v>40</v>
      </c>
      <c r="M619" t="s">
        <v>26</v>
      </c>
    </row>
    <row r="620" spans="1:13" x14ac:dyDescent="0.3">
      <c r="A620" t="str">
        <f>HYPERLINK("https://hsdes.intel.com/resource/14013162008","14013162008")</f>
        <v>14013162008</v>
      </c>
      <c r="B620" t="s">
        <v>1425</v>
      </c>
      <c r="C620" t="s">
        <v>12</v>
      </c>
      <c r="D620" t="s">
        <v>1426</v>
      </c>
      <c r="E620" t="s">
        <v>14</v>
      </c>
      <c r="G620" t="s">
        <v>1427</v>
      </c>
      <c r="H620" s="2">
        <v>44791</v>
      </c>
      <c r="I620" t="s">
        <v>38</v>
      </c>
      <c r="J620" t="s">
        <v>39</v>
      </c>
      <c r="L620" t="s">
        <v>40</v>
      </c>
      <c r="M620" t="s">
        <v>26</v>
      </c>
    </row>
    <row r="621" spans="1:13" x14ac:dyDescent="0.3">
      <c r="A621" t="str">
        <f>HYPERLINK("https://hsdes.intel.com/resource/14013162045","14013162045")</f>
        <v>14013162045</v>
      </c>
      <c r="B621" t="s">
        <v>1428</v>
      </c>
      <c r="C621" t="s">
        <v>12</v>
      </c>
      <c r="D621" t="s">
        <v>1429</v>
      </c>
      <c r="E621" t="s">
        <v>14</v>
      </c>
      <c r="G621" t="s">
        <v>1427</v>
      </c>
      <c r="H621" s="2">
        <v>44791</v>
      </c>
      <c r="I621" t="s">
        <v>38</v>
      </c>
      <c r="J621" t="s">
        <v>39</v>
      </c>
      <c r="L621" t="s">
        <v>40</v>
      </c>
      <c r="M621" t="s">
        <v>19</v>
      </c>
    </row>
    <row r="622" spans="1:13" x14ac:dyDescent="0.3">
      <c r="A622" t="str">
        <f>HYPERLINK("https://hsdes.intel.com/resource/14013162048","14013162048")</f>
        <v>14013162048</v>
      </c>
      <c r="B622" t="s">
        <v>1430</v>
      </c>
      <c r="C622" t="s">
        <v>12</v>
      </c>
      <c r="D622" t="s">
        <v>1431</v>
      </c>
      <c r="E622" t="s">
        <v>14</v>
      </c>
      <c r="G622" t="s">
        <v>1427</v>
      </c>
      <c r="H622" s="2">
        <v>44791</v>
      </c>
      <c r="I622" t="s">
        <v>38</v>
      </c>
      <c r="J622" t="s">
        <v>39</v>
      </c>
      <c r="L622" t="s">
        <v>40</v>
      </c>
      <c r="M622" t="s">
        <v>19</v>
      </c>
    </row>
    <row r="623" spans="1:13" x14ac:dyDescent="0.3">
      <c r="A623" t="str">
        <f>HYPERLINK("https://hsdes.intel.com/resource/14013162068","14013162068")</f>
        <v>14013162068</v>
      </c>
      <c r="B623" t="s">
        <v>1432</v>
      </c>
      <c r="C623" t="s">
        <v>12</v>
      </c>
      <c r="D623" t="s">
        <v>1433</v>
      </c>
      <c r="E623" t="s">
        <v>14</v>
      </c>
      <c r="F623" t="s">
        <v>0</v>
      </c>
      <c r="G623" t="s">
        <v>86</v>
      </c>
      <c r="H623" s="2">
        <v>44799</v>
      </c>
      <c r="I623" t="s">
        <v>132</v>
      </c>
      <c r="J623" t="s">
        <v>115</v>
      </c>
      <c r="L623" t="s">
        <v>133</v>
      </c>
      <c r="M623" t="s">
        <v>26</v>
      </c>
    </row>
    <row r="624" spans="1:13" x14ac:dyDescent="0.3">
      <c r="A624" t="str">
        <f>HYPERLINK("https://hsdes.intel.com/resource/14013162071","14013162071")</f>
        <v>14013162071</v>
      </c>
      <c r="B624" t="s">
        <v>1434</v>
      </c>
      <c r="C624" t="s">
        <v>12</v>
      </c>
      <c r="D624" t="s">
        <v>1435</v>
      </c>
      <c r="E624" t="s">
        <v>14</v>
      </c>
      <c r="G624" t="s">
        <v>57</v>
      </c>
      <c r="H624" s="2">
        <v>44786</v>
      </c>
      <c r="I624" t="s">
        <v>38</v>
      </c>
      <c r="J624" t="s">
        <v>77</v>
      </c>
      <c r="L624" t="s">
        <v>78</v>
      </c>
      <c r="M624" t="s">
        <v>26</v>
      </c>
    </row>
    <row r="625" spans="1:13" x14ac:dyDescent="0.3">
      <c r="A625" t="str">
        <f>HYPERLINK("https://hsdes.intel.com/resource/14013162075","14013162075")</f>
        <v>14013162075</v>
      </c>
      <c r="B625" t="s">
        <v>1436</v>
      </c>
      <c r="C625" t="s">
        <v>12</v>
      </c>
      <c r="D625" t="s">
        <v>1437</v>
      </c>
      <c r="E625" t="s">
        <v>14</v>
      </c>
      <c r="F625" t="s">
        <v>1438</v>
      </c>
      <c r="G625" t="s">
        <v>1427</v>
      </c>
      <c r="H625" s="2">
        <v>44792</v>
      </c>
      <c r="I625" t="s">
        <v>38</v>
      </c>
      <c r="J625" t="s">
        <v>77</v>
      </c>
      <c r="L625" t="s">
        <v>78</v>
      </c>
      <c r="M625" t="s">
        <v>26</v>
      </c>
    </row>
    <row r="626" spans="1:13" x14ac:dyDescent="0.3">
      <c r="A626" t="str">
        <f>HYPERLINK("https://hsdes.intel.com/resource/14013162084","14013162084")</f>
        <v>14013162084</v>
      </c>
      <c r="B626" t="s">
        <v>1439</v>
      </c>
      <c r="C626" t="s">
        <v>12</v>
      </c>
      <c r="D626" t="s">
        <v>1440</v>
      </c>
      <c r="E626" t="s">
        <v>14</v>
      </c>
      <c r="F626" t="s">
        <v>1438</v>
      </c>
      <c r="G626" t="s">
        <v>1427</v>
      </c>
      <c r="H626" s="2">
        <v>44792</v>
      </c>
      <c r="I626" t="s">
        <v>38</v>
      </c>
      <c r="J626" t="s">
        <v>77</v>
      </c>
      <c r="L626" t="s">
        <v>78</v>
      </c>
      <c r="M626" t="s">
        <v>26</v>
      </c>
    </row>
    <row r="627" spans="1:13" x14ac:dyDescent="0.3">
      <c r="A627" t="str">
        <f>HYPERLINK("https://hsdes.intel.com/resource/14013162087","14013162087")</f>
        <v>14013162087</v>
      </c>
      <c r="B627" t="s">
        <v>1441</v>
      </c>
      <c r="C627" t="s">
        <v>12</v>
      </c>
      <c r="D627" t="s">
        <v>1442</v>
      </c>
      <c r="E627" t="s">
        <v>14</v>
      </c>
      <c r="F627" t="s">
        <v>1438</v>
      </c>
      <c r="G627" t="s">
        <v>1427</v>
      </c>
      <c r="H627" s="2">
        <v>44792</v>
      </c>
      <c r="I627" t="s">
        <v>38</v>
      </c>
      <c r="J627" t="s">
        <v>77</v>
      </c>
      <c r="L627" t="s">
        <v>78</v>
      </c>
      <c r="M627" t="s">
        <v>26</v>
      </c>
    </row>
    <row r="628" spans="1:13" x14ac:dyDescent="0.3">
      <c r="A628" t="str">
        <f>HYPERLINK("https://hsdes.intel.com/resource/14013162123","14013162123")</f>
        <v>14013162123</v>
      </c>
      <c r="B628" t="s">
        <v>1443</v>
      </c>
      <c r="C628" t="s">
        <v>12</v>
      </c>
      <c r="D628" t="s">
        <v>1444</v>
      </c>
      <c r="E628" t="s">
        <v>14</v>
      </c>
      <c r="G628" t="s">
        <v>31</v>
      </c>
      <c r="H628" s="2">
        <v>44790</v>
      </c>
      <c r="I628" t="s">
        <v>48</v>
      </c>
      <c r="J628" t="s">
        <v>271</v>
      </c>
      <c r="L628" t="s">
        <v>272</v>
      </c>
      <c r="M628" t="s">
        <v>19</v>
      </c>
    </row>
    <row r="629" spans="1:13" x14ac:dyDescent="0.3">
      <c r="A629" t="str">
        <f>HYPERLINK("https://hsdes.intel.com/resource/14013162139","14013162139")</f>
        <v>14013162139</v>
      </c>
      <c r="B629" t="s">
        <v>1445</v>
      </c>
      <c r="C629" t="s">
        <v>12</v>
      </c>
      <c r="D629" t="s">
        <v>1446</v>
      </c>
      <c r="E629" t="s">
        <v>14</v>
      </c>
      <c r="G629" t="s">
        <v>31</v>
      </c>
      <c r="H629" s="2">
        <v>44790</v>
      </c>
      <c r="I629" t="s">
        <v>48</v>
      </c>
      <c r="J629" t="s">
        <v>271</v>
      </c>
      <c r="L629" t="s">
        <v>272</v>
      </c>
      <c r="M629" t="s">
        <v>19</v>
      </c>
    </row>
    <row r="630" spans="1:13" x14ac:dyDescent="0.3">
      <c r="A630" t="str">
        <f>HYPERLINK("https://hsdes.intel.com/resource/14013162142","14013162142")</f>
        <v>14013162142</v>
      </c>
      <c r="B630" t="s">
        <v>1447</v>
      </c>
      <c r="C630" t="s">
        <v>12</v>
      </c>
      <c r="D630" t="s">
        <v>1448</v>
      </c>
      <c r="E630" t="s">
        <v>97</v>
      </c>
      <c r="F630" t="s">
        <v>1449</v>
      </c>
      <c r="G630" t="s">
        <v>31</v>
      </c>
      <c r="H630" s="2">
        <v>44802</v>
      </c>
      <c r="I630" t="s">
        <v>48</v>
      </c>
      <c r="J630" t="s">
        <v>271</v>
      </c>
      <c r="L630" t="s">
        <v>272</v>
      </c>
      <c r="M630" t="s">
        <v>22</v>
      </c>
    </row>
    <row r="631" spans="1:13" x14ac:dyDescent="0.3">
      <c r="A631" t="str">
        <f>HYPERLINK("https://hsdes.intel.com/resource/14013162181","14013162181")</f>
        <v>14013162181</v>
      </c>
      <c r="B631" t="s">
        <v>1450</v>
      </c>
      <c r="C631" t="s">
        <v>12</v>
      </c>
      <c r="D631" t="s">
        <v>1451</v>
      </c>
      <c r="E631" t="s">
        <v>14</v>
      </c>
      <c r="G631" t="s">
        <v>31</v>
      </c>
      <c r="H631" s="2">
        <v>44790</v>
      </c>
      <c r="I631" t="s">
        <v>48</v>
      </c>
      <c r="J631" t="s">
        <v>271</v>
      </c>
      <c r="L631" t="s">
        <v>272</v>
      </c>
      <c r="M631" t="s">
        <v>19</v>
      </c>
    </row>
    <row r="632" spans="1:13" x14ac:dyDescent="0.3">
      <c r="A632" t="str">
        <f>HYPERLINK("https://hsdes.intel.com/resource/14013162184","14013162184")</f>
        <v>14013162184</v>
      </c>
      <c r="B632" t="s">
        <v>1452</v>
      </c>
      <c r="C632" t="s">
        <v>12</v>
      </c>
      <c r="D632" t="s">
        <v>1453</v>
      </c>
      <c r="E632" t="s">
        <v>14</v>
      </c>
      <c r="G632" t="s">
        <v>31</v>
      </c>
      <c r="H632" s="2">
        <v>44790</v>
      </c>
      <c r="I632" t="s">
        <v>48</v>
      </c>
      <c r="J632" t="s">
        <v>271</v>
      </c>
      <c r="L632" t="s">
        <v>272</v>
      </c>
      <c r="M632" t="s">
        <v>19</v>
      </c>
    </row>
    <row r="633" spans="1:13" x14ac:dyDescent="0.3">
      <c r="A633" t="str">
        <f>HYPERLINK("https://hsdes.intel.com/resource/14013162195","14013162195")</f>
        <v>14013162195</v>
      </c>
      <c r="B633" t="s">
        <v>1454</v>
      </c>
      <c r="C633" t="s">
        <v>12</v>
      </c>
      <c r="D633" t="s">
        <v>1455</v>
      </c>
      <c r="E633" t="s">
        <v>14</v>
      </c>
      <c r="G633" t="s">
        <v>31</v>
      </c>
      <c r="H633" s="2">
        <v>44790</v>
      </c>
      <c r="I633" t="s">
        <v>48</v>
      </c>
      <c r="J633" t="s">
        <v>271</v>
      </c>
      <c r="L633" t="s">
        <v>272</v>
      </c>
      <c r="M633" t="s">
        <v>19</v>
      </c>
    </row>
    <row r="634" spans="1:13" x14ac:dyDescent="0.3">
      <c r="A634" t="str">
        <f>HYPERLINK("https://hsdes.intel.com/resource/14013162197","14013162197")</f>
        <v>14013162197</v>
      </c>
      <c r="B634" t="s">
        <v>1456</v>
      </c>
      <c r="C634" t="s">
        <v>12</v>
      </c>
      <c r="D634" t="s">
        <v>1457</v>
      </c>
      <c r="E634" t="s">
        <v>14</v>
      </c>
      <c r="G634" t="s">
        <v>31</v>
      </c>
      <c r="H634" s="2">
        <v>44790</v>
      </c>
      <c r="I634" t="s">
        <v>48</v>
      </c>
      <c r="J634" t="s">
        <v>271</v>
      </c>
      <c r="L634" t="s">
        <v>272</v>
      </c>
      <c r="M634" t="s">
        <v>19</v>
      </c>
    </row>
    <row r="635" spans="1:13" x14ac:dyDescent="0.3">
      <c r="A635" t="str">
        <f>HYPERLINK("https://hsdes.intel.com/resource/14013162199","14013162199")</f>
        <v>14013162199</v>
      </c>
      <c r="B635" t="s">
        <v>1458</v>
      </c>
      <c r="C635" t="s">
        <v>12</v>
      </c>
      <c r="D635" t="s">
        <v>1459</v>
      </c>
      <c r="E635" t="s">
        <v>14</v>
      </c>
      <c r="G635" t="s">
        <v>31</v>
      </c>
      <c r="H635" s="2">
        <v>44790</v>
      </c>
      <c r="I635" t="s">
        <v>48</v>
      </c>
      <c r="J635" t="s">
        <v>271</v>
      </c>
      <c r="L635" t="s">
        <v>272</v>
      </c>
      <c r="M635" t="s">
        <v>19</v>
      </c>
    </row>
    <row r="636" spans="1:13" x14ac:dyDescent="0.3">
      <c r="A636" t="str">
        <f>HYPERLINK("https://hsdes.intel.com/resource/14013162203","14013162203")</f>
        <v>14013162203</v>
      </c>
      <c r="B636" t="s">
        <v>1460</v>
      </c>
      <c r="C636" t="s">
        <v>12</v>
      </c>
      <c r="D636" t="s">
        <v>1461</v>
      </c>
      <c r="E636" t="s">
        <v>14</v>
      </c>
      <c r="G636" t="s">
        <v>31</v>
      </c>
      <c r="H636" s="2">
        <v>44790</v>
      </c>
      <c r="I636" t="s">
        <v>48</v>
      </c>
      <c r="J636" t="s">
        <v>271</v>
      </c>
      <c r="L636" t="s">
        <v>272</v>
      </c>
      <c r="M636" t="s">
        <v>19</v>
      </c>
    </row>
    <row r="637" spans="1:13" x14ac:dyDescent="0.3">
      <c r="A637" t="str">
        <f>HYPERLINK("https://hsdes.intel.com/resource/14013162215","14013162215")</f>
        <v>14013162215</v>
      </c>
      <c r="B637" t="s">
        <v>1462</v>
      </c>
      <c r="C637" t="s">
        <v>12</v>
      </c>
      <c r="D637" t="s">
        <v>1463</v>
      </c>
      <c r="E637" t="s">
        <v>14</v>
      </c>
      <c r="G637" t="s">
        <v>31</v>
      </c>
      <c r="H637" s="2">
        <v>44790</v>
      </c>
      <c r="I637" t="s">
        <v>48</v>
      </c>
      <c r="J637" t="s">
        <v>271</v>
      </c>
      <c r="L637" t="s">
        <v>272</v>
      </c>
      <c r="M637" t="s">
        <v>19</v>
      </c>
    </row>
    <row r="638" spans="1:13" x14ac:dyDescent="0.3">
      <c r="A638" t="str">
        <f>HYPERLINK("https://hsdes.intel.com/resource/14013162222","14013162222")</f>
        <v>14013162222</v>
      </c>
      <c r="B638" t="s">
        <v>1464</v>
      </c>
      <c r="C638" t="s">
        <v>12</v>
      </c>
      <c r="D638" t="s">
        <v>1465</v>
      </c>
      <c r="E638" t="s">
        <v>97</v>
      </c>
      <c r="F638" t="s">
        <v>1466</v>
      </c>
      <c r="G638" t="s">
        <v>31</v>
      </c>
      <c r="H638" s="2">
        <v>44802</v>
      </c>
      <c r="I638" t="s">
        <v>48</v>
      </c>
      <c r="J638" t="s">
        <v>271</v>
      </c>
      <c r="L638" t="s">
        <v>272</v>
      </c>
      <c r="M638" t="s">
        <v>19</v>
      </c>
    </row>
    <row r="639" spans="1:13" x14ac:dyDescent="0.3">
      <c r="A639" t="str">
        <f>HYPERLINK("https://hsdes.intel.com/resource/14013162369","14013162369")</f>
        <v>14013162369</v>
      </c>
      <c r="B639" t="s">
        <v>1467</v>
      </c>
      <c r="C639" t="s">
        <v>12</v>
      </c>
      <c r="D639" t="s">
        <v>1468</v>
      </c>
      <c r="E639" t="s">
        <v>14</v>
      </c>
      <c r="G639" t="s">
        <v>57</v>
      </c>
      <c r="H639" s="2">
        <v>44798</v>
      </c>
      <c r="I639" t="s">
        <v>132</v>
      </c>
      <c r="J639" t="s">
        <v>115</v>
      </c>
      <c r="L639" t="s">
        <v>133</v>
      </c>
      <c r="M639" t="s">
        <v>26</v>
      </c>
    </row>
    <row r="640" spans="1:13" x14ac:dyDescent="0.3">
      <c r="A640" t="str">
        <f>HYPERLINK("https://hsdes.intel.com/resource/14013162374","14013162374")</f>
        <v>14013162374</v>
      </c>
      <c r="B640" t="s">
        <v>1469</v>
      </c>
      <c r="C640" t="s">
        <v>12</v>
      </c>
      <c r="D640" t="s">
        <v>1470</v>
      </c>
      <c r="E640" t="s">
        <v>14</v>
      </c>
      <c r="F640" t="s">
        <v>1471</v>
      </c>
      <c r="G640" t="s">
        <v>57</v>
      </c>
      <c r="H640" s="2">
        <v>44786</v>
      </c>
      <c r="I640" t="s">
        <v>132</v>
      </c>
      <c r="J640" t="s">
        <v>614</v>
      </c>
      <c r="L640" t="s">
        <v>615</v>
      </c>
      <c r="M640" t="s">
        <v>26</v>
      </c>
    </row>
    <row r="641" spans="1:13" x14ac:dyDescent="0.3">
      <c r="A641" t="str">
        <f>HYPERLINK("https://hsdes.intel.com/resource/14013162379","14013162379")</f>
        <v>14013162379</v>
      </c>
      <c r="B641" t="s">
        <v>1472</v>
      </c>
      <c r="C641" t="s">
        <v>12</v>
      </c>
      <c r="D641" t="s">
        <v>1473</v>
      </c>
      <c r="E641" t="s">
        <v>14</v>
      </c>
      <c r="F641" t="s">
        <v>1471</v>
      </c>
      <c r="G641" t="s">
        <v>57</v>
      </c>
      <c r="H641" s="2">
        <v>44786</v>
      </c>
      <c r="I641" t="s">
        <v>132</v>
      </c>
      <c r="J641" t="s">
        <v>614</v>
      </c>
      <c r="L641" t="s">
        <v>615</v>
      </c>
      <c r="M641" t="s">
        <v>26</v>
      </c>
    </row>
    <row r="642" spans="1:13" x14ac:dyDescent="0.3">
      <c r="A642" t="str">
        <f>HYPERLINK("https://hsdes.intel.com/resource/14013162402","14013162402")</f>
        <v>14013162402</v>
      </c>
      <c r="B642" t="s">
        <v>1474</v>
      </c>
      <c r="C642" t="s">
        <v>12</v>
      </c>
      <c r="D642" t="s">
        <v>1475</v>
      </c>
      <c r="E642" t="s">
        <v>612</v>
      </c>
      <c r="F642" t="s">
        <v>613</v>
      </c>
      <c r="G642" t="s">
        <v>69</v>
      </c>
      <c r="H642" s="2">
        <v>44785</v>
      </c>
      <c r="I642" t="s">
        <v>132</v>
      </c>
      <c r="J642" t="s">
        <v>614</v>
      </c>
      <c r="L642" t="s">
        <v>615</v>
      </c>
      <c r="M642" t="s">
        <v>26</v>
      </c>
    </row>
    <row r="643" spans="1:13" x14ac:dyDescent="0.3">
      <c r="A643" t="str">
        <f>HYPERLINK("https://hsdes.intel.com/resource/14013162522","14013162522")</f>
        <v>14013162522</v>
      </c>
      <c r="B643" t="s">
        <v>1476</v>
      </c>
      <c r="C643" t="s">
        <v>12</v>
      </c>
      <c r="D643" t="s">
        <v>1477</v>
      </c>
      <c r="E643" t="s">
        <v>1385</v>
      </c>
      <c r="G643" t="s">
        <v>811</v>
      </c>
      <c r="I643" t="s">
        <v>38</v>
      </c>
      <c r="J643" t="s">
        <v>77</v>
      </c>
      <c r="L643" t="s">
        <v>78</v>
      </c>
      <c r="M643" t="s">
        <v>26</v>
      </c>
    </row>
    <row r="644" spans="1:13" x14ac:dyDescent="0.3">
      <c r="A644" t="str">
        <f>HYPERLINK("https://hsdes.intel.com/resource/14013162568","14013162568")</f>
        <v>14013162568</v>
      </c>
      <c r="B644" t="s">
        <v>1478</v>
      </c>
      <c r="C644" t="s">
        <v>12</v>
      </c>
      <c r="D644" t="s">
        <v>1479</v>
      </c>
      <c r="E644" t="s">
        <v>14</v>
      </c>
      <c r="G644" t="s">
        <v>43</v>
      </c>
      <c r="H644" s="2">
        <v>44785</v>
      </c>
      <c r="I644" t="s">
        <v>16</v>
      </c>
      <c r="J644" t="s">
        <v>39</v>
      </c>
      <c r="L644" t="s">
        <v>40</v>
      </c>
      <c r="M644" t="s">
        <v>26</v>
      </c>
    </row>
    <row r="645" spans="1:13" x14ac:dyDescent="0.3">
      <c r="A645" t="str">
        <f>HYPERLINK("https://hsdes.intel.com/resource/14013162580","14013162580")</f>
        <v>14013162580</v>
      </c>
      <c r="B645" t="s">
        <v>1480</v>
      </c>
      <c r="C645" t="s">
        <v>12</v>
      </c>
      <c r="D645" t="s">
        <v>1481</v>
      </c>
      <c r="E645" t="s">
        <v>14</v>
      </c>
      <c r="G645" t="s">
        <v>1427</v>
      </c>
      <c r="H645" s="2">
        <v>44791</v>
      </c>
      <c r="I645" t="s">
        <v>38</v>
      </c>
      <c r="J645" t="s">
        <v>77</v>
      </c>
      <c r="L645" t="s">
        <v>78</v>
      </c>
      <c r="M645" t="s">
        <v>26</v>
      </c>
    </row>
    <row r="646" spans="1:13" x14ac:dyDescent="0.3">
      <c r="A646" t="str">
        <f>HYPERLINK("https://hsdes.intel.com/resource/14013162583","14013162583")</f>
        <v>14013162583</v>
      </c>
      <c r="B646" t="s">
        <v>1482</v>
      </c>
      <c r="C646" t="s">
        <v>12</v>
      </c>
      <c r="D646" t="s">
        <v>1483</v>
      </c>
      <c r="E646" t="s">
        <v>14</v>
      </c>
      <c r="G646" t="s">
        <v>37</v>
      </c>
      <c r="I646" t="s">
        <v>32</v>
      </c>
      <c r="J646" t="s">
        <v>82</v>
      </c>
      <c r="L646" t="s">
        <v>34</v>
      </c>
      <c r="M646" t="s">
        <v>22</v>
      </c>
    </row>
    <row r="647" spans="1:13" x14ac:dyDescent="0.3">
      <c r="A647" t="str">
        <f>HYPERLINK("https://hsdes.intel.com/resource/14013162766","14013162766")</f>
        <v>14013162766</v>
      </c>
      <c r="B647" t="s">
        <v>1484</v>
      </c>
      <c r="C647" t="s">
        <v>12</v>
      </c>
      <c r="D647" t="s">
        <v>1485</v>
      </c>
      <c r="E647" t="s">
        <v>1385</v>
      </c>
      <c r="G647" t="s">
        <v>811</v>
      </c>
      <c r="I647" t="s">
        <v>38</v>
      </c>
      <c r="J647" t="s">
        <v>77</v>
      </c>
      <c r="L647" t="s">
        <v>78</v>
      </c>
      <c r="M647" t="s">
        <v>26</v>
      </c>
    </row>
    <row r="648" spans="1:13" x14ac:dyDescent="0.3">
      <c r="A648" t="str">
        <f>HYPERLINK("https://hsdes.intel.com/resource/14013162768","14013162768")</f>
        <v>14013162768</v>
      </c>
      <c r="B648" t="s">
        <v>1486</v>
      </c>
      <c r="C648" t="s">
        <v>12</v>
      </c>
      <c r="D648" t="s">
        <v>1487</v>
      </c>
      <c r="E648" t="s">
        <v>1385</v>
      </c>
      <c r="G648" t="s">
        <v>811</v>
      </c>
      <c r="I648" t="s">
        <v>38</v>
      </c>
      <c r="J648" t="s">
        <v>77</v>
      </c>
      <c r="L648" t="s">
        <v>78</v>
      </c>
      <c r="M648" t="s">
        <v>26</v>
      </c>
    </row>
    <row r="649" spans="1:13" x14ac:dyDescent="0.3">
      <c r="A649" t="str">
        <f>HYPERLINK("https://hsdes.intel.com/resource/14013162773","14013162773")</f>
        <v>14013162773</v>
      </c>
      <c r="B649" t="s">
        <v>1488</v>
      </c>
      <c r="C649" t="s">
        <v>12</v>
      </c>
      <c r="D649" t="s">
        <v>1489</v>
      </c>
      <c r="E649" t="s">
        <v>1385</v>
      </c>
      <c r="G649" t="s">
        <v>811</v>
      </c>
      <c r="I649" t="s">
        <v>38</v>
      </c>
      <c r="J649" t="s">
        <v>77</v>
      </c>
      <c r="L649" t="s">
        <v>78</v>
      </c>
      <c r="M649" t="s">
        <v>26</v>
      </c>
    </row>
    <row r="650" spans="1:13" x14ac:dyDescent="0.3">
      <c r="A650" t="str">
        <f>HYPERLINK("https://hsdes.intel.com/resource/14013162777","14013162777")</f>
        <v>14013162777</v>
      </c>
      <c r="B650" t="s">
        <v>1490</v>
      </c>
      <c r="C650" t="s">
        <v>12</v>
      </c>
      <c r="D650" t="s">
        <v>1491</v>
      </c>
      <c r="E650" t="s">
        <v>14</v>
      </c>
      <c r="G650" t="s">
        <v>63</v>
      </c>
      <c r="H650" s="2">
        <v>44792</v>
      </c>
      <c r="I650" t="s">
        <v>38</v>
      </c>
      <c r="J650" t="s">
        <v>77</v>
      </c>
      <c r="L650" t="s">
        <v>78</v>
      </c>
      <c r="M650" t="s">
        <v>26</v>
      </c>
    </row>
    <row r="651" spans="1:13" x14ac:dyDescent="0.3">
      <c r="A651" t="str">
        <f>HYPERLINK("https://hsdes.intel.com/resource/14013162780","14013162780")</f>
        <v>14013162780</v>
      </c>
      <c r="B651" t="s">
        <v>1492</v>
      </c>
      <c r="C651" t="s">
        <v>12</v>
      </c>
      <c r="D651" t="s">
        <v>1493</v>
      </c>
      <c r="E651" t="s">
        <v>1385</v>
      </c>
      <c r="G651" t="s">
        <v>811</v>
      </c>
      <c r="I651" t="s">
        <v>38</v>
      </c>
      <c r="J651" t="s">
        <v>77</v>
      </c>
      <c r="L651" t="s">
        <v>78</v>
      </c>
      <c r="M651" t="s">
        <v>26</v>
      </c>
    </row>
    <row r="652" spans="1:13" x14ac:dyDescent="0.3">
      <c r="A652" t="str">
        <f>HYPERLINK("https://hsdes.intel.com/resource/14013162786","14013162786")</f>
        <v>14013162786</v>
      </c>
      <c r="B652" t="s">
        <v>1494</v>
      </c>
      <c r="C652" t="s">
        <v>12</v>
      </c>
      <c r="D652" t="s">
        <v>1495</v>
      </c>
      <c r="E652" t="s">
        <v>14</v>
      </c>
      <c r="G652" t="s">
        <v>63</v>
      </c>
      <c r="H652" s="2">
        <v>44792</v>
      </c>
      <c r="I652" t="s">
        <v>38</v>
      </c>
      <c r="J652" t="s">
        <v>77</v>
      </c>
      <c r="L652" t="s">
        <v>78</v>
      </c>
      <c r="M652" t="s">
        <v>26</v>
      </c>
    </row>
    <row r="653" spans="1:13" x14ac:dyDescent="0.3">
      <c r="A653" t="str">
        <f>HYPERLINK("https://hsdes.intel.com/resource/14013162791","14013162791")</f>
        <v>14013162791</v>
      </c>
      <c r="B653" t="s">
        <v>1496</v>
      </c>
      <c r="C653" t="s">
        <v>12</v>
      </c>
      <c r="D653" t="s">
        <v>1497</v>
      </c>
      <c r="E653" t="s">
        <v>14</v>
      </c>
      <c r="G653" t="s">
        <v>111</v>
      </c>
      <c r="H653" s="2">
        <v>44783</v>
      </c>
      <c r="I653" t="s">
        <v>38</v>
      </c>
      <c r="J653" t="s">
        <v>77</v>
      </c>
      <c r="L653" t="s">
        <v>78</v>
      </c>
      <c r="M653" t="s">
        <v>26</v>
      </c>
    </row>
    <row r="654" spans="1:13" x14ac:dyDescent="0.3">
      <c r="A654" t="str">
        <f>HYPERLINK("https://hsdes.intel.com/resource/14013162806","14013162806")</f>
        <v>14013162806</v>
      </c>
      <c r="B654" t="s">
        <v>1498</v>
      </c>
      <c r="C654" t="s">
        <v>12</v>
      </c>
      <c r="D654" t="s">
        <v>1499</v>
      </c>
      <c r="E654" t="s">
        <v>1385</v>
      </c>
      <c r="G654" t="s">
        <v>63</v>
      </c>
      <c r="H654" s="2">
        <v>44792</v>
      </c>
      <c r="I654" t="s">
        <v>38</v>
      </c>
      <c r="J654" t="s">
        <v>77</v>
      </c>
      <c r="L654" t="s">
        <v>78</v>
      </c>
      <c r="M654" t="s">
        <v>26</v>
      </c>
    </row>
    <row r="655" spans="1:13" x14ac:dyDescent="0.3">
      <c r="A655" t="str">
        <f>HYPERLINK("https://hsdes.intel.com/resource/14013162831","14013162831")</f>
        <v>14013162831</v>
      </c>
      <c r="B655" t="s">
        <v>1500</v>
      </c>
      <c r="C655" t="s">
        <v>12</v>
      </c>
      <c r="D655" t="s">
        <v>1501</v>
      </c>
      <c r="E655" t="s">
        <v>14</v>
      </c>
      <c r="G655" t="s">
        <v>31</v>
      </c>
      <c r="H655" s="2">
        <v>44795</v>
      </c>
      <c r="I655" t="s">
        <v>16</v>
      </c>
      <c r="J655" t="s">
        <v>17</v>
      </c>
      <c r="L655" t="s">
        <v>18</v>
      </c>
      <c r="M655" t="s">
        <v>19</v>
      </c>
    </row>
    <row r="656" spans="1:13" x14ac:dyDescent="0.3">
      <c r="A656" t="str">
        <f>HYPERLINK("https://hsdes.intel.com/resource/14013162835","14013162835")</f>
        <v>14013162835</v>
      </c>
      <c r="B656" t="s">
        <v>1502</v>
      </c>
      <c r="C656" t="s">
        <v>12</v>
      </c>
      <c r="D656" t="s">
        <v>1503</v>
      </c>
      <c r="E656" t="s">
        <v>14</v>
      </c>
      <c r="G656" t="s">
        <v>31</v>
      </c>
      <c r="H656" s="2">
        <v>44795</v>
      </c>
      <c r="I656" t="s">
        <v>16</v>
      </c>
      <c r="J656" t="s">
        <v>17</v>
      </c>
      <c r="L656" t="s">
        <v>18</v>
      </c>
      <c r="M656" t="s">
        <v>22</v>
      </c>
    </row>
    <row r="657" spans="1:13" x14ac:dyDescent="0.3">
      <c r="A657" t="str">
        <f>HYPERLINK("https://hsdes.intel.com/resource/14013162840","14013162840")</f>
        <v>14013162840</v>
      </c>
      <c r="B657" t="s">
        <v>1504</v>
      </c>
      <c r="C657" t="s">
        <v>12</v>
      </c>
      <c r="D657" t="s">
        <v>1505</v>
      </c>
      <c r="E657" t="s">
        <v>14</v>
      </c>
      <c r="G657" t="s">
        <v>1506</v>
      </c>
      <c r="H657" s="2">
        <v>44795</v>
      </c>
      <c r="I657" t="s">
        <v>16</v>
      </c>
      <c r="J657" t="s">
        <v>17</v>
      </c>
      <c r="L657" t="s">
        <v>18</v>
      </c>
      <c r="M657" t="s">
        <v>22</v>
      </c>
    </row>
    <row r="658" spans="1:13" x14ac:dyDescent="0.3">
      <c r="A658" t="str">
        <f>HYPERLINK("https://hsdes.intel.com/resource/14013162849","14013162849")</f>
        <v>14013162849</v>
      </c>
      <c r="B658" t="s">
        <v>1507</v>
      </c>
      <c r="C658" t="s">
        <v>12</v>
      </c>
      <c r="D658" t="s">
        <v>1508</v>
      </c>
      <c r="E658" t="s">
        <v>14</v>
      </c>
      <c r="G658" t="s">
        <v>31</v>
      </c>
      <c r="H658" s="2">
        <v>44795</v>
      </c>
      <c r="I658" t="s">
        <v>16</v>
      </c>
      <c r="J658" t="s">
        <v>17</v>
      </c>
      <c r="L658" t="s">
        <v>18</v>
      </c>
      <c r="M658" t="s">
        <v>19</v>
      </c>
    </row>
    <row r="659" spans="1:13" x14ac:dyDescent="0.3">
      <c r="A659" t="str">
        <f>HYPERLINK("https://hsdes.intel.com/resource/14013162864","14013162864")</f>
        <v>14013162864</v>
      </c>
      <c r="B659" t="s">
        <v>1509</v>
      </c>
      <c r="C659" t="s">
        <v>12</v>
      </c>
      <c r="D659" t="s">
        <v>1510</v>
      </c>
      <c r="E659" t="s">
        <v>14</v>
      </c>
      <c r="F659" t="s">
        <v>1511</v>
      </c>
      <c r="G659" t="s">
        <v>111</v>
      </c>
      <c r="H659" s="2">
        <v>44802</v>
      </c>
      <c r="I659" t="s">
        <v>32</v>
      </c>
      <c r="J659" t="s">
        <v>82</v>
      </c>
      <c r="L659" t="s">
        <v>125</v>
      </c>
      <c r="M659" t="s">
        <v>26</v>
      </c>
    </row>
    <row r="660" spans="1:13" x14ac:dyDescent="0.3">
      <c r="A660" t="str">
        <f>HYPERLINK("https://hsdes.intel.com/resource/14013162900","14013162900")</f>
        <v>14013162900</v>
      </c>
      <c r="B660" t="s">
        <v>1512</v>
      </c>
      <c r="C660" t="s">
        <v>12</v>
      </c>
      <c r="D660" t="s">
        <v>1513</v>
      </c>
      <c r="E660" t="s">
        <v>14</v>
      </c>
      <c r="G660" t="s">
        <v>43</v>
      </c>
      <c r="H660" s="2">
        <v>44789</v>
      </c>
      <c r="I660" t="s">
        <v>16</v>
      </c>
      <c r="J660" t="s">
        <v>17</v>
      </c>
      <c r="L660" t="s">
        <v>18</v>
      </c>
      <c r="M660" t="s">
        <v>19</v>
      </c>
    </row>
    <row r="661" spans="1:13" x14ac:dyDescent="0.3">
      <c r="A661" t="str">
        <f>HYPERLINK("https://hsdes.intel.com/resource/14013162903","14013162903")</f>
        <v>14013162903</v>
      </c>
      <c r="B661" t="s">
        <v>1514</v>
      </c>
      <c r="C661" t="s">
        <v>12</v>
      </c>
      <c r="D661" t="s">
        <v>1515</v>
      </c>
      <c r="E661" t="s">
        <v>14</v>
      </c>
      <c r="G661" t="s">
        <v>43</v>
      </c>
      <c r="H661" s="2">
        <v>44789</v>
      </c>
      <c r="I661" t="s">
        <v>16</v>
      </c>
      <c r="J661" t="s">
        <v>17</v>
      </c>
      <c r="L661" t="s">
        <v>18</v>
      </c>
      <c r="M661" t="s">
        <v>19</v>
      </c>
    </row>
    <row r="662" spans="1:13" x14ac:dyDescent="0.3">
      <c r="A662" t="str">
        <f>HYPERLINK("https://hsdes.intel.com/resource/14013162907","14013162907")</f>
        <v>14013162907</v>
      </c>
      <c r="B662" t="s">
        <v>1516</v>
      </c>
      <c r="C662" t="s">
        <v>12</v>
      </c>
      <c r="D662" t="s">
        <v>1517</v>
      </c>
      <c r="E662" t="s">
        <v>14</v>
      </c>
      <c r="G662" t="s">
        <v>43</v>
      </c>
      <c r="H662" s="2">
        <v>44789</v>
      </c>
      <c r="I662" t="s">
        <v>16</v>
      </c>
      <c r="J662" t="s">
        <v>17</v>
      </c>
      <c r="L662" t="s">
        <v>18</v>
      </c>
      <c r="M662" t="s">
        <v>19</v>
      </c>
    </row>
    <row r="663" spans="1:13" x14ac:dyDescent="0.3">
      <c r="A663" t="str">
        <f>HYPERLINK("https://hsdes.intel.com/resource/14013162911","14013162911")</f>
        <v>14013162911</v>
      </c>
      <c r="B663" t="s">
        <v>1518</v>
      </c>
      <c r="C663" t="s">
        <v>12</v>
      </c>
      <c r="D663" t="s">
        <v>1519</v>
      </c>
      <c r="E663" t="s">
        <v>14</v>
      </c>
      <c r="G663" t="s">
        <v>43</v>
      </c>
      <c r="H663" s="2">
        <v>44790</v>
      </c>
      <c r="I663" t="s">
        <v>16</v>
      </c>
      <c r="J663" t="s">
        <v>17</v>
      </c>
      <c r="L663" t="s">
        <v>18</v>
      </c>
      <c r="M663" t="s">
        <v>19</v>
      </c>
    </row>
    <row r="664" spans="1:13" x14ac:dyDescent="0.3">
      <c r="A664" t="str">
        <f>HYPERLINK("https://hsdes.intel.com/resource/14013162916","14013162916")</f>
        <v>14013162916</v>
      </c>
      <c r="B664" t="s">
        <v>1520</v>
      </c>
      <c r="C664" t="s">
        <v>12</v>
      </c>
      <c r="D664" t="s">
        <v>1521</v>
      </c>
      <c r="E664" t="s">
        <v>14</v>
      </c>
      <c r="G664" t="s">
        <v>43</v>
      </c>
      <c r="H664" s="2">
        <v>44790</v>
      </c>
      <c r="I664" t="s">
        <v>16</v>
      </c>
      <c r="J664" t="s">
        <v>17</v>
      </c>
      <c r="L664" t="s">
        <v>18</v>
      </c>
      <c r="M664" t="s">
        <v>19</v>
      </c>
    </row>
    <row r="665" spans="1:13" x14ac:dyDescent="0.3">
      <c r="A665" t="str">
        <f>HYPERLINK("https://hsdes.intel.com/resource/14013162920","14013162920")</f>
        <v>14013162920</v>
      </c>
      <c r="B665" t="s">
        <v>1522</v>
      </c>
      <c r="C665" t="s">
        <v>12</v>
      </c>
      <c r="D665" t="s">
        <v>1523</v>
      </c>
      <c r="E665" t="s">
        <v>14</v>
      </c>
      <c r="G665" t="s">
        <v>43</v>
      </c>
      <c r="H665" s="2">
        <v>44790</v>
      </c>
      <c r="I665" t="s">
        <v>16</v>
      </c>
      <c r="J665" t="s">
        <v>17</v>
      </c>
      <c r="L665" t="s">
        <v>18</v>
      </c>
      <c r="M665" t="s">
        <v>19</v>
      </c>
    </row>
    <row r="666" spans="1:13" x14ac:dyDescent="0.3">
      <c r="A666" t="str">
        <f>HYPERLINK("https://hsdes.intel.com/resource/14013162925","14013162925")</f>
        <v>14013162925</v>
      </c>
      <c r="B666" t="s">
        <v>1524</v>
      </c>
      <c r="C666" t="s">
        <v>12</v>
      </c>
      <c r="D666" t="s">
        <v>1525</v>
      </c>
      <c r="E666" t="s">
        <v>14</v>
      </c>
      <c r="G666" t="s">
        <v>43</v>
      </c>
      <c r="H666" s="2">
        <v>44789</v>
      </c>
      <c r="I666" t="s">
        <v>16</v>
      </c>
      <c r="J666" t="s">
        <v>17</v>
      </c>
      <c r="L666" t="s">
        <v>18</v>
      </c>
      <c r="M666" t="s">
        <v>19</v>
      </c>
    </row>
    <row r="667" spans="1:13" x14ac:dyDescent="0.3">
      <c r="A667" t="str">
        <f>HYPERLINK("https://hsdes.intel.com/resource/14013162937","14013162937")</f>
        <v>14013162937</v>
      </c>
      <c r="B667" t="s">
        <v>1526</v>
      </c>
      <c r="C667" t="s">
        <v>12</v>
      </c>
      <c r="D667" t="s">
        <v>1527</v>
      </c>
      <c r="E667" t="s">
        <v>14</v>
      </c>
      <c r="G667" t="s">
        <v>43</v>
      </c>
      <c r="H667" s="2">
        <v>44789</v>
      </c>
      <c r="I667" t="s">
        <v>16</v>
      </c>
      <c r="J667" t="s">
        <v>17</v>
      </c>
      <c r="L667" t="s">
        <v>18</v>
      </c>
      <c r="M667" t="s">
        <v>19</v>
      </c>
    </row>
    <row r="668" spans="1:13" x14ac:dyDescent="0.3">
      <c r="A668" t="str">
        <f>HYPERLINK("https://hsdes.intel.com/resource/14013162948","14013162948")</f>
        <v>14013162948</v>
      </c>
      <c r="B668" t="s">
        <v>1528</v>
      </c>
      <c r="C668" t="s">
        <v>12</v>
      </c>
      <c r="D668" t="s">
        <v>1529</v>
      </c>
      <c r="E668" t="s">
        <v>14</v>
      </c>
      <c r="G668" t="s">
        <v>43</v>
      </c>
      <c r="H668" s="2">
        <v>44789</v>
      </c>
      <c r="I668" t="s">
        <v>16</v>
      </c>
      <c r="J668" t="s">
        <v>17</v>
      </c>
      <c r="L668" t="s">
        <v>18</v>
      </c>
      <c r="M668" t="s">
        <v>19</v>
      </c>
    </row>
    <row r="669" spans="1:13" x14ac:dyDescent="0.3">
      <c r="A669" t="str">
        <f>HYPERLINK("https://hsdes.intel.com/resource/14013162960","14013162960")</f>
        <v>14013162960</v>
      </c>
      <c r="B669" t="s">
        <v>1530</v>
      </c>
      <c r="C669" t="s">
        <v>12</v>
      </c>
      <c r="D669" t="s">
        <v>1531</v>
      </c>
      <c r="E669" t="s">
        <v>14</v>
      </c>
      <c r="G669" t="s">
        <v>43</v>
      </c>
      <c r="H669" s="2">
        <v>44790</v>
      </c>
      <c r="I669" t="s">
        <v>16</v>
      </c>
      <c r="J669" t="s">
        <v>17</v>
      </c>
      <c r="L669" t="s">
        <v>18</v>
      </c>
      <c r="M669" t="s">
        <v>19</v>
      </c>
    </row>
    <row r="670" spans="1:13" x14ac:dyDescent="0.3">
      <c r="A670" t="str">
        <f>HYPERLINK("https://hsdes.intel.com/resource/14013162967","14013162967")</f>
        <v>14013162967</v>
      </c>
      <c r="B670" t="s">
        <v>1532</v>
      </c>
      <c r="C670" t="s">
        <v>12</v>
      </c>
      <c r="D670" t="s">
        <v>1533</v>
      </c>
      <c r="E670" t="s">
        <v>14</v>
      </c>
      <c r="G670" t="s">
        <v>43</v>
      </c>
      <c r="H670" s="2">
        <v>44790</v>
      </c>
      <c r="I670" t="s">
        <v>16</v>
      </c>
      <c r="J670" t="s">
        <v>17</v>
      </c>
      <c r="L670" t="s">
        <v>18</v>
      </c>
      <c r="M670" t="s">
        <v>19</v>
      </c>
    </row>
    <row r="671" spans="1:13" x14ac:dyDescent="0.3">
      <c r="A671" t="str">
        <f>HYPERLINK("https://hsdes.intel.com/resource/14013162974","14013162974")</f>
        <v>14013162974</v>
      </c>
      <c r="B671" t="s">
        <v>1534</v>
      </c>
      <c r="C671" t="s">
        <v>12</v>
      </c>
      <c r="D671" t="s">
        <v>1535</v>
      </c>
      <c r="E671" t="s">
        <v>14</v>
      </c>
      <c r="G671" t="s">
        <v>43</v>
      </c>
      <c r="H671" s="2">
        <v>44790</v>
      </c>
      <c r="I671" t="s">
        <v>16</v>
      </c>
      <c r="J671" t="s">
        <v>17</v>
      </c>
      <c r="L671" t="s">
        <v>18</v>
      </c>
      <c r="M671" t="s">
        <v>19</v>
      </c>
    </row>
    <row r="672" spans="1:13" x14ac:dyDescent="0.3">
      <c r="A672" t="str">
        <f>HYPERLINK("https://hsdes.intel.com/resource/14013162987","14013162987")</f>
        <v>14013162987</v>
      </c>
      <c r="B672" t="s">
        <v>1536</v>
      </c>
      <c r="C672" t="s">
        <v>12</v>
      </c>
      <c r="D672" t="s">
        <v>1537</v>
      </c>
      <c r="E672" t="s">
        <v>14</v>
      </c>
      <c r="G672" t="s">
        <v>69</v>
      </c>
      <c r="H672" s="2">
        <v>44785</v>
      </c>
      <c r="I672" t="s">
        <v>64</v>
      </c>
      <c r="J672" t="s">
        <v>65</v>
      </c>
      <c r="L672" t="s">
        <v>66</v>
      </c>
      <c r="M672" t="s">
        <v>26</v>
      </c>
    </row>
    <row r="673" spans="1:13" x14ac:dyDescent="0.3">
      <c r="A673" t="str">
        <f>HYPERLINK("https://hsdes.intel.com/resource/14013163001","14013163001")</f>
        <v>14013163001</v>
      </c>
      <c r="B673" t="s">
        <v>1538</v>
      </c>
      <c r="C673" t="s">
        <v>12</v>
      </c>
      <c r="D673" t="s">
        <v>1539</v>
      </c>
      <c r="E673" t="s">
        <v>14</v>
      </c>
      <c r="G673" t="s">
        <v>72</v>
      </c>
      <c r="H673" s="2">
        <v>44801</v>
      </c>
      <c r="I673" t="s">
        <v>32</v>
      </c>
      <c r="J673" t="s">
        <v>1540</v>
      </c>
      <c r="L673" t="s">
        <v>147</v>
      </c>
      <c r="M673" t="s">
        <v>26</v>
      </c>
    </row>
    <row r="674" spans="1:13" x14ac:dyDescent="0.3">
      <c r="A674" t="str">
        <f>HYPERLINK("https://hsdes.intel.com/resource/14013163003","14013163003")</f>
        <v>14013163003</v>
      </c>
      <c r="B674" t="s">
        <v>1541</v>
      </c>
      <c r="C674" t="s">
        <v>12</v>
      </c>
      <c r="D674" t="s">
        <v>1542</v>
      </c>
      <c r="E674" t="s">
        <v>97</v>
      </c>
      <c r="F674" s="12" t="s">
        <v>1543</v>
      </c>
      <c r="G674" t="s">
        <v>72</v>
      </c>
      <c r="H674" s="2">
        <v>44802</v>
      </c>
      <c r="I674" t="s">
        <v>32</v>
      </c>
      <c r="J674" t="s">
        <v>46</v>
      </c>
      <c r="L674" t="s">
        <v>177</v>
      </c>
      <c r="M674" t="s">
        <v>22</v>
      </c>
    </row>
    <row r="675" spans="1:13" x14ac:dyDescent="0.3">
      <c r="A675" t="str">
        <f>HYPERLINK("https://hsdes.intel.com/resource/14013163089","14013163089")</f>
        <v>14013163089</v>
      </c>
      <c r="B675" t="s">
        <v>1544</v>
      </c>
      <c r="C675" t="s">
        <v>12</v>
      </c>
      <c r="D675" t="s">
        <v>1545</v>
      </c>
      <c r="E675" t="s">
        <v>14</v>
      </c>
      <c r="G675" t="s">
        <v>31</v>
      </c>
      <c r="H675" s="2">
        <v>44802</v>
      </c>
      <c r="I675" t="s">
        <v>32</v>
      </c>
      <c r="J675" t="s">
        <v>33</v>
      </c>
      <c r="L675" t="s">
        <v>125</v>
      </c>
      <c r="M675" t="s">
        <v>26</v>
      </c>
    </row>
    <row r="676" spans="1:13" x14ac:dyDescent="0.3">
      <c r="A676" t="str">
        <f>HYPERLINK("https://hsdes.intel.com/resource/14013163095","14013163095")</f>
        <v>14013163095</v>
      </c>
      <c r="B676" t="s">
        <v>1546</v>
      </c>
      <c r="C676" t="s">
        <v>12</v>
      </c>
      <c r="D676" t="s">
        <v>1547</v>
      </c>
      <c r="E676" t="s">
        <v>97</v>
      </c>
      <c r="F676" t="s">
        <v>1548</v>
      </c>
      <c r="G676" t="s">
        <v>31</v>
      </c>
      <c r="H676" s="2">
        <v>44803</v>
      </c>
      <c r="I676" t="s">
        <v>48</v>
      </c>
      <c r="J676" t="s">
        <v>271</v>
      </c>
      <c r="L676" t="s">
        <v>272</v>
      </c>
      <c r="M676" t="s">
        <v>19</v>
      </c>
    </row>
    <row r="677" spans="1:13" x14ac:dyDescent="0.3">
      <c r="A677" t="str">
        <f>HYPERLINK("https://hsdes.intel.com/resource/14013163114","14013163114")</f>
        <v>14013163114</v>
      </c>
      <c r="B677" t="s">
        <v>1549</v>
      </c>
      <c r="C677" t="s">
        <v>12</v>
      </c>
      <c r="D677" t="s">
        <v>1550</v>
      </c>
      <c r="E677" t="s">
        <v>14</v>
      </c>
      <c r="G677" t="s">
        <v>43</v>
      </c>
      <c r="H677" s="2">
        <v>44790</v>
      </c>
      <c r="I677" t="s">
        <v>16</v>
      </c>
      <c r="J677" t="s">
        <v>17</v>
      </c>
      <c r="L677" t="s">
        <v>18</v>
      </c>
      <c r="M677" t="s">
        <v>19</v>
      </c>
    </row>
    <row r="678" spans="1:13" x14ac:dyDescent="0.3">
      <c r="A678" t="str">
        <f>HYPERLINK("https://hsdes.intel.com/resource/14013163118","14013163118")</f>
        <v>14013163118</v>
      </c>
      <c r="B678" t="s">
        <v>1551</v>
      </c>
      <c r="C678" t="s">
        <v>12</v>
      </c>
      <c r="D678" t="s">
        <v>1552</v>
      </c>
      <c r="E678" t="s">
        <v>97</v>
      </c>
      <c r="F678" t="s">
        <v>1553</v>
      </c>
      <c r="G678" t="s">
        <v>31</v>
      </c>
      <c r="H678" s="2">
        <v>44803</v>
      </c>
      <c r="I678" t="s">
        <v>16</v>
      </c>
      <c r="J678" t="s">
        <v>17</v>
      </c>
      <c r="L678" t="s">
        <v>18</v>
      </c>
      <c r="M678" t="s">
        <v>22</v>
      </c>
    </row>
    <row r="679" spans="1:13" x14ac:dyDescent="0.3">
      <c r="A679" t="str">
        <f>HYPERLINK("https://hsdes.intel.com/resource/14013163171","14013163171")</f>
        <v>14013163171</v>
      </c>
      <c r="B679" t="s">
        <v>1554</v>
      </c>
      <c r="C679" t="s">
        <v>12</v>
      </c>
      <c r="D679" t="s">
        <v>1555</v>
      </c>
      <c r="E679" t="s">
        <v>97</v>
      </c>
      <c r="F679" t="s">
        <v>1556</v>
      </c>
      <c r="G679" t="s">
        <v>43</v>
      </c>
      <c r="H679" s="2">
        <v>44801</v>
      </c>
      <c r="I679" t="s">
        <v>32</v>
      </c>
      <c r="J679" t="s">
        <v>46</v>
      </c>
      <c r="L679" t="s">
        <v>177</v>
      </c>
      <c r="M679" t="s">
        <v>19</v>
      </c>
    </row>
    <row r="680" spans="1:13" x14ac:dyDescent="0.3">
      <c r="A680" t="str">
        <f>HYPERLINK("https://hsdes.intel.com/resource/14013163195","14013163195")</f>
        <v>14013163195</v>
      </c>
      <c r="B680" t="s">
        <v>1557</v>
      </c>
      <c r="C680" t="s">
        <v>12</v>
      </c>
      <c r="D680" t="s">
        <v>1558</v>
      </c>
      <c r="E680" t="s">
        <v>14</v>
      </c>
      <c r="F680" t="s">
        <v>1559</v>
      </c>
      <c r="G680" t="s">
        <v>57</v>
      </c>
      <c r="H680" s="2">
        <v>44792</v>
      </c>
      <c r="I680" t="s">
        <v>16</v>
      </c>
      <c r="J680" t="s">
        <v>17</v>
      </c>
      <c r="L680" t="s">
        <v>18</v>
      </c>
      <c r="M680" t="s">
        <v>19</v>
      </c>
    </row>
    <row r="681" spans="1:13" x14ac:dyDescent="0.3">
      <c r="A681" t="str">
        <f>HYPERLINK("https://hsdes.intel.com/resource/14013163205","14013163205")</f>
        <v>14013163205</v>
      </c>
      <c r="B681" t="s">
        <v>1560</v>
      </c>
      <c r="C681" t="s">
        <v>12</v>
      </c>
      <c r="D681" t="s">
        <v>1561</v>
      </c>
      <c r="E681" t="s">
        <v>14</v>
      </c>
      <c r="F681" t="s">
        <v>1257</v>
      </c>
      <c r="G681" t="s">
        <v>43</v>
      </c>
      <c r="H681" s="2">
        <v>44801</v>
      </c>
      <c r="I681" t="s">
        <v>32</v>
      </c>
      <c r="J681" t="s">
        <v>46</v>
      </c>
      <c r="L681" t="s">
        <v>177</v>
      </c>
      <c r="M681" t="s">
        <v>19</v>
      </c>
    </row>
    <row r="682" spans="1:13" x14ac:dyDescent="0.3">
      <c r="A682" t="str">
        <f>HYPERLINK("https://hsdes.intel.com/resource/14013163208","14013163208")</f>
        <v>14013163208</v>
      </c>
      <c r="B682" t="s">
        <v>1562</v>
      </c>
      <c r="C682" t="s">
        <v>12</v>
      </c>
      <c r="D682" t="s">
        <v>1563</v>
      </c>
      <c r="E682" t="s">
        <v>14</v>
      </c>
      <c r="F682" t="s">
        <v>1564</v>
      </c>
      <c r="G682" t="s">
        <v>111</v>
      </c>
      <c r="H682" s="2">
        <v>44802</v>
      </c>
      <c r="I682" t="s">
        <v>32</v>
      </c>
      <c r="J682" t="s">
        <v>46</v>
      </c>
      <c r="L682" t="s">
        <v>177</v>
      </c>
      <c r="M682" t="s">
        <v>19</v>
      </c>
    </row>
    <row r="683" spans="1:13" x14ac:dyDescent="0.3">
      <c r="A683" t="str">
        <f>HYPERLINK("https://hsdes.intel.com/resource/14013163220","14013163220")</f>
        <v>14013163220</v>
      </c>
      <c r="B683" t="s">
        <v>1565</v>
      </c>
      <c r="C683" t="s">
        <v>12</v>
      </c>
      <c r="D683" t="s">
        <v>1566</v>
      </c>
      <c r="E683" t="s">
        <v>14</v>
      </c>
      <c r="G683" t="s">
        <v>57</v>
      </c>
      <c r="H683" s="2">
        <v>44798</v>
      </c>
      <c r="I683" t="s">
        <v>132</v>
      </c>
      <c r="J683" t="s">
        <v>115</v>
      </c>
      <c r="L683" t="s">
        <v>133</v>
      </c>
      <c r="M683" t="s">
        <v>26</v>
      </c>
    </row>
    <row r="684" spans="1:13" x14ac:dyDescent="0.3">
      <c r="A684" t="str">
        <f>HYPERLINK("https://hsdes.intel.com/resource/14013163239","14013163239")</f>
        <v>14013163239</v>
      </c>
      <c r="B684" t="s">
        <v>1567</v>
      </c>
      <c r="C684" t="s">
        <v>12</v>
      </c>
      <c r="D684" t="s">
        <v>1568</v>
      </c>
      <c r="E684" t="s">
        <v>14</v>
      </c>
      <c r="G684" t="s">
        <v>57</v>
      </c>
      <c r="H684" s="2">
        <v>44792</v>
      </c>
      <c r="I684" t="s">
        <v>16</v>
      </c>
      <c r="J684" t="s">
        <v>17</v>
      </c>
      <c r="L684" t="s">
        <v>18</v>
      </c>
      <c r="M684" t="s">
        <v>26</v>
      </c>
    </row>
    <row r="685" spans="1:13" x14ac:dyDescent="0.3">
      <c r="A685" t="str">
        <f>HYPERLINK("https://hsdes.intel.com/resource/14013163245","14013163245")</f>
        <v>14013163245</v>
      </c>
      <c r="B685" t="s">
        <v>1569</v>
      </c>
      <c r="C685" t="s">
        <v>12</v>
      </c>
      <c r="D685" t="s">
        <v>1570</v>
      </c>
      <c r="E685" t="s">
        <v>14</v>
      </c>
      <c r="G685" t="s">
        <v>1571</v>
      </c>
      <c r="H685" s="2">
        <v>44792</v>
      </c>
      <c r="I685" t="s">
        <v>16</v>
      </c>
      <c r="J685" t="s">
        <v>17</v>
      </c>
      <c r="L685" t="s">
        <v>18</v>
      </c>
      <c r="M685" t="s">
        <v>19</v>
      </c>
    </row>
    <row r="686" spans="1:13" x14ac:dyDescent="0.3">
      <c r="A686" t="str">
        <f>HYPERLINK("https://hsdes.intel.com/resource/14013163258","14013163258")</f>
        <v>14013163258</v>
      </c>
      <c r="B686" t="s">
        <v>1572</v>
      </c>
      <c r="C686" t="s">
        <v>12</v>
      </c>
      <c r="D686" t="s">
        <v>1573</v>
      </c>
      <c r="E686" t="s">
        <v>14</v>
      </c>
      <c r="G686" t="s">
        <v>57</v>
      </c>
      <c r="H686" s="2">
        <v>44792</v>
      </c>
      <c r="I686" t="s">
        <v>16</v>
      </c>
      <c r="J686" t="s">
        <v>17</v>
      </c>
      <c r="L686" t="s">
        <v>18</v>
      </c>
      <c r="M686" t="s">
        <v>22</v>
      </c>
    </row>
    <row r="687" spans="1:13" x14ac:dyDescent="0.3">
      <c r="A687" t="str">
        <f>HYPERLINK("https://hsdes.intel.com/resource/14013163267","14013163267")</f>
        <v>14013163267</v>
      </c>
      <c r="B687" t="s">
        <v>1574</v>
      </c>
      <c r="C687" t="s">
        <v>12</v>
      </c>
      <c r="D687" t="s">
        <v>1575</v>
      </c>
      <c r="E687" t="s">
        <v>14</v>
      </c>
      <c r="G687" t="s">
        <v>57</v>
      </c>
      <c r="H687" s="2">
        <v>44792</v>
      </c>
      <c r="I687" t="s">
        <v>16</v>
      </c>
      <c r="J687" t="s">
        <v>17</v>
      </c>
      <c r="L687" t="s">
        <v>18</v>
      </c>
      <c r="M687" t="s">
        <v>19</v>
      </c>
    </row>
    <row r="688" spans="1:13" x14ac:dyDescent="0.3">
      <c r="A688" t="str">
        <f>HYPERLINK("https://hsdes.intel.com/resource/14013163275","14013163275")</f>
        <v>14013163275</v>
      </c>
      <c r="B688" t="s">
        <v>1576</v>
      </c>
      <c r="C688" t="s">
        <v>12</v>
      </c>
      <c r="D688" t="s">
        <v>1577</v>
      </c>
      <c r="E688" t="s">
        <v>14</v>
      </c>
      <c r="G688" t="s">
        <v>31</v>
      </c>
      <c r="H688" s="2">
        <v>44792</v>
      </c>
      <c r="I688" t="s">
        <v>16</v>
      </c>
      <c r="J688" t="s">
        <v>17</v>
      </c>
      <c r="L688" t="s">
        <v>18</v>
      </c>
      <c r="M688" t="s">
        <v>26</v>
      </c>
    </row>
    <row r="689" spans="1:13" x14ac:dyDescent="0.3">
      <c r="A689" t="str">
        <f>HYPERLINK("https://hsdes.intel.com/resource/14013163296","14013163296")</f>
        <v>14013163296</v>
      </c>
      <c r="B689" t="s">
        <v>1578</v>
      </c>
      <c r="C689" t="s">
        <v>12</v>
      </c>
      <c r="D689" t="s">
        <v>1579</v>
      </c>
      <c r="E689" t="s">
        <v>14</v>
      </c>
      <c r="G689" t="s">
        <v>31</v>
      </c>
      <c r="H689" s="2">
        <v>44797</v>
      </c>
      <c r="I689" t="s">
        <v>16</v>
      </c>
      <c r="J689" t="s">
        <v>77</v>
      </c>
      <c r="L689" t="s">
        <v>18</v>
      </c>
      <c r="M689" t="s">
        <v>22</v>
      </c>
    </row>
    <row r="690" spans="1:13" x14ac:dyDescent="0.3">
      <c r="A690" t="str">
        <f>HYPERLINK("https://hsdes.intel.com/resource/14013163306","14013163306")</f>
        <v>14013163306</v>
      </c>
      <c r="B690" t="s">
        <v>1580</v>
      </c>
      <c r="C690" t="s">
        <v>12</v>
      </c>
      <c r="D690" t="s">
        <v>1581</v>
      </c>
      <c r="E690" t="s">
        <v>97</v>
      </c>
      <c r="F690" s="9" t="s">
        <v>1582</v>
      </c>
      <c r="G690" t="s">
        <v>31</v>
      </c>
      <c r="I690" t="s">
        <v>16</v>
      </c>
      <c r="J690" t="s">
        <v>17</v>
      </c>
      <c r="L690" t="s">
        <v>18</v>
      </c>
      <c r="M690" t="s">
        <v>19</v>
      </c>
    </row>
    <row r="691" spans="1:13" x14ac:dyDescent="0.3">
      <c r="A691" t="str">
        <f>HYPERLINK("https://hsdes.intel.com/resource/14013163319","14013163319")</f>
        <v>14013163319</v>
      </c>
      <c r="B691" t="s">
        <v>1583</v>
      </c>
      <c r="C691" t="s">
        <v>12</v>
      </c>
      <c r="D691" t="s">
        <v>1584</v>
      </c>
      <c r="E691" t="s">
        <v>97</v>
      </c>
      <c r="F691" s="9" t="s">
        <v>1582</v>
      </c>
      <c r="G691" t="s">
        <v>31</v>
      </c>
      <c r="I691" t="s">
        <v>16</v>
      </c>
      <c r="J691" t="s">
        <v>17</v>
      </c>
      <c r="L691" t="s">
        <v>18</v>
      </c>
      <c r="M691" t="s">
        <v>19</v>
      </c>
    </row>
    <row r="692" spans="1:13" x14ac:dyDescent="0.3">
      <c r="A692" t="str">
        <f>HYPERLINK("https://hsdes.intel.com/resource/14013163353","14013163353")</f>
        <v>14013163353</v>
      </c>
      <c r="B692" t="s">
        <v>1585</v>
      </c>
      <c r="C692" t="s">
        <v>12</v>
      </c>
      <c r="D692" t="s">
        <v>1586</v>
      </c>
      <c r="E692" t="s">
        <v>120</v>
      </c>
      <c r="F692" t="s">
        <v>1037</v>
      </c>
      <c r="G692" t="s">
        <v>31</v>
      </c>
      <c r="I692" t="s">
        <v>16</v>
      </c>
      <c r="J692" t="s">
        <v>17</v>
      </c>
      <c r="L692" t="s">
        <v>18</v>
      </c>
      <c r="M692" t="s">
        <v>22</v>
      </c>
    </row>
    <row r="693" spans="1:13" x14ac:dyDescent="0.3">
      <c r="A693" t="str">
        <f>HYPERLINK("https://hsdes.intel.com/resource/14013163363","14013163363")</f>
        <v>14013163363</v>
      </c>
      <c r="B693" t="s">
        <v>1587</v>
      </c>
      <c r="C693" t="s">
        <v>12</v>
      </c>
      <c r="D693" t="s">
        <v>1588</v>
      </c>
      <c r="E693" t="s">
        <v>97</v>
      </c>
      <c r="F693" s="9" t="s">
        <v>1582</v>
      </c>
      <c r="G693" t="s">
        <v>31</v>
      </c>
      <c r="I693" t="s">
        <v>16</v>
      </c>
      <c r="J693" t="s">
        <v>17</v>
      </c>
      <c r="L693" t="s">
        <v>18</v>
      </c>
      <c r="M693" t="s">
        <v>19</v>
      </c>
    </row>
    <row r="694" spans="1:13" x14ac:dyDescent="0.3">
      <c r="A694" t="str">
        <f>HYPERLINK("https://hsdes.intel.com/resource/14013163375","14013163375")</f>
        <v>14013163375</v>
      </c>
      <c r="B694" t="s">
        <v>1589</v>
      </c>
      <c r="C694" t="s">
        <v>12</v>
      </c>
      <c r="D694" t="s">
        <v>1590</v>
      </c>
      <c r="E694" t="s">
        <v>97</v>
      </c>
      <c r="F694" s="9" t="s">
        <v>1582</v>
      </c>
      <c r="G694" t="s">
        <v>31</v>
      </c>
      <c r="I694" t="s">
        <v>16</v>
      </c>
      <c r="J694" t="s">
        <v>17</v>
      </c>
      <c r="L694" t="s">
        <v>18</v>
      </c>
      <c r="M694" t="s">
        <v>19</v>
      </c>
    </row>
    <row r="695" spans="1:13" x14ac:dyDescent="0.3">
      <c r="A695" t="str">
        <f>HYPERLINK("https://hsdes.intel.com/resource/14013163383","14013163383")</f>
        <v>14013163383</v>
      </c>
      <c r="B695" t="s">
        <v>1591</v>
      </c>
      <c r="C695" t="s">
        <v>12</v>
      </c>
      <c r="D695" t="s">
        <v>1592</v>
      </c>
      <c r="E695" t="s">
        <v>120</v>
      </c>
      <c r="F695" t="s">
        <v>1037</v>
      </c>
      <c r="G695" t="s">
        <v>31</v>
      </c>
      <c r="I695" t="s">
        <v>16</v>
      </c>
      <c r="J695" t="s">
        <v>17</v>
      </c>
      <c r="L695" t="s">
        <v>18</v>
      </c>
      <c r="M695" t="s">
        <v>22</v>
      </c>
    </row>
    <row r="696" spans="1:13" x14ac:dyDescent="0.3">
      <c r="A696" t="str">
        <f>HYPERLINK("https://hsdes.intel.com/resource/14013163398","14013163398")</f>
        <v>14013163398</v>
      </c>
      <c r="B696" t="s">
        <v>1593</v>
      </c>
      <c r="C696" t="s">
        <v>12</v>
      </c>
      <c r="D696" t="s">
        <v>1594</v>
      </c>
      <c r="E696" t="s">
        <v>120</v>
      </c>
      <c r="F696" t="s">
        <v>1595</v>
      </c>
      <c r="G696" t="s">
        <v>31</v>
      </c>
      <c r="I696" t="s">
        <v>16</v>
      </c>
      <c r="J696" t="s">
        <v>17</v>
      </c>
      <c r="L696" t="s">
        <v>18</v>
      </c>
      <c r="M696" t="s">
        <v>22</v>
      </c>
    </row>
    <row r="697" spans="1:13" x14ac:dyDescent="0.3">
      <c r="A697" t="str">
        <f>HYPERLINK("https://hsdes.intel.com/resource/14013163408","14013163408")</f>
        <v>14013163408</v>
      </c>
      <c r="B697" t="s">
        <v>1596</v>
      </c>
      <c r="C697" t="s">
        <v>12</v>
      </c>
      <c r="D697" t="s">
        <v>1597</v>
      </c>
      <c r="E697" t="s">
        <v>97</v>
      </c>
      <c r="F697" s="9" t="s">
        <v>1582</v>
      </c>
      <c r="G697" t="s">
        <v>31</v>
      </c>
      <c r="I697" t="s">
        <v>16</v>
      </c>
      <c r="J697" t="s">
        <v>17</v>
      </c>
      <c r="L697" t="s">
        <v>18</v>
      </c>
      <c r="M697" t="s">
        <v>19</v>
      </c>
    </row>
    <row r="698" spans="1:13" x14ac:dyDescent="0.3">
      <c r="A698" t="str">
        <f>HYPERLINK("https://hsdes.intel.com/resource/14013163421","14013163421")</f>
        <v>14013163421</v>
      </c>
      <c r="B698" t="s">
        <v>1598</v>
      </c>
      <c r="C698" t="s">
        <v>12</v>
      </c>
      <c r="D698" t="s">
        <v>1599</v>
      </c>
      <c r="E698" t="s">
        <v>97</v>
      </c>
      <c r="F698" s="9" t="s">
        <v>1582</v>
      </c>
      <c r="G698" t="s">
        <v>31</v>
      </c>
      <c r="I698" t="s">
        <v>16</v>
      </c>
      <c r="J698" t="s">
        <v>17</v>
      </c>
      <c r="L698" t="s">
        <v>18</v>
      </c>
      <c r="M698" t="s">
        <v>19</v>
      </c>
    </row>
    <row r="699" spans="1:13" x14ac:dyDescent="0.3">
      <c r="A699" t="str">
        <f>HYPERLINK("https://hsdes.intel.com/resource/14013163423","14013163423")</f>
        <v>14013163423</v>
      </c>
      <c r="B699" t="s">
        <v>1600</v>
      </c>
      <c r="C699" t="s">
        <v>12</v>
      </c>
      <c r="D699" t="s">
        <v>1601</v>
      </c>
      <c r="E699" t="s">
        <v>120</v>
      </c>
      <c r="F699" t="s">
        <v>695</v>
      </c>
      <c r="G699" t="s">
        <v>31</v>
      </c>
      <c r="I699" t="s">
        <v>16</v>
      </c>
      <c r="J699" t="s">
        <v>17</v>
      </c>
      <c r="L699" t="s">
        <v>18</v>
      </c>
      <c r="M699" t="s">
        <v>22</v>
      </c>
    </row>
    <row r="700" spans="1:13" x14ac:dyDescent="0.3">
      <c r="A700" t="str">
        <f>HYPERLINK("https://hsdes.intel.com/resource/14013163440","14013163440")</f>
        <v>14013163440</v>
      </c>
      <c r="B700" t="s">
        <v>1602</v>
      </c>
      <c r="C700" t="s">
        <v>12</v>
      </c>
      <c r="D700" t="s">
        <v>1603</v>
      </c>
      <c r="E700" t="s">
        <v>120</v>
      </c>
      <c r="F700" t="s">
        <v>695</v>
      </c>
      <c r="G700" t="s">
        <v>31</v>
      </c>
      <c r="I700" t="s">
        <v>16</v>
      </c>
      <c r="J700" t="s">
        <v>17</v>
      </c>
      <c r="L700" t="s">
        <v>18</v>
      </c>
      <c r="M700" t="s">
        <v>22</v>
      </c>
    </row>
    <row r="701" spans="1:13" x14ac:dyDescent="0.3">
      <c r="A701" t="str">
        <f>HYPERLINK("https://hsdes.intel.com/resource/14013163456","14013163456")</f>
        <v>14013163456</v>
      </c>
      <c r="B701" t="s">
        <v>1604</v>
      </c>
      <c r="C701" t="s">
        <v>12</v>
      </c>
      <c r="D701" t="s">
        <v>1605</v>
      </c>
      <c r="E701" t="s">
        <v>97</v>
      </c>
      <c r="F701" s="9" t="s">
        <v>1582</v>
      </c>
      <c r="G701" t="s">
        <v>31</v>
      </c>
      <c r="I701" t="s">
        <v>16</v>
      </c>
      <c r="J701" t="s">
        <v>17</v>
      </c>
      <c r="L701" t="s">
        <v>18</v>
      </c>
      <c r="M701" t="s">
        <v>22</v>
      </c>
    </row>
    <row r="702" spans="1:13" x14ac:dyDescent="0.3">
      <c r="A702" t="str">
        <f>HYPERLINK("https://hsdes.intel.com/resource/14013163459","14013163459")</f>
        <v>14013163459</v>
      </c>
      <c r="B702" t="s">
        <v>1606</v>
      </c>
      <c r="C702" t="s">
        <v>12</v>
      </c>
      <c r="D702" t="s">
        <v>1607</v>
      </c>
      <c r="E702" t="s">
        <v>14</v>
      </c>
      <c r="G702" t="s">
        <v>15</v>
      </c>
      <c r="H702" s="2">
        <v>44789</v>
      </c>
      <c r="I702" t="s">
        <v>16</v>
      </c>
      <c r="J702" t="s">
        <v>17</v>
      </c>
      <c r="L702" t="s">
        <v>18</v>
      </c>
      <c r="M702" t="s">
        <v>26</v>
      </c>
    </row>
    <row r="703" spans="1:13" x14ac:dyDescent="0.3">
      <c r="A703" t="str">
        <f>HYPERLINK("https://hsdes.intel.com/resource/14013163478","14013163478")</f>
        <v>14013163478</v>
      </c>
      <c r="B703" t="s">
        <v>1608</v>
      </c>
      <c r="C703" t="s">
        <v>12</v>
      </c>
      <c r="D703" t="s">
        <v>1609</v>
      </c>
      <c r="E703" t="s">
        <v>14</v>
      </c>
      <c r="F703" t="s">
        <v>1257</v>
      </c>
      <c r="G703" t="s">
        <v>43</v>
      </c>
      <c r="H703" s="2">
        <v>44799</v>
      </c>
      <c r="I703" t="s">
        <v>32</v>
      </c>
      <c r="J703" t="s">
        <v>46</v>
      </c>
      <c r="L703" t="s">
        <v>177</v>
      </c>
      <c r="M703" t="s">
        <v>19</v>
      </c>
    </row>
    <row r="704" spans="1:13" x14ac:dyDescent="0.3">
      <c r="A704" t="str">
        <f>HYPERLINK("https://hsdes.intel.com/resource/14013163540","14013163540")</f>
        <v>14013163540</v>
      </c>
      <c r="B704" t="s">
        <v>1610</v>
      </c>
      <c r="C704" t="s">
        <v>12</v>
      </c>
      <c r="D704" t="s">
        <v>1611</v>
      </c>
      <c r="E704" t="s">
        <v>120</v>
      </c>
      <c r="F704" t="s">
        <v>1612</v>
      </c>
      <c r="G704" t="s">
        <v>57</v>
      </c>
      <c r="H704">
        <v>44798</v>
      </c>
      <c r="I704" t="s">
        <v>38</v>
      </c>
      <c r="J704" t="s">
        <v>77</v>
      </c>
      <c r="L704" t="s">
        <v>78</v>
      </c>
      <c r="M704" t="s">
        <v>22</v>
      </c>
    </row>
    <row r="705" spans="1:13" x14ac:dyDescent="0.3">
      <c r="A705" t="str">
        <f>HYPERLINK("https://hsdes.intel.com/resource/14013163653","14013163653")</f>
        <v>14013163653</v>
      </c>
      <c r="B705" t="s">
        <v>1613</v>
      </c>
      <c r="C705" t="s">
        <v>12</v>
      </c>
      <c r="D705" t="s">
        <v>1614</v>
      </c>
      <c r="E705" t="s">
        <v>14</v>
      </c>
      <c r="F705" t="s">
        <v>1615</v>
      </c>
      <c r="G705" t="s">
        <v>43</v>
      </c>
      <c r="H705" s="2">
        <v>44792</v>
      </c>
      <c r="I705" t="s">
        <v>16</v>
      </c>
      <c r="J705" t="s">
        <v>17</v>
      </c>
      <c r="L705" t="s">
        <v>18</v>
      </c>
      <c r="M705" t="s">
        <v>22</v>
      </c>
    </row>
    <row r="706" spans="1:13" x14ac:dyDescent="0.3">
      <c r="A706" t="str">
        <f>HYPERLINK("https://hsdes.intel.com/resource/14013163665","14013163665")</f>
        <v>14013163665</v>
      </c>
      <c r="B706" t="s">
        <v>1616</v>
      </c>
      <c r="C706" t="s">
        <v>12</v>
      </c>
      <c r="D706" t="s">
        <v>1617</v>
      </c>
      <c r="E706" t="s">
        <v>14</v>
      </c>
      <c r="G706" t="s">
        <v>43</v>
      </c>
      <c r="H706" s="2">
        <v>44792</v>
      </c>
      <c r="I706" t="s">
        <v>16</v>
      </c>
      <c r="J706" t="s">
        <v>17</v>
      </c>
      <c r="L706" t="s">
        <v>18</v>
      </c>
      <c r="M706" t="s">
        <v>22</v>
      </c>
    </row>
    <row r="707" spans="1:13" x14ac:dyDescent="0.3">
      <c r="A707" t="str">
        <f>HYPERLINK("https://hsdes.intel.com/resource/14013163784","14013163784")</f>
        <v>14013163784</v>
      </c>
      <c r="B707" t="s">
        <v>1618</v>
      </c>
      <c r="C707" t="s">
        <v>12</v>
      </c>
      <c r="D707" t="s">
        <v>1619</v>
      </c>
      <c r="E707" t="s">
        <v>14</v>
      </c>
      <c r="F707" t="s">
        <v>46</v>
      </c>
      <c r="G707" t="s">
        <v>57</v>
      </c>
      <c r="H707" s="2">
        <v>44792</v>
      </c>
      <c r="I707" t="s">
        <v>38</v>
      </c>
      <c r="J707" t="s">
        <v>77</v>
      </c>
      <c r="L707" t="s">
        <v>78</v>
      </c>
      <c r="M707" t="s">
        <v>22</v>
      </c>
    </row>
    <row r="708" spans="1:13" x14ac:dyDescent="0.3">
      <c r="A708" t="str">
        <f>HYPERLINK("https://hsdes.intel.com/resource/14013163924","14013163924")</f>
        <v>14013163924</v>
      </c>
      <c r="B708" t="s">
        <v>1620</v>
      </c>
      <c r="C708" t="s">
        <v>12</v>
      </c>
      <c r="D708" t="s">
        <v>1621</v>
      </c>
      <c r="E708" t="s">
        <v>14</v>
      </c>
      <c r="F708" t="s">
        <v>1622</v>
      </c>
      <c r="G708" t="s">
        <v>31</v>
      </c>
      <c r="H708" s="2">
        <v>44795</v>
      </c>
      <c r="I708" t="s">
        <v>16</v>
      </c>
      <c r="J708" t="s">
        <v>17</v>
      </c>
      <c r="L708" t="s">
        <v>18</v>
      </c>
      <c r="M708" t="s">
        <v>26</v>
      </c>
    </row>
    <row r="709" spans="1:13" x14ac:dyDescent="0.3">
      <c r="A709" t="str">
        <f>HYPERLINK("https://hsdes.intel.com/resource/14013163959","14013163959")</f>
        <v>14013163959</v>
      </c>
      <c r="B709" t="s">
        <v>1623</v>
      </c>
      <c r="C709" t="s">
        <v>12</v>
      </c>
      <c r="D709" t="s">
        <v>1624</v>
      </c>
      <c r="E709" t="s">
        <v>14</v>
      </c>
      <c r="G709" t="s">
        <v>1571</v>
      </c>
      <c r="H709" s="2">
        <v>44795</v>
      </c>
      <c r="I709" t="s">
        <v>16</v>
      </c>
      <c r="J709" t="s">
        <v>17</v>
      </c>
      <c r="L709" t="s">
        <v>18</v>
      </c>
      <c r="M709" t="s">
        <v>22</v>
      </c>
    </row>
    <row r="710" spans="1:13" x14ac:dyDescent="0.3">
      <c r="A710" t="str">
        <f>HYPERLINK("https://hsdes.intel.com/resource/14013163970","14013163970")</f>
        <v>14013163970</v>
      </c>
      <c r="B710" t="s">
        <v>1625</v>
      </c>
      <c r="C710" t="s">
        <v>12</v>
      </c>
      <c r="D710" t="s">
        <v>1626</v>
      </c>
      <c r="E710" t="s">
        <v>14</v>
      </c>
      <c r="G710" t="s">
        <v>57</v>
      </c>
      <c r="H710" s="2">
        <v>44791</v>
      </c>
      <c r="I710" t="s">
        <v>16</v>
      </c>
      <c r="J710" t="s">
        <v>33</v>
      </c>
      <c r="L710" t="s">
        <v>78</v>
      </c>
      <c r="M710" t="s">
        <v>22</v>
      </c>
    </row>
    <row r="711" spans="1:13" x14ac:dyDescent="0.3">
      <c r="A711" t="str">
        <f>HYPERLINK("https://hsdes.intel.com/resource/14013164099","14013164099")</f>
        <v>14013164099</v>
      </c>
      <c r="B711" t="s">
        <v>1627</v>
      </c>
      <c r="C711" t="s">
        <v>12</v>
      </c>
      <c r="D711" t="s">
        <v>1628</v>
      </c>
      <c r="E711" t="s">
        <v>14</v>
      </c>
      <c r="F711" t="s">
        <v>1629</v>
      </c>
      <c r="G711" t="s">
        <v>57</v>
      </c>
      <c r="H711" s="2">
        <v>44791</v>
      </c>
      <c r="I711" t="s">
        <v>32</v>
      </c>
      <c r="J711" t="s">
        <v>33</v>
      </c>
      <c r="L711" t="s">
        <v>34</v>
      </c>
      <c r="M711" t="s">
        <v>19</v>
      </c>
    </row>
    <row r="712" spans="1:13" x14ac:dyDescent="0.3">
      <c r="A712" t="str">
        <f>HYPERLINK("https://hsdes.intel.com/resource/14013164147","14013164147")</f>
        <v>14013164147</v>
      </c>
      <c r="B712" t="s">
        <v>1630</v>
      </c>
      <c r="C712" t="s">
        <v>12</v>
      </c>
      <c r="D712" t="s">
        <v>1631</v>
      </c>
      <c r="E712" t="s">
        <v>97</v>
      </c>
      <c r="F712" t="s">
        <v>1632</v>
      </c>
      <c r="G712" t="s">
        <v>31</v>
      </c>
      <c r="H712" s="2">
        <v>44802</v>
      </c>
      <c r="I712" t="s">
        <v>48</v>
      </c>
      <c r="J712" t="s">
        <v>271</v>
      </c>
      <c r="L712" t="s">
        <v>272</v>
      </c>
      <c r="M712" t="s">
        <v>26</v>
      </c>
    </row>
    <row r="713" spans="1:13" x14ac:dyDescent="0.3">
      <c r="A713" t="str">
        <f>HYPERLINK("https://hsdes.intel.com/resource/14013164150","14013164150")</f>
        <v>14013164150</v>
      </c>
      <c r="B713" t="s">
        <v>1633</v>
      </c>
      <c r="C713" t="s">
        <v>12</v>
      </c>
      <c r="D713" t="s">
        <v>1634</v>
      </c>
      <c r="E713" t="s">
        <v>97</v>
      </c>
      <c r="F713" t="s">
        <v>1635</v>
      </c>
      <c r="G713" t="s">
        <v>111</v>
      </c>
      <c r="H713" s="2">
        <v>44802</v>
      </c>
      <c r="I713" t="s">
        <v>32</v>
      </c>
      <c r="J713" t="s">
        <v>46</v>
      </c>
      <c r="L713" t="s">
        <v>177</v>
      </c>
      <c r="M713" t="s">
        <v>19</v>
      </c>
    </row>
    <row r="714" spans="1:13" x14ac:dyDescent="0.3">
      <c r="A714" t="str">
        <f>HYPERLINK("https://hsdes.intel.com/resource/14013164188","14013164188")</f>
        <v>14013164188</v>
      </c>
      <c r="B714" t="s">
        <v>1636</v>
      </c>
      <c r="C714" t="s">
        <v>12</v>
      </c>
      <c r="D714" t="s">
        <v>1637</v>
      </c>
      <c r="E714" t="s">
        <v>14</v>
      </c>
      <c r="G714" t="s">
        <v>57</v>
      </c>
      <c r="H714" s="2">
        <v>44790</v>
      </c>
      <c r="I714" t="s">
        <v>16</v>
      </c>
      <c r="J714" t="s">
        <v>483</v>
      </c>
      <c r="L714" t="s">
        <v>78</v>
      </c>
      <c r="M714" t="s">
        <v>26</v>
      </c>
    </row>
    <row r="715" spans="1:13" x14ac:dyDescent="0.3">
      <c r="A715" t="str">
        <f>HYPERLINK("https://hsdes.intel.com/resource/14013164376","14013164376")</f>
        <v>14013164376</v>
      </c>
      <c r="B715" t="s">
        <v>1638</v>
      </c>
      <c r="C715" t="s">
        <v>12</v>
      </c>
      <c r="D715" t="s">
        <v>1639</v>
      </c>
      <c r="E715" t="s">
        <v>97</v>
      </c>
      <c r="F715" t="s">
        <v>1640</v>
      </c>
      <c r="G715" t="s">
        <v>43</v>
      </c>
      <c r="H715" s="2">
        <v>44801</v>
      </c>
      <c r="I715" t="s">
        <v>16</v>
      </c>
      <c r="J715" t="s">
        <v>17</v>
      </c>
      <c r="L715" t="s">
        <v>18</v>
      </c>
      <c r="M715" t="s">
        <v>26</v>
      </c>
    </row>
    <row r="716" spans="1:13" x14ac:dyDescent="0.3">
      <c r="A716" t="str">
        <f>HYPERLINK("https://hsdes.intel.com/resource/14013164736","14013164736")</f>
        <v>14013164736</v>
      </c>
      <c r="B716" t="s">
        <v>1641</v>
      </c>
      <c r="C716" t="s">
        <v>12</v>
      </c>
      <c r="D716" t="s">
        <v>1642</v>
      </c>
      <c r="E716" t="s">
        <v>14</v>
      </c>
      <c r="G716" t="s">
        <v>111</v>
      </c>
      <c r="H716" s="2">
        <v>44802</v>
      </c>
      <c r="I716" t="s">
        <v>32</v>
      </c>
      <c r="J716" t="s">
        <v>46</v>
      </c>
      <c r="L716" t="s">
        <v>177</v>
      </c>
      <c r="M716" t="s">
        <v>26</v>
      </c>
    </row>
    <row r="717" spans="1:13" x14ac:dyDescent="0.3">
      <c r="A717" t="str">
        <f>HYPERLINK("https://hsdes.intel.com/resource/14013164757","14013164757")</f>
        <v>14013164757</v>
      </c>
      <c r="B717" t="s">
        <v>1643</v>
      </c>
      <c r="C717" t="s">
        <v>12</v>
      </c>
      <c r="D717" t="s">
        <v>1644</v>
      </c>
      <c r="E717" t="s">
        <v>612</v>
      </c>
      <c r="F717" t="s">
        <v>1394</v>
      </c>
      <c r="G717" t="s">
        <v>57</v>
      </c>
      <c r="I717" t="s">
        <v>132</v>
      </c>
      <c r="J717" t="s">
        <v>614</v>
      </c>
      <c r="L717" t="s">
        <v>615</v>
      </c>
      <c r="M717" t="s">
        <v>26</v>
      </c>
    </row>
    <row r="718" spans="1:13" x14ac:dyDescent="0.3">
      <c r="A718" t="str">
        <f>HYPERLINK("https://hsdes.intel.com/resource/14013164788","14013164788")</f>
        <v>14013164788</v>
      </c>
      <c r="B718" t="s">
        <v>1645</v>
      </c>
      <c r="C718" t="s">
        <v>12</v>
      </c>
      <c r="D718" t="s">
        <v>1646</v>
      </c>
      <c r="E718" t="s">
        <v>14</v>
      </c>
      <c r="G718" t="s">
        <v>15</v>
      </c>
      <c r="H718" s="2">
        <v>44784</v>
      </c>
      <c r="I718" t="s">
        <v>48</v>
      </c>
      <c r="J718" t="s">
        <v>271</v>
      </c>
      <c r="L718" t="s">
        <v>272</v>
      </c>
      <c r="M718" t="s">
        <v>26</v>
      </c>
    </row>
    <row r="719" spans="1:13" x14ac:dyDescent="0.3">
      <c r="A719" t="str">
        <f>HYPERLINK("https://hsdes.intel.com/resource/14013165131","14013165131")</f>
        <v>14013165131</v>
      </c>
      <c r="B719" t="s">
        <v>1647</v>
      </c>
      <c r="C719" t="s">
        <v>12</v>
      </c>
      <c r="D719" t="s">
        <v>1648</v>
      </c>
      <c r="E719" t="s">
        <v>14</v>
      </c>
      <c r="G719" t="s">
        <v>1506</v>
      </c>
      <c r="H719" s="2">
        <v>44796</v>
      </c>
      <c r="I719" t="s">
        <v>16</v>
      </c>
      <c r="J719" t="s">
        <v>17</v>
      </c>
      <c r="L719" t="s">
        <v>18</v>
      </c>
      <c r="M719" t="s">
        <v>26</v>
      </c>
    </row>
    <row r="720" spans="1:13" x14ac:dyDescent="0.3">
      <c r="A720" t="str">
        <f>HYPERLINK("https://hsdes.intel.com/resource/14013165152","14013165152")</f>
        <v>14013165152</v>
      </c>
      <c r="B720" t="s">
        <v>1649</v>
      </c>
      <c r="C720" t="s">
        <v>12</v>
      </c>
      <c r="D720" t="s">
        <v>1650</v>
      </c>
      <c r="E720" t="s">
        <v>14</v>
      </c>
      <c r="G720" t="s">
        <v>1571</v>
      </c>
      <c r="H720" s="2">
        <v>44796</v>
      </c>
      <c r="I720" t="s">
        <v>16</v>
      </c>
      <c r="J720" t="s">
        <v>17</v>
      </c>
      <c r="L720" t="s">
        <v>18</v>
      </c>
      <c r="M720" t="s">
        <v>19</v>
      </c>
    </row>
    <row r="721" spans="1:13" x14ac:dyDescent="0.3">
      <c r="A721" t="str">
        <f>HYPERLINK("https://hsdes.intel.com/resource/14013165178","14013165178")</f>
        <v>14013165178</v>
      </c>
      <c r="B721" t="s">
        <v>1651</v>
      </c>
      <c r="C721" t="s">
        <v>12</v>
      </c>
      <c r="D721" t="s">
        <v>1652</v>
      </c>
      <c r="E721" t="s">
        <v>14</v>
      </c>
      <c r="G721" t="s">
        <v>111</v>
      </c>
      <c r="H721" s="2">
        <v>44792</v>
      </c>
      <c r="I721" t="s">
        <v>16</v>
      </c>
      <c r="J721" t="s">
        <v>17</v>
      </c>
      <c r="L721" t="s">
        <v>18</v>
      </c>
      <c r="M721" t="s">
        <v>19</v>
      </c>
    </row>
    <row r="722" spans="1:13" x14ac:dyDescent="0.3">
      <c r="A722" t="str">
        <f>HYPERLINK("https://hsdes.intel.com/resource/14013165184","14013165184")</f>
        <v>14013165184</v>
      </c>
      <c r="B722" t="s">
        <v>1653</v>
      </c>
      <c r="C722" t="s">
        <v>12</v>
      </c>
      <c r="D722" t="s">
        <v>1654</v>
      </c>
      <c r="E722" t="s">
        <v>14</v>
      </c>
      <c r="G722" t="s">
        <v>111</v>
      </c>
      <c r="H722" s="2">
        <v>44792</v>
      </c>
      <c r="I722" t="s">
        <v>16</v>
      </c>
      <c r="J722" t="s">
        <v>17</v>
      </c>
      <c r="L722" t="s">
        <v>18</v>
      </c>
      <c r="M722" t="s">
        <v>19</v>
      </c>
    </row>
    <row r="723" spans="1:13" x14ac:dyDescent="0.3">
      <c r="A723" t="str">
        <f>HYPERLINK("https://hsdes.intel.com/resource/14013165195","14013165195")</f>
        <v>14013165195</v>
      </c>
      <c r="B723" t="s">
        <v>1655</v>
      </c>
      <c r="C723" t="s">
        <v>12</v>
      </c>
      <c r="D723" t="s">
        <v>1656</v>
      </c>
      <c r="E723" t="s">
        <v>120</v>
      </c>
      <c r="F723" t="s">
        <v>1657</v>
      </c>
      <c r="G723" t="s">
        <v>111</v>
      </c>
      <c r="H723" s="2">
        <v>44784</v>
      </c>
      <c r="I723" t="s">
        <v>32</v>
      </c>
      <c r="J723" t="s">
        <v>82</v>
      </c>
      <c r="L723" t="s">
        <v>125</v>
      </c>
      <c r="M723" t="s">
        <v>26</v>
      </c>
    </row>
    <row r="724" spans="1:13" x14ac:dyDescent="0.3">
      <c r="A724" t="str">
        <f>HYPERLINK("https://hsdes.intel.com/resource/14013165215","14013165215")</f>
        <v>14013165215</v>
      </c>
      <c r="B724" t="s">
        <v>1658</v>
      </c>
      <c r="C724" t="s">
        <v>12</v>
      </c>
      <c r="D724" t="s">
        <v>1659</v>
      </c>
      <c r="E724" t="s">
        <v>14</v>
      </c>
      <c r="G724" t="s">
        <v>111</v>
      </c>
      <c r="H724" s="2">
        <v>44790</v>
      </c>
      <c r="I724" t="s">
        <v>16</v>
      </c>
      <c r="J724" t="s">
        <v>17</v>
      </c>
      <c r="L724" t="s">
        <v>18</v>
      </c>
      <c r="M724" t="s">
        <v>19</v>
      </c>
    </row>
    <row r="725" spans="1:13" x14ac:dyDescent="0.3">
      <c r="A725" t="str">
        <f>HYPERLINK("https://hsdes.intel.com/resource/14013165220","14013165220")</f>
        <v>14013165220</v>
      </c>
      <c r="B725" t="s">
        <v>1660</v>
      </c>
      <c r="C725" t="s">
        <v>12</v>
      </c>
      <c r="D725" t="s">
        <v>1661</v>
      </c>
      <c r="E725" t="s">
        <v>14</v>
      </c>
      <c r="G725" t="s">
        <v>111</v>
      </c>
      <c r="H725" s="2">
        <v>44802</v>
      </c>
      <c r="I725" t="s">
        <v>16</v>
      </c>
      <c r="J725" t="s">
        <v>17</v>
      </c>
      <c r="L725" t="s">
        <v>18</v>
      </c>
      <c r="M725" t="s">
        <v>19</v>
      </c>
    </row>
    <row r="726" spans="1:13" x14ac:dyDescent="0.3">
      <c r="A726" t="str">
        <f>HYPERLINK("https://hsdes.intel.com/resource/14013165230","14013165230")</f>
        <v>14013165230</v>
      </c>
      <c r="B726" t="s">
        <v>1662</v>
      </c>
      <c r="C726" t="s">
        <v>12</v>
      </c>
      <c r="D726" t="s">
        <v>1663</v>
      </c>
      <c r="E726" t="s">
        <v>14</v>
      </c>
      <c r="G726" t="s">
        <v>111</v>
      </c>
      <c r="H726" s="2">
        <v>44790</v>
      </c>
      <c r="I726" t="s">
        <v>16</v>
      </c>
      <c r="J726" t="s">
        <v>17</v>
      </c>
      <c r="L726" t="s">
        <v>18</v>
      </c>
      <c r="M726" t="s">
        <v>19</v>
      </c>
    </row>
    <row r="727" spans="1:13" x14ac:dyDescent="0.3">
      <c r="A727" t="str">
        <f>HYPERLINK("https://hsdes.intel.com/resource/14013165239","14013165239")</f>
        <v>14013165239</v>
      </c>
      <c r="B727" t="s">
        <v>1664</v>
      </c>
      <c r="C727" t="s">
        <v>12</v>
      </c>
      <c r="D727" t="s">
        <v>1665</v>
      </c>
      <c r="E727" t="s">
        <v>14</v>
      </c>
      <c r="G727" t="s">
        <v>111</v>
      </c>
      <c r="H727" s="2">
        <v>44790</v>
      </c>
      <c r="I727" t="s">
        <v>16</v>
      </c>
      <c r="J727" t="s">
        <v>17</v>
      </c>
      <c r="L727" t="s">
        <v>18</v>
      </c>
      <c r="M727" t="s">
        <v>19</v>
      </c>
    </row>
    <row r="728" spans="1:13" x14ac:dyDescent="0.3">
      <c r="A728" t="str">
        <f>HYPERLINK("https://hsdes.intel.com/resource/14013165248","14013165248")</f>
        <v>14013165248</v>
      </c>
      <c r="B728" t="s">
        <v>1666</v>
      </c>
      <c r="C728" t="s">
        <v>12</v>
      </c>
      <c r="D728" t="s">
        <v>1667</v>
      </c>
      <c r="E728" t="s">
        <v>14</v>
      </c>
      <c r="G728" t="s">
        <v>111</v>
      </c>
      <c r="H728" s="2">
        <v>44790</v>
      </c>
      <c r="I728" t="s">
        <v>16</v>
      </c>
      <c r="J728" t="s">
        <v>17</v>
      </c>
      <c r="L728" t="s">
        <v>18</v>
      </c>
      <c r="M728" t="s">
        <v>19</v>
      </c>
    </row>
    <row r="729" spans="1:13" x14ac:dyDescent="0.3">
      <c r="A729" t="str">
        <f>HYPERLINK("https://hsdes.intel.com/resource/14013165251","14013165251")</f>
        <v>14013165251</v>
      </c>
      <c r="B729" t="s">
        <v>1668</v>
      </c>
      <c r="C729" t="s">
        <v>12</v>
      </c>
      <c r="D729" t="s">
        <v>1669</v>
      </c>
      <c r="E729" t="s">
        <v>14</v>
      </c>
      <c r="G729" t="s">
        <v>111</v>
      </c>
      <c r="H729" s="2">
        <v>44790</v>
      </c>
      <c r="I729" t="s">
        <v>16</v>
      </c>
      <c r="J729" t="s">
        <v>17</v>
      </c>
      <c r="L729" t="s">
        <v>18</v>
      </c>
      <c r="M729" t="s">
        <v>19</v>
      </c>
    </row>
    <row r="730" spans="1:13" x14ac:dyDescent="0.3">
      <c r="A730" t="str">
        <f>HYPERLINK("https://hsdes.intel.com/resource/14013165266","14013165266")</f>
        <v>14013165266</v>
      </c>
      <c r="B730" t="s">
        <v>1670</v>
      </c>
      <c r="C730" t="s">
        <v>12</v>
      </c>
      <c r="D730" t="s">
        <v>1671</v>
      </c>
      <c r="E730" t="s">
        <v>14</v>
      </c>
      <c r="G730" t="s">
        <v>111</v>
      </c>
      <c r="H730" s="2">
        <v>44790</v>
      </c>
      <c r="I730" t="s">
        <v>16</v>
      </c>
      <c r="J730" t="s">
        <v>17</v>
      </c>
      <c r="L730" t="s">
        <v>18</v>
      </c>
      <c r="M730" t="s">
        <v>19</v>
      </c>
    </row>
    <row r="731" spans="1:13" x14ac:dyDescent="0.3">
      <c r="A731" t="str">
        <f>HYPERLINK("https://hsdes.intel.com/resource/14013165268","14013165268")</f>
        <v>14013165268</v>
      </c>
      <c r="B731" t="s">
        <v>1672</v>
      </c>
      <c r="C731" t="s">
        <v>12</v>
      </c>
      <c r="D731" t="s">
        <v>1673</v>
      </c>
      <c r="E731" t="s">
        <v>14</v>
      </c>
      <c r="G731" t="s">
        <v>111</v>
      </c>
      <c r="H731" s="2">
        <v>44790</v>
      </c>
      <c r="I731" t="s">
        <v>16</v>
      </c>
      <c r="J731" t="s">
        <v>17</v>
      </c>
      <c r="L731" t="s">
        <v>18</v>
      </c>
      <c r="M731" t="s">
        <v>19</v>
      </c>
    </row>
    <row r="732" spans="1:13" x14ac:dyDescent="0.3">
      <c r="A732" t="str">
        <f>HYPERLINK("https://hsdes.intel.com/resource/14013165277","14013165277")</f>
        <v>14013165277</v>
      </c>
      <c r="B732" t="s">
        <v>1674</v>
      </c>
      <c r="C732" t="s">
        <v>12</v>
      </c>
      <c r="D732" t="s">
        <v>1675</v>
      </c>
      <c r="E732" t="s">
        <v>14</v>
      </c>
      <c r="G732" t="s">
        <v>111</v>
      </c>
      <c r="H732" s="2">
        <v>44790</v>
      </c>
      <c r="I732" t="s">
        <v>16</v>
      </c>
      <c r="J732" t="s">
        <v>17</v>
      </c>
      <c r="L732" t="s">
        <v>18</v>
      </c>
      <c r="M732" t="s">
        <v>19</v>
      </c>
    </row>
    <row r="733" spans="1:13" x14ac:dyDescent="0.3">
      <c r="A733" t="str">
        <f>HYPERLINK("https://hsdes.intel.com/resource/14013165279","14013165279")</f>
        <v>14013165279</v>
      </c>
      <c r="B733" t="s">
        <v>1676</v>
      </c>
      <c r="C733" t="s">
        <v>12</v>
      </c>
      <c r="D733" t="s">
        <v>1677</v>
      </c>
      <c r="E733" t="s">
        <v>14</v>
      </c>
      <c r="G733" t="s">
        <v>111</v>
      </c>
      <c r="H733" s="2">
        <v>44790</v>
      </c>
      <c r="I733" t="s">
        <v>16</v>
      </c>
      <c r="J733" t="s">
        <v>17</v>
      </c>
      <c r="L733" t="s">
        <v>18</v>
      </c>
      <c r="M733" t="s">
        <v>19</v>
      </c>
    </row>
    <row r="734" spans="1:13" x14ac:dyDescent="0.3">
      <c r="A734" t="str">
        <f>HYPERLINK("https://hsdes.intel.com/resource/14013165283","14013165283")</f>
        <v>14013165283</v>
      </c>
      <c r="B734" t="s">
        <v>1678</v>
      </c>
      <c r="C734" t="s">
        <v>12</v>
      </c>
      <c r="D734" t="s">
        <v>1679</v>
      </c>
      <c r="E734" t="s">
        <v>14</v>
      </c>
      <c r="G734" t="s">
        <v>111</v>
      </c>
      <c r="H734" s="2">
        <v>44790</v>
      </c>
      <c r="I734" t="s">
        <v>16</v>
      </c>
      <c r="J734" t="s">
        <v>17</v>
      </c>
      <c r="L734" t="s">
        <v>18</v>
      </c>
      <c r="M734" t="s">
        <v>19</v>
      </c>
    </row>
    <row r="735" spans="1:13" x14ac:dyDescent="0.3">
      <c r="A735" t="str">
        <f>HYPERLINK("https://hsdes.intel.com/resource/14013165285","14013165285")</f>
        <v>14013165285</v>
      </c>
      <c r="B735" t="s">
        <v>1680</v>
      </c>
      <c r="C735" t="s">
        <v>12</v>
      </c>
      <c r="D735" t="s">
        <v>1681</v>
      </c>
      <c r="E735" t="s">
        <v>14</v>
      </c>
      <c r="G735" t="s">
        <v>111</v>
      </c>
      <c r="H735" s="2">
        <v>44790</v>
      </c>
      <c r="I735" t="s">
        <v>16</v>
      </c>
      <c r="J735" t="s">
        <v>17</v>
      </c>
      <c r="L735" t="s">
        <v>18</v>
      </c>
      <c r="M735" t="s">
        <v>19</v>
      </c>
    </row>
    <row r="736" spans="1:13" x14ac:dyDescent="0.3">
      <c r="A736" t="str">
        <f>HYPERLINK("https://hsdes.intel.com/resource/14013165349","14013165349")</f>
        <v>14013165349</v>
      </c>
      <c r="B736" t="s">
        <v>1682</v>
      </c>
      <c r="C736" t="s">
        <v>12</v>
      </c>
      <c r="D736" t="s">
        <v>1683</v>
      </c>
      <c r="E736" t="s">
        <v>97</v>
      </c>
      <c r="F736" t="s">
        <v>1684</v>
      </c>
      <c r="G736" t="s">
        <v>81</v>
      </c>
      <c r="H736" s="2">
        <v>44802</v>
      </c>
      <c r="I736" t="s">
        <v>16</v>
      </c>
      <c r="J736" t="s">
        <v>17</v>
      </c>
      <c r="L736" t="s">
        <v>18</v>
      </c>
      <c r="M736" t="s">
        <v>22</v>
      </c>
    </row>
    <row r="737" spans="1:13" x14ac:dyDescent="0.3">
      <c r="A737" t="str">
        <f>HYPERLINK("https://hsdes.intel.com/resource/14013165361","14013165361")</f>
        <v>14013165361</v>
      </c>
      <c r="B737" t="s">
        <v>1685</v>
      </c>
      <c r="C737" t="s">
        <v>12</v>
      </c>
      <c r="D737" t="s">
        <v>1686</v>
      </c>
      <c r="E737" t="s">
        <v>97</v>
      </c>
      <c r="F737" t="s">
        <v>1684</v>
      </c>
      <c r="G737" t="s">
        <v>81</v>
      </c>
      <c r="H737" s="2">
        <v>44802</v>
      </c>
      <c r="I737" t="s">
        <v>16</v>
      </c>
      <c r="J737" t="s">
        <v>17</v>
      </c>
      <c r="L737" t="s">
        <v>18</v>
      </c>
      <c r="M737" t="s">
        <v>22</v>
      </c>
    </row>
    <row r="738" spans="1:13" x14ac:dyDescent="0.3">
      <c r="A738" t="str">
        <f>HYPERLINK("https://hsdes.intel.com/resource/14013165372","14013165372")</f>
        <v>14013165372</v>
      </c>
      <c r="B738" t="s">
        <v>1687</v>
      </c>
      <c r="C738" t="s">
        <v>12</v>
      </c>
      <c r="D738" t="s">
        <v>1688</v>
      </c>
      <c r="E738" t="s">
        <v>97</v>
      </c>
      <c r="F738" t="s">
        <v>1689</v>
      </c>
      <c r="G738" t="s">
        <v>81</v>
      </c>
      <c r="I738" t="s">
        <v>16</v>
      </c>
      <c r="J738" t="s">
        <v>17</v>
      </c>
      <c r="L738" t="s">
        <v>18</v>
      </c>
      <c r="M738" t="s">
        <v>22</v>
      </c>
    </row>
    <row r="739" spans="1:13" x14ac:dyDescent="0.3">
      <c r="A739" t="str">
        <f>HYPERLINK("https://hsdes.intel.com/resource/14013165375","14013165375")</f>
        <v>14013165375</v>
      </c>
      <c r="B739" t="s">
        <v>1690</v>
      </c>
      <c r="C739" t="s">
        <v>12</v>
      </c>
      <c r="D739" t="s">
        <v>1691</v>
      </c>
      <c r="E739" t="s">
        <v>97</v>
      </c>
      <c r="F739" t="s">
        <v>1689</v>
      </c>
      <c r="G739" t="s">
        <v>81</v>
      </c>
      <c r="I739" t="s">
        <v>16</v>
      </c>
      <c r="J739" t="s">
        <v>17</v>
      </c>
      <c r="L739" t="s">
        <v>18</v>
      </c>
      <c r="M739" t="s">
        <v>22</v>
      </c>
    </row>
    <row r="740" spans="1:13" x14ac:dyDescent="0.3">
      <c r="A740" t="str">
        <f>HYPERLINK("https://hsdes.intel.com/resource/14013165380","14013165380")</f>
        <v>14013165380</v>
      </c>
      <c r="B740" t="s">
        <v>1692</v>
      </c>
      <c r="C740" t="s">
        <v>12</v>
      </c>
      <c r="D740" t="s">
        <v>1693</v>
      </c>
      <c r="E740" t="s">
        <v>97</v>
      </c>
      <c r="F740" t="s">
        <v>1689</v>
      </c>
      <c r="G740" t="s">
        <v>81</v>
      </c>
      <c r="I740" t="s">
        <v>16</v>
      </c>
      <c r="J740" t="s">
        <v>17</v>
      </c>
      <c r="L740" t="s">
        <v>18</v>
      </c>
      <c r="M740" t="s">
        <v>19</v>
      </c>
    </row>
    <row r="741" spans="1:13" x14ac:dyDescent="0.3">
      <c r="A741" t="str">
        <f>HYPERLINK("https://hsdes.intel.com/resource/14013165383","14013165383")</f>
        <v>14013165383</v>
      </c>
      <c r="B741" t="s">
        <v>1694</v>
      </c>
      <c r="C741" t="s">
        <v>12</v>
      </c>
      <c r="D741" t="s">
        <v>1695</v>
      </c>
      <c r="E741" t="s">
        <v>14</v>
      </c>
      <c r="G741" t="s">
        <v>111</v>
      </c>
      <c r="H741" s="2">
        <v>44790</v>
      </c>
      <c r="I741" t="s">
        <v>16</v>
      </c>
      <c r="J741" t="s">
        <v>17</v>
      </c>
      <c r="L741" t="s">
        <v>18</v>
      </c>
      <c r="M741" t="s">
        <v>22</v>
      </c>
    </row>
    <row r="742" spans="1:13" x14ac:dyDescent="0.3">
      <c r="A742" t="str">
        <f>HYPERLINK("https://hsdes.intel.com/resource/14013165391","14013165391")</f>
        <v>14013165391</v>
      </c>
      <c r="B742" t="s">
        <v>1696</v>
      </c>
      <c r="C742" t="s">
        <v>12</v>
      </c>
      <c r="D742" t="s">
        <v>1697</v>
      </c>
      <c r="E742" t="s">
        <v>14</v>
      </c>
      <c r="G742" t="s">
        <v>111</v>
      </c>
      <c r="H742" s="2">
        <v>44790</v>
      </c>
      <c r="I742" t="s">
        <v>16</v>
      </c>
      <c r="J742" t="s">
        <v>17</v>
      </c>
      <c r="L742" t="s">
        <v>18</v>
      </c>
      <c r="M742" t="s">
        <v>22</v>
      </c>
    </row>
    <row r="743" spans="1:13" x14ac:dyDescent="0.3">
      <c r="A743" t="str">
        <f>HYPERLINK("https://hsdes.intel.com/resource/14013165397","14013165397")</f>
        <v>14013165397</v>
      </c>
      <c r="B743" t="s">
        <v>1698</v>
      </c>
      <c r="C743" t="s">
        <v>12</v>
      </c>
      <c r="D743" t="s">
        <v>1699</v>
      </c>
      <c r="E743" t="s">
        <v>14</v>
      </c>
      <c r="G743" t="s">
        <v>111</v>
      </c>
      <c r="H743" s="2">
        <v>44802</v>
      </c>
      <c r="I743" t="s">
        <v>16</v>
      </c>
      <c r="J743" t="s">
        <v>17</v>
      </c>
      <c r="L743" t="s">
        <v>18</v>
      </c>
      <c r="M743" t="s">
        <v>22</v>
      </c>
    </row>
    <row r="744" spans="1:13" x14ac:dyDescent="0.3">
      <c r="A744" t="str">
        <f>HYPERLINK("https://hsdes.intel.com/resource/14013165401","14013165401")</f>
        <v>14013165401</v>
      </c>
      <c r="B744" t="s">
        <v>1700</v>
      </c>
      <c r="C744" t="s">
        <v>12</v>
      </c>
      <c r="D744" t="s">
        <v>1701</v>
      </c>
      <c r="E744" t="s">
        <v>14</v>
      </c>
      <c r="G744" t="s">
        <v>111</v>
      </c>
      <c r="H744" s="2">
        <v>44790</v>
      </c>
      <c r="I744" t="s">
        <v>16</v>
      </c>
      <c r="J744" t="s">
        <v>17</v>
      </c>
      <c r="L744" t="s">
        <v>18</v>
      </c>
      <c r="M744" t="s">
        <v>22</v>
      </c>
    </row>
    <row r="745" spans="1:13" x14ac:dyDescent="0.3">
      <c r="A745" t="str">
        <f>HYPERLINK("https://hsdes.intel.com/resource/14013165406","14013165406")</f>
        <v>14013165406</v>
      </c>
      <c r="B745" t="s">
        <v>1702</v>
      </c>
      <c r="C745" t="s">
        <v>12</v>
      </c>
      <c r="D745" t="s">
        <v>1703</v>
      </c>
      <c r="E745" t="s">
        <v>14</v>
      </c>
      <c r="G745" t="s">
        <v>111</v>
      </c>
      <c r="H745" s="2">
        <v>44791</v>
      </c>
      <c r="I745" t="s">
        <v>16</v>
      </c>
      <c r="J745" t="s">
        <v>17</v>
      </c>
      <c r="L745" t="s">
        <v>18</v>
      </c>
      <c r="M745" t="s">
        <v>22</v>
      </c>
    </row>
    <row r="746" spans="1:13" x14ac:dyDescent="0.3">
      <c r="A746" t="str">
        <f>HYPERLINK("https://hsdes.intel.com/resource/14013165413","14013165413")</f>
        <v>14013165413</v>
      </c>
      <c r="B746" t="s">
        <v>1704</v>
      </c>
      <c r="C746" t="s">
        <v>12</v>
      </c>
      <c r="D746" t="s">
        <v>1705</v>
      </c>
      <c r="E746" t="s">
        <v>14</v>
      </c>
      <c r="G746" t="s">
        <v>111</v>
      </c>
      <c r="H746" s="2">
        <v>44790</v>
      </c>
      <c r="I746" t="s">
        <v>16</v>
      </c>
      <c r="J746" t="s">
        <v>17</v>
      </c>
      <c r="L746" t="s">
        <v>18</v>
      </c>
      <c r="M746" t="s">
        <v>22</v>
      </c>
    </row>
    <row r="747" spans="1:13" x14ac:dyDescent="0.3">
      <c r="A747" t="str">
        <f>HYPERLINK("https://hsdes.intel.com/resource/14013165418","14013165418")</f>
        <v>14013165418</v>
      </c>
      <c r="B747" t="s">
        <v>1706</v>
      </c>
      <c r="C747" t="s">
        <v>12</v>
      </c>
      <c r="D747" t="s">
        <v>1707</v>
      </c>
      <c r="E747" t="s">
        <v>14</v>
      </c>
      <c r="G747" t="s">
        <v>111</v>
      </c>
      <c r="H747" s="2">
        <v>44792</v>
      </c>
      <c r="I747" t="s">
        <v>16</v>
      </c>
      <c r="J747" t="s">
        <v>17</v>
      </c>
      <c r="L747" t="s">
        <v>18</v>
      </c>
      <c r="M747" t="s">
        <v>22</v>
      </c>
    </row>
    <row r="748" spans="1:13" x14ac:dyDescent="0.3">
      <c r="A748" t="str">
        <f>HYPERLINK("https://hsdes.intel.com/resource/14013165427","14013165427")</f>
        <v>14013165427</v>
      </c>
      <c r="B748" t="s">
        <v>1708</v>
      </c>
      <c r="C748" t="s">
        <v>12</v>
      </c>
      <c r="D748" t="s">
        <v>1709</v>
      </c>
      <c r="E748" t="s">
        <v>14</v>
      </c>
      <c r="G748" t="s">
        <v>111</v>
      </c>
      <c r="H748" s="2">
        <v>44791</v>
      </c>
      <c r="I748" t="s">
        <v>16</v>
      </c>
      <c r="J748" t="s">
        <v>17</v>
      </c>
      <c r="L748" t="s">
        <v>18</v>
      </c>
      <c r="M748" t="s">
        <v>22</v>
      </c>
    </row>
    <row r="749" spans="1:13" x14ac:dyDescent="0.3">
      <c r="A749" t="str">
        <f>HYPERLINK("https://hsdes.intel.com/resource/14013165430","14013165430")</f>
        <v>14013165430</v>
      </c>
      <c r="B749" t="s">
        <v>1710</v>
      </c>
      <c r="C749" t="s">
        <v>12</v>
      </c>
      <c r="D749" t="s">
        <v>1711</v>
      </c>
      <c r="E749" t="s">
        <v>14</v>
      </c>
      <c r="G749" t="s">
        <v>111</v>
      </c>
      <c r="H749" s="2">
        <v>44792</v>
      </c>
      <c r="I749" t="s">
        <v>16</v>
      </c>
      <c r="J749" t="s">
        <v>17</v>
      </c>
      <c r="L749" t="s">
        <v>18</v>
      </c>
      <c r="M749" t="s">
        <v>22</v>
      </c>
    </row>
    <row r="750" spans="1:13" x14ac:dyDescent="0.3">
      <c r="A750" t="str">
        <f>HYPERLINK("https://hsdes.intel.com/resource/14013165431","14013165431")</f>
        <v>14013165431</v>
      </c>
      <c r="B750" t="s">
        <v>1712</v>
      </c>
      <c r="C750" t="s">
        <v>12</v>
      </c>
      <c r="D750" t="s">
        <v>1713</v>
      </c>
      <c r="E750" t="s">
        <v>14</v>
      </c>
      <c r="G750" t="s">
        <v>111</v>
      </c>
      <c r="H750" s="2">
        <v>44791</v>
      </c>
      <c r="I750" t="s">
        <v>16</v>
      </c>
      <c r="J750" t="s">
        <v>17</v>
      </c>
      <c r="L750" t="s">
        <v>18</v>
      </c>
      <c r="M750" t="s">
        <v>22</v>
      </c>
    </row>
    <row r="751" spans="1:13" x14ac:dyDescent="0.3">
      <c r="A751" t="str">
        <f>HYPERLINK("https://hsdes.intel.com/resource/14013165436","14013165436")</f>
        <v>14013165436</v>
      </c>
      <c r="B751" t="s">
        <v>1714</v>
      </c>
      <c r="C751" t="s">
        <v>12</v>
      </c>
      <c r="D751" t="s">
        <v>1715</v>
      </c>
      <c r="E751" t="s">
        <v>14</v>
      </c>
      <c r="G751" t="s">
        <v>111</v>
      </c>
      <c r="H751" s="2">
        <v>44791</v>
      </c>
      <c r="I751" t="s">
        <v>16</v>
      </c>
      <c r="J751" t="s">
        <v>17</v>
      </c>
      <c r="L751" t="s">
        <v>18</v>
      </c>
      <c r="M751" t="s">
        <v>22</v>
      </c>
    </row>
    <row r="752" spans="1:13" x14ac:dyDescent="0.3">
      <c r="A752" t="str">
        <f>HYPERLINK("https://hsdes.intel.com/resource/14013165438","14013165438")</f>
        <v>14013165438</v>
      </c>
      <c r="B752" t="s">
        <v>1716</v>
      </c>
      <c r="C752" t="s">
        <v>12</v>
      </c>
      <c r="D752" t="s">
        <v>1717</v>
      </c>
      <c r="E752" t="s">
        <v>14</v>
      </c>
      <c r="G752" t="s">
        <v>111</v>
      </c>
      <c r="H752" s="2">
        <v>44791</v>
      </c>
      <c r="I752" t="s">
        <v>16</v>
      </c>
      <c r="J752" t="s">
        <v>17</v>
      </c>
      <c r="L752" t="s">
        <v>18</v>
      </c>
      <c r="M752" t="s">
        <v>22</v>
      </c>
    </row>
    <row r="753" spans="1:13" x14ac:dyDescent="0.3">
      <c r="A753" t="str">
        <f>HYPERLINK("https://hsdes.intel.com/resource/14013165440","14013165440")</f>
        <v>14013165440</v>
      </c>
      <c r="B753" t="s">
        <v>1718</v>
      </c>
      <c r="C753" t="s">
        <v>12</v>
      </c>
      <c r="D753" t="s">
        <v>1719</v>
      </c>
      <c r="E753" t="s">
        <v>14</v>
      </c>
      <c r="G753" t="s">
        <v>111</v>
      </c>
      <c r="H753" s="2">
        <v>44791</v>
      </c>
      <c r="I753" t="s">
        <v>16</v>
      </c>
      <c r="J753" t="s">
        <v>17</v>
      </c>
      <c r="L753" t="s">
        <v>18</v>
      </c>
      <c r="M753" t="s">
        <v>22</v>
      </c>
    </row>
    <row r="754" spans="1:13" x14ac:dyDescent="0.3">
      <c r="A754" t="str">
        <f>HYPERLINK("https://hsdes.intel.com/resource/14013165443","14013165443")</f>
        <v>14013165443</v>
      </c>
      <c r="B754" t="s">
        <v>1720</v>
      </c>
      <c r="C754" t="s">
        <v>12</v>
      </c>
      <c r="D754" t="s">
        <v>1721</v>
      </c>
      <c r="E754" t="s">
        <v>14</v>
      </c>
      <c r="G754" t="s">
        <v>111</v>
      </c>
      <c r="H754" s="2">
        <v>44792</v>
      </c>
      <c r="I754" t="s">
        <v>16</v>
      </c>
      <c r="J754" t="s">
        <v>17</v>
      </c>
      <c r="L754" t="s">
        <v>18</v>
      </c>
      <c r="M754" t="s">
        <v>22</v>
      </c>
    </row>
    <row r="755" spans="1:13" x14ac:dyDescent="0.3">
      <c r="A755" t="str">
        <f>HYPERLINK("https://hsdes.intel.com/resource/14013165445","14013165445")</f>
        <v>14013165445</v>
      </c>
      <c r="B755" t="s">
        <v>1722</v>
      </c>
      <c r="C755" t="s">
        <v>12</v>
      </c>
      <c r="D755" t="s">
        <v>1723</v>
      </c>
      <c r="E755" t="s">
        <v>14</v>
      </c>
      <c r="G755" t="s">
        <v>111</v>
      </c>
      <c r="H755" s="2">
        <v>44792</v>
      </c>
      <c r="I755" t="s">
        <v>16</v>
      </c>
      <c r="J755" t="s">
        <v>17</v>
      </c>
      <c r="L755" t="s">
        <v>18</v>
      </c>
      <c r="M755" t="s">
        <v>22</v>
      </c>
    </row>
    <row r="756" spans="1:13" x14ac:dyDescent="0.3">
      <c r="A756" t="str">
        <f>HYPERLINK("https://hsdes.intel.com/resource/14013165449","14013165449")</f>
        <v>14013165449</v>
      </c>
      <c r="B756" t="s">
        <v>1724</v>
      </c>
      <c r="C756" t="s">
        <v>12</v>
      </c>
      <c r="D756" t="s">
        <v>1725</v>
      </c>
      <c r="E756" t="s">
        <v>14</v>
      </c>
      <c r="G756" t="s">
        <v>111</v>
      </c>
      <c r="H756" s="2">
        <v>44792</v>
      </c>
      <c r="I756" t="s">
        <v>16</v>
      </c>
      <c r="J756" t="s">
        <v>17</v>
      </c>
      <c r="L756" t="s">
        <v>18</v>
      </c>
      <c r="M756" t="s">
        <v>22</v>
      </c>
    </row>
    <row r="757" spans="1:13" x14ac:dyDescent="0.3">
      <c r="A757" t="str">
        <f>HYPERLINK("https://hsdes.intel.com/resource/14013165473","14013165473")</f>
        <v>14013165473</v>
      </c>
      <c r="B757" t="s">
        <v>1726</v>
      </c>
      <c r="C757" t="s">
        <v>12</v>
      </c>
      <c r="D757" t="s">
        <v>1727</v>
      </c>
      <c r="E757" t="s">
        <v>14</v>
      </c>
      <c r="F757" t="s">
        <v>921</v>
      </c>
      <c r="G757" t="s">
        <v>81</v>
      </c>
      <c r="H757" s="2">
        <v>44792</v>
      </c>
      <c r="I757" t="s">
        <v>16</v>
      </c>
      <c r="J757" t="s">
        <v>17</v>
      </c>
      <c r="L757" t="s">
        <v>18</v>
      </c>
      <c r="M757" t="s">
        <v>19</v>
      </c>
    </row>
    <row r="758" spans="1:13" x14ac:dyDescent="0.3">
      <c r="A758" t="str">
        <f>HYPERLINK("https://hsdes.intel.com/resource/14013165476","14013165476")</f>
        <v>14013165476</v>
      </c>
      <c r="B758" t="s">
        <v>1728</v>
      </c>
      <c r="C758" t="s">
        <v>12</v>
      </c>
      <c r="D758" t="s">
        <v>1729</v>
      </c>
      <c r="E758" t="s">
        <v>14</v>
      </c>
      <c r="F758" t="s">
        <v>921</v>
      </c>
      <c r="G758" t="s">
        <v>81</v>
      </c>
      <c r="H758" s="2">
        <v>44792</v>
      </c>
      <c r="I758" t="s">
        <v>16</v>
      </c>
      <c r="J758" t="s">
        <v>17</v>
      </c>
      <c r="L758" t="s">
        <v>18</v>
      </c>
      <c r="M758" t="s">
        <v>19</v>
      </c>
    </row>
    <row r="759" spans="1:13" x14ac:dyDescent="0.3">
      <c r="A759" t="str">
        <f>HYPERLINK("https://hsdes.intel.com/resource/14013165480","14013165480")</f>
        <v>14013165480</v>
      </c>
      <c r="B759" t="s">
        <v>1730</v>
      </c>
      <c r="C759" t="s">
        <v>12</v>
      </c>
      <c r="D759" t="s">
        <v>1731</v>
      </c>
      <c r="E759" t="s">
        <v>14</v>
      </c>
      <c r="F759" t="s">
        <v>921</v>
      </c>
      <c r="G759" t="s">
        <v>81</v>
      </c>
      <c r="H759" s="2">
        <v>44792</v>
      </c>
      <c r="I759" t="s">
        <v>16</v>
      </c>
      <c r="J759" t="s">
        <v>17</v>
      </c>
      <c r="L759" t="s">
        <v>18</v>
      </c>
      <c r="M759" t="s">
        <v>19</v>
      </c>
    </row>
    <row r="760" spans="1:13" x14ac:dyDescent="0.3">
      <c r="A760" t="str">
        <f>HYPERLINK("https://hsdes.intel.com/resource/14013165485","14013165485")</f>
        <v>14013165485</v>
      </c>
      <c r="B760" t="s">
        <v>1732</v>
      </c>
      <c r="C760" t="s">
        <v>12</v>
      </c>
      <c r="D760" t="s">
        <v>1733</v>
      </c>
      <c r="E760" t="s">
        <v>14</v>
      </c>
      <c r="F760" t="s">
        <v>921</v>
      </c>
      <c r="G760" t="s">
        <v>81</v>
      </c>
      <c r="H760" s="2">
        <v>44792</v>
      </c>
      <c r="I760" t="s">
        <v>16</v>
      </c>
      <c r="J760" t="s">
        <v>17</v>
      </c>
      <c r="L760" t="s">
        <v>18</v>
      </c>
      <c r="M760" t="s">
        <v>19</v>
      </c>
    </row>
    <row r="761" spans="1:13" x14ac:dyDescent="0.3">
      <c r="A761" t="str">
        <f>HYPERLINK("https://hsdes.intel.com/resource/14013165539","14013165539")</f>
        <v>14013165539</v>
      </c>
      <c r="B761" t="s">
        <v>1734</v>
      </c>
      <c r="C761" t="s">
        <v>12</v>
      </c>
      <c r="D761" t="s">
        <v>1735</v>
      </c>
      <c r="E761" t="s">
        <v>14</v>
      </c>
      <c r="F761" t="s">
        <v>1736</v>
      </c>
      <c r="G761" t="s">
        <v>111</v>
      </c>
      <c r="H761" s="2">
        <v>44801</v>
      </c>
      <c r="I761" t="s">
        <v>48</v>
      </c>
      <c r="J761" t="s">
        <v>1251</v>
      </c>
      <c r="L761" t="s">
        <v>152</v>
      </c>
      <c r="M761" t="s">
        <v>26</v>
      </c>
    </row>
    <row r="762" spans="1:13" x14ac:dyDescent="0.3">
      <c r="A762" t="str">
        <f>HYPERLINK("https://hsdes.intel.com/resource/14013165547","14013165547")</f>
        <v>14013165547</v>
      </c>
      <c r="B762" t="s">
        <v>1737</v>
      </c>
      <c r="C762" t="s">
        <v>12</v>
      </c>
      <c r="D762" t="s">
        <v>1738</v>
      </c>
      <c r="E762" t="s">
        <v>97</v>
      </c>
      <c r="F762" t="s">
        <v>1739</v>
      </c>
      <c r="G762" t="s">
        <v>81</v>
      </c>
      <c r="I762" t="s">
        <v>167</v>
      </c>
      <c r="J762" t="s">
        <v>82</v>
      </c>
      <c r="L762" t="s">
        <v>125</v>
      </c>
      <c r="M762" t="s">
        <v>22</v>
      </c>
    </row>
    <row r="763" spans="1:13" x14ac:dyDescent="0.3">
      <c r="A763" t="str">
        <f>HYPERLINK("https://hsdes.intel.com/resource/14013165558","14013165558")</f>
        <v>14013165558</v>
      </c>
      <c r="B763" t="s">
        <v>1740</v>
      </c>
      <c r="C763" t="s">
        <v>12</v>
      </c>
      <c r="D763" t="s">
        <v>1741</v>
      </c>
      <c r="E763" t="s">
        <v>14</v>
      </c>
      <c r="F763" t="s">
        <v>1742</v>
      </c>
      <c r="G763" t="s">
        <v>31</v>
      </c>
      <c r="H763" s="2">
        <v>44799</v>
      </c>
      <c r="I763" t="s">
        <v>32</v>
      </c>
      <c r="J763" t="s">
        <v>82</v>
      </c>
      <c r="L763" t="s">
        <v>125</v>
      </c>
      <c r="M763" t="s">
        <v>26</v>
      </c>
    </row>
    <row r="764" spans="1:13" x14ac:dyDescent="0.3">
      <c r="A764" t="str">
        <f>HYPERLINK("https://hsdes.intel.com/resource/14013165601","14013165601")</f>
        <v>14013165601</v>
      </c>
      <c r="B764" t="s">
        <v>1743</v>
      </c>
      <c r="C764" t="s">
        <v>12</v>
      </c>
      <c r="D764" t="s">
        <v>1744</v>
      </c>
      <c r="E764" t="s">
        <v>14</v>
      </c>
      <c r="G764" t="s">
        <v>1427</v>
      </c>
      <c r="H764" s="2">
        <v>44792</v>
      </c>
      <c r="I764" t="s">
        <v>32</v>
      </c>
      <c r="J764" t="s">
        <v>33</v>
      </c>
      <c r="L764" t="s">
        <v>34</v>
      </c>
      <c r="M764" t="s">
        <v>26</v>
      </c>
    </row>
    <row r="765" spans="1:13" x14ac:dyDescent="0.3">
      <c r="A765" t="str">
        <f>HYPERLINK("https://hsdes.intel.com/resource/14013165602","14013165602")</f>
        <v>14013165602</v>
      </c>
      <c r="B765" t="s">
        <v>1745</v>
      </c>
      <c r="C765" t="s">
        <v>12</v>
      </c>
      <c r="D765" t="s">
        <v>1746</v>
      </c>
      <c r="E765" t="s">
        <v>14</v>
      </c>
      <c r="G765" t="s">
        <v>81</v>
      </c>
      <c r="H765" s="2">
        <v>44791</v>
      </c>
      <c r="I765" t="s">
        <v>167</v>
      </c>
      <c r="J765" t="s">
        <v>186</v>
      </c>
      <c r="L765" t="s">
        <v>147</v>
      </c>
      <c r="M765" t="s">
        <v>26</v>
      </c>
    </row>
    <row r="766" spans="1:13" x14ac:dyDescent="0.3">
      <c r="A766" t="str">
        <f>HYPERLINK("https://hsdes.intel.com/resource/14013165605","14013165605")</f>
        <v>14013165605</v>
      </c>
      <c r="B766" t="s">
        <v>1747</v>
      </c>
      <c r="C766" t="s">
        <v>12</v>
      </c>
      <c r="D766" t="s">
        <v>1748</v>
      </c>
      <c r="E766" t="s">
        <v>14</v>
      </c>
      <c r="F766" t="s">
        <v>1749</v>
      </c>
      <c r="G766" t="s">
        <v>31</v>
      </c>
      <c r="H766" s="2">
        <v>44797</v>
      </c>
      <c r="I766" t="s">
        <v>48</v>
      </c>
      <c r="J766" t="s">
        <v>271</v>
      </c>
      <c r="L766" t="s">
        <v>272</v>
      </c>
      <c r="M766" t="s">
        <v>19</v>
      </c>
    </row>
    <row r="767" spans="1:13" x14ac:dyDescent="0.3">
      <c r="A767" t="str">
        <f>HYPERLINK("https://hsdes.intel.com/resource/14013165719","14013165719")</f>
        <v>14013165719</v>
      </c>
      <c r="B767" t="s">
        <v>1750</v>
      </c>
      <c r="C767" t="s">
        <v>12</v>
      </c>
      <c r="D767" t="s">
        <v>1751</v>
      </c>
      <c r="E767" t="s">
        <v>14</v>
      </c>
      <c r="G767" t="s">
        <v>15</v>
      </c>
      <c r="H767" s="2">
        <v>44789</v>
      </c>
      <c r="I767" t="s">
        <v>48</v>
      </c>
      <c r="J767" t="s">
        <v>271</v>
      </c>
      <c r="L767" t="s">
        <v>272</v>
      </c>
      <c r="M767" t="s">
        <v>22</v>
      </c>
    </row>
    <row r="768" spans="1:13" x14ac:dyDescent="0.3">
      <c r="A768" t="str">
        <f>HYPERLINK("https://hsdes.intel.com/resource/14013165731","14013165731")</f>
        <v>14013165731</v>
      </c>
      <c r="B768" t="s">
        <v>1752</v>
      </c>
      <c r="C768" t="s">
        <v>12</v>
      </c>
      <c r="D768" t="s">
        <v>1753</v>
      </c>
      <c r="E768" t="s">
        <v>14</v>
      </c>
      <c r="F768" t="s">
        <v>1754</v>
      </c>
      <c r="G768" t="s">
        <v>57</v>
      </c>
      <c r="H768" s="2">
        <v>44799</v>
      </c>
      <c r="I768" t="s">
        <v>48</v>
      </c>
      <c r="J768" t="s">
        <v>271</v>
      </c>
      <c r="L768" t="s">
        <v>272</v>
      </c>
      <c r="M768" t="s">
        <v>22</v>
      </c>
    </row>
    <row r="769" spans="1:13" x14ac:dyDescent="0.3">
      <c r="A769" t="str">
        <f>HYPERLINK("https://hsdes.intel.com/resource/14013165744","14013165744")</f>
        <v>14013165744</v>
      </c>
      <c r="B769" t="s">
        <v>1755</v>
      </c>
      <c r="C769" t="s">
        <v>12</v>
      </c>
      <c r="D769" t="s">
        <v>1756</v>
      </c>
      <c r="E769" t="s">
        <v>97</v>
      </c>
      <c r="F769" s="16"/>
      <c r="G769" t="s">
        <v>31</v>
      </c>
      <c r="H769" s="2">
        <v>44802</v>
      </c>
      <c r="I769" t="s">
        <v>48</v>
      </c>
      <c r="J769" t="s">
        <v>271</v>
      </c>
      <c r="L769" t="s">
        <v>272</v>
      </c>
      <c r="M769" t="s">
        <v>22</v>
      </c>
    </row>
    <row r="770" spans="1:13" x14ac:dyDescent="0.3">
      <c r="A770" t="str">
        <f>HYPERLINK("https://hsdes.intel.com/resource/14013165750","14013165750")</f>
        <v>14013165750</v>
      </c>
      <c r="B770" t="s">
        <v>1757</v>
      </c>
      <c r="C770" t="s">
        <v>12</v>
      </c>
      <c r="D770" t="s">
        <v>1758</v>
      </c>
      <c r="E770" t="s">
        <v>14</v>
      </c>
      <c r="G770" t="s">
        <v>15</v>
      </c>
      <c r="H770" s="2">
        <v>44789</v>
      </c>
      <c r="I770" t="s">
        <v>48</v>
      </c>
      <c r="J770" t="s">
        <v>271</v>
      </c>
      <c r="L770" t="s">
        <v>272</v>
      </c>
      <c r="M770" t="s">
        <v>22</v>
      </c>
    </row>
    <row r="771" spans="1:13" x14ac:dyDescent="0.3">
      <c r="A771" t="str">
        <f>HYPERLINK("https://hsdes.intel.com/resource/14013165754","14013165754")</f>
        <v>14013165754</v>
      </c>
      <c r="B771" t="s">
        <v>1759</v>
      </c>
      <c r="C771" t="s">
        <v>12</v>
      </c>
      <c r="D771" t="s">
        <v>1760</v>
      </c>
      <c r="E771" t="s">
        <v>14</v>
      </c>
      <c r="F771" t="s">
        <v>1754</v>
      </c>
      <c r="G771" t="s">
        <v>57</v>
      </c>
      <c r="H771" s="2">
        <v>44799</v>
      </c>
      <c r="I771" t="s">
        <v>48</v>
      </c>
      <c r="J771" t="s">
        <v>271</v>
      </c>
      <c r="L771" t="s">
        <v>272</v>
      </c>
      <c r="M771" t="s">
        <v>22</v>
      </c>
    </row>
    <row r="772" spans="1:13" x14ac:dyDescent="0.3">
      <c r="A772" t="str">
        <f>HYPERLINK("https://hsdes.intel.com/resource/14013165756","14013165756")</f>
        <v>14013165756</v>
      </c>
      <c r="B772" t="s">
        <v>1761</v>
      </c>
      <c r="C772" t="s">
        <v>12</v>
      </c>
      <c r="D772" t="s">
        <v>1762</v>
      </c>
      <c r="E772" t="s">
        <v>14</v>
      </c>
      <c r="F772" t="s">
        <v>1763</v>
      </c>
      <c r="G772" t="s">
        <v>15</v>
      </c>
      <c r="H772" s="2">
        <v>44789</v>
      </c>
      <c r="I772" t="s">
        <v>48</v>
      </c>
      <c r="J772" t="s">
        <v>271</v>
      </c>
      <c r="L772" t="s">
        <v>272</v>
      </c>
      <c r="M772" t="s">
        <v>22</v>
      </c>
    </row>
    <row r="773" spans="1:13" x14ac:dyDescent="0.3">
      <c r="A773" t="str">
        <f>HYPERLINK("https://hsdes.intel.com/resource/14013165758","14013165758")</f>
        <v>14013165758</v>
      </c>
      <c r="B773" t="s">
        <v>1764</v>
      </c>
      <c r="C773" t="s">
        <v>12</v>
      </c>
      <c r="D773" t="s">
        <v>1765</v>
      </c>
      <c r="E773" t="s">
        <v>97</v>
      </c>
      <c r="F773" s="16"/>
      <c r="G773" t="s">
        <v>31</v>
      </c>
      <c r="H773" s="2">
        <v>44802</v>
      </c>
      <c r="I773" t="s">
        <v>48</v>
      </c>
      <c r="J773" t="s">
        <v>271</v>
      </c>
      <c r="L773" t="s">
        <v>272</v>
      </c>
      <c r="M773" t="s">
        <v>19</v>
      </c>
    </row>
    <row r="774" spans="1:13" x14ac:dyDescent="0.3">
      <c r="A774" t="str">
        <f>HYPERLINK("https://hsdes.intel.com/resource/14013165760","14013165760")</f>
        <v>14013165760</v>
      </c>
      <c r="B774" t="s">
        <v>1766</v>
      </c>
      <c r="C774" t="s">
        <v>12</v>
      </c>
      <c r="D774" t="s">
        <v>1767</v>
      </c>
      <c r="E774" t="s">
        <v>14</v>
      </c>
      <c r="G774" t="s">
        <v>57</v>
      </c>
      <c r="H774" s="2">
        <v>44799</v>
      </c>
      <c r="I774" t="s">
        <v>48</v>
      </c>
      <c r="J774" t="s">
        <v>271</v>
      </c>
      <c r="L774" t="s">
        <v>272</v>
      </c>
      <c r="M774" t="s">
        <v>22</v>
      </c>
    </row>
    <row r="775" spans="1:13" x14ac:dyDescent="0.3">
      <c r="A775" t="str">
        <f>HYPERLINK("https://hsdes.intel.com/resource/14013165764","14013165764")</f>
        <v>14013165764</v>
      </c>
      <c r="B775" t="s">
        <v>1768</v>
      </c>
      <c r="C775" t="s">
        <v>12</v>
      </c>
      <c r="D775" t="s">
        <v>1769</v>
      </c>
      <c r="E775" t="s">
        <v>14</v>
      </c>
      <c r="F775" t="s">
        <v>1770</v>
      </c>
      <c r="G775" t="s">
        <v>57</v>
      </c>
      <c r="H775" s="2">
        <v>44799</v>
      </c>
      <c r="I775" t="s">
        <v>48</v>
      </c>
      <c r="J775" t="s">
        <v>271</v>
      </c>
      <c r="L775" t="s">
        <v>272</v>
      </c>
      <c r="M775" t="s">
        <v>22</v>
      </c>
    </row>
    <row r="776" spans="1:13" x14ac:dyDescent="0.3">
      <c r="A776" t="str">
        <f>HYPERLINK("https://hsdes.intel.com/resource/14013165921","14013165921")</f>
        <v>14013165921</v>
      </c>
      <c r="B776" t="s">
        <v>1747</v>
      </c>
      <c r="C776" t="s">
        <v>12</v>
      </c>
      <c r="D776" t="s">
        <v>1771</v>
      </c>
      <c r="E776" t="s">
        <v>14</v>
      </c>
      <c r="G776" t="s">
        <v>31</v>
      </c>
      <c r="H776" s="2">
        <v>44797</v>
      </c>
      <c r="I776" t="s">
        <v>48</v>
      </c>
      <c r="J776" t="s">
        <v>271</v>
      </c>
      <c r="L776" t="s">
        <v>272</v>
      </c>
      <c r="M776" t="s">
        <v>19</v>
      </c>
    </row>
    <row r="777" spans="1:13" x14ac:dyDescent="0.3">
      <c r="A777" t="str">
        <f>HYPERLINK("https://hsdes.intel.com/resource/14013165924","14013165924")</f>
        <v>14013165924</v>
      </c>
      <c r="B777" t="s">
        <v>1772</v>
      </c>
      <c r="C777" t="s">
        <v>12</v>
      </c>
      <c r="D777" t="s">
        <v>1773</v>
      </c>
      <c r="E777" t="s">
        <v>14</v>
      </c>
      <c r="G777" t="s">
        <v>31</v>
      </c>
      <c r="H777" s="2">
        <v>44799</v>
      </c>
      <c r="I777" t="s">
        <v>32</v>
      </c>
      <c r="J777" t="s">
        <v>46</v>
      </c>
      <c r="L777" t="s">
        <v>177</v>
      </c>
      <c r="M777" t="s">
        <v>26</v>
      </c>
    </row>
    <row r="778" spans="1:13" x14ac:dyDescent="0.3">
      <c r="A778" t="str">
        <f>HYPERLINK("https://hsdes.intel.com/resource/14013165927","14013165927")</f>
        <v>14013165927</v>
      </c>
      <c r="B778" t="s">
        <v>1774</v>
      </c>
      <c r="C778" t="s">
        <v>12</v>
      </c>
      <c r="D778" t="s">
        <v>1775</v>
      </c>
      <c r="E778" t="s">
        <v>612</v>
      </c>
      <c r="F778" t="s">
        <v>1394</v>
      </c>
      <c r="G778" t="s">
        <v>57</v>
      </c>
      <c r="I778" t="s">
        <v>132</v>
      </c>
      <c r="J778" t="s">
        <v>614</v>
      </c>
      <c r="L778" t="s">
        <v>615</v>
      </c>
      <c r="M778" t="s">
        <v>26</v>
      </c>
    </row>
    <row r="779" spans="1:13" x14ac:dyDescent="0.3">
      <c r="A779" t="str">
        <f>HYPERLINK("https://hsdes.intel.com/resource/14013165985","14013165985")</f>
        <v>14013165985</v>
      </c>
      <c r="B779" t="s">
        <v>1776</v>
      </c>
      <c r="C779" t="s">
        <v>12</v>
      </c>
      <c r="D779" t="s">
        <v>1777</v>
      </c>
      <c r="E779" t="s">
        <v>14</v>
      </c>
      <c r="G779" t="s">
        <v>31</v>
      </c>
      <c r="H779" s="2">
        <v>44796</v>
      </c>
      <c r="I779" t="s">
        <v>48</v>
      </c>
      <c r="J779" t="s">
        <v>49</v>
      </c>
      <c r="L779" t="s">
        <v>50</v>
      </c>
      <c r="M779" t="s">
        <v>26</v>
      </c>
    </row>
    <row r="780" spans="1:13" x14ac:dyDescent="0.3">
      <c r="A780" t="str">
        <f>HYPERLINK("https://hsdes.intel.com/resource/14013166044","14013166044")</f>
        <v>14013166044</v>
      </c>
      <c r="B780" t="s">
        <v>1778</v>
      </c>
      <c r="C780" t="s">
        <v>12</v>
      </c>
      <c r="D780" t="s">
        <v>1779</v>
      </c>
      <c r="E780" t="s">
        <v>120</v>
      </c>
      <c r="F780" t="s">
        <v>1780</v>
      </c>
      <c r="G780" t="s">
        <v>81</v>
      </c>
      <c r="I780" t="s">
        <v>38</v>
      </c>
      <c r="J780" t="s">
        <v>1781</v>
      </c>
      <c r="L780" t="s">
        <v>1782</v>
      </c>
      <c r="M780" t="s">
        <v>26</v>
      </c>
    </row>
    <row r="781" spans="1:13" x14ac:dyDescent="0.3">
      <c r="A781" t="str">
        <f>HYPERLINK("https://hsdes.intel.com/resource/14013166087","14013166087")</f>
        <v>14013166087</v>
      </c>
      <c r="B781" t="s">
        <v>1783</v>
      </c>
      <c r="C781" t="s">
        <v>12</v>
      </c>
      <c r="D781" t="s">
        <v>1784</v>
      </c>
      <c r="E781" t="s">
        <v>120</v>
      </c>
      <c r="F781" t="s">
        <v>1780</v>
      </c>
      <c r="G781" t="s">
        <v>81</v>
      </c>
      <c r="I781" t="s">
        <v>38</v>
      </c>
      <c r="J781" t="s">
        <v>1781</v>
      </c>
      <c r="L781" t="s">
        <v>1782</v>
      </c>
      <c r="M781" t="s">
        <v>26</v>
      </c>
    </row>
    <row r="782" spans="1:13" x14ac:dyDescent="0.3">
      <c r="A782" t="str">
        <f>HYPERLINK("https://hsdes.intel.com/resource/14013166219","14013166219")</f>
        <v>14013166219</v>
      </c>
      <c r="B782" t="s">
        <v>1785</v>
      </c>
      <c r="C782" t="s">
        <v>12</v>
      </c>
      <c r="D782" t="s">
        <v>1786</v>
      </c>
      <c r="E782" t="s">
        <v>120</v>
      </c>
      <c r="F782" t="s">
        <v>1780</v>
      </c>
      <c r="G782" t="s">
        <v>81</v>
      </c>
      <c r="I782" t="s">
        <v>38</v>
      </c>
      <c r="J782" t="s">
        <v>1781</v>
      </c>
      <c r="L782" t="s">
        <v>1782</v>
      </c>
      <c r="M782" t="s">
        <v>26</v>
      </c>
    </row>
    <row r="783" spans="1:13" x14ac:dyDescent="0.3">
      <c r="A783" t="str">
        <f>HYPERLINK("https://hsdes.intel.com/resource/14013166261","14013166261")</f>
        <v>14013166261</v>
      </c>
      <c r="B783" t="s">
        <v>1787</v>
      </c>
      <c r="C783" t="s">
        <v>12</v>
      </c>
      <c r="D783" t="s">
        <v>1788</v>
      </c>
      <c r="E783" t="s">
        <v>14</v>
      </c>
      <c r="G783" t="s">
        <v>57</v>
      </c>
      <c r="H783" s="2">
        <v>44799</v>
      </c>
      <c r="I783" t="s">
        <v>167</v>
      </c>
      <c r="J783" t="s">
        <v>186</v>
      </c>
      <c r="L783" t="s">
        <v>147</v>
      </c>
      <c r="M783" t="s">
        <v>22</v>
      </c>
    </row>
    <row r="784" spans="1:13" x14ac:dyDescent="0.3">
      <c r="A784" t="str">
        <f>HYPERLINK("https://hsdes.intel.com/resource/14013166315","14013166315")</f>
        <v>14013166315</v>
      </c>
      <c r="B784" t="s">
        <v>1789</v>
      </c>
      <c r="C784" t="s">
        <v>12</v>
      </c>
      <c r="D784" t="s">
        <v>1790</v>
      </c>
      <c r="E784" t="s">
        <v>120</v>
      </c>
      <c r="F784" t="s">
        <v>1780</v>
      </c>
      <c r="G784" t="s">
        <v>81</v>
      </c>
      <c r="I784" t="s">
        <v>38</v>
      </c>
      <c r="J784" t="s">
        <v>1781</v>
      </c>
      <c r="L784" t="s">
        <v>1782</v>
      </c>
      <c r="M784" t="s">
        <v>26</v>
      </c>
    </row>
    <row r="785" spans="1:13" x14ac:dyDescent="0.3">
      <c r="A785" t="str">
        <f>HYPERLINK("https://hsdes.intel.com/resource/14013166440","14013166440")</f>
        <v>14013166440</v>
      </c>
      <c r="B785" t="s">
        <v>1791</v>
      </c>
      <c r="C785" t="s">
        <v>12</v>
      </c>
      <c r="D785" t="s">
        <v>1792</v>
      </c>
      <c r="E785" t="s">
        <v>120</v>
      </c>
      <c r="F785" t="s">
        <v>1780</v>
      </c>
      <c r="G785" t="s">
        <v>81</v>
      </c>
      <c r="I785" t="s">
        <v>38</v>
      </c>
      <c r="J785" t="s">
        <v>1781</v>
      </c>
      <c r="L785" t="s">
        <v>1782</v>
      </c>
      <c r="M785" t="s">
        <v>26</v>
      </c>
    </row>
    <row r="786" spans="1:13" x14ac:dyDescent="0.3">
      <c r="A786" t="str">
        <f>HYPERLINK("https://hsdes.intel.com/resource/14013166665","14013166665")</f>
        <v>14013166665</v>
      </c>
      <c r="B786" t="s">
        <v>1793</v>
      </c>
      <c r="C786" t="s">
        <v>12</v>
      </c>
      <c r="D786" t="s">
        <v>1794</v>
      </c>
      <c r="E786" t="s">
        <v>14</v>
      </c>
      <c r="G786" t="s">
        <v>57</v>
      </c>
      <c r="H786" s="2">
        <v>44790</v>
      </c>
      <c r="I786" t="s">
        <v>38</v>
      </c>
      <c r="J786" t="s">
        <v>77</v>
      </c>
      <c r="L786" t="s">
        <v>78</v>
      </c>
      <c r="M786" t="s">
        <v>26</v>
      </c>
    </row>
    <row r="787" spans="1:13" x14ac:dyDescent="0.3">
      <c r="A787" t="str">
        <f>HYPERLINK("https://hsdes.intel.com/resource/14013166714","14013166714")</f>
        <v>14013166714</v>
      </c>
      <c r="B787" t="s">
        <v>1795</v>
      </c>
      <c r="C787" t="s">
        <v>12</v>
      </c>
      <c r="D787" t="s">
        <v>1796</v>
      </c>
      <c r="E787" t="s">
        <v>120</v>
      </c>
      <c r="F787" t="s">
        <v>1780</v>
      </c>
      <c r="G787" t="s">
        <v>81</v>
      </c>
      <c r="I787" t="s">
        <v>38</v>
      </c>
      <c r="J787" t="s">
        <v>1781</v>
      </c>
      <c r="L787" t="s">
        <v>1782</v>
      </c>
      <c r="M787" t="s">
        <v>26</v>
      </c>
    </row>
    <row r="788" spans="1:13" x14ac:dyDescent="0.3">
      <c r="A788" t="str">
        <f>HYPERLINK("https://hsdes.intel.com/resource/14013166736","14013166736")</f>
        <v>14013166736</v>
      </c>
      <c r="B788" t="s">
        <v>1797</v>
      </c>
      <c r="C788" t="s">
        <v>12</v>
      </c>
      <c r="D788" t="s">
        <v>1798</v>
      </c>
      <c r="E788" t="s">
        <v>120</v>
      </c>
      <c r="F788" t="s">
        <v>1780</v>
      </c>
      <c r="G788" t="s">
        <v>81</v>
      </c>
      <c r="I788" t="s">
        <v>38</v>
      </c>
      <c r="J788" t="s">
        <v>1781</v>
      </c>
      <c r="L788" t="s">
        <v>1782</v>
      </c>
      <c r="M788" t="s">
        <v>26</v>
      </c>
    </row>
    <row r="789" spans="1:13" x14ac:dyDescent="0.3">
      <c r="A789" t="str">
        <f>HYPERLINK("https://hsdes.intel.com/resource/14013166741","14013166741")</f>
        <v>14013166741</v>
      </c>
      <c r="B789" t="s">
        <v>1799</v>
      </c>
      <c r="C789" t="s">
        <v>12</v>
      </c>
      <c r="D789" t="s">
        <v>1800</v>
      </c>
      <c r="E789" t="s">
        <v>120</v>
      </c>
      <c r="F789" t="s">
        <v>1780</v>
      </c>
      <c r="G789" t="s">
        <v>81</v>
      </c>
      <c r="I789" t="s">
        <v>38</v>
      </c>
      <c r="J789" t="s">
        <v>1781</v>
      </c>
      <c r="L789" t="s">
        <v>1782</v>
      </c>
      <c r="M789" t="s">
        <v>26</v>
      </c>
    </row>
    <row r="790" spans="1:13" x14ac:dyDescent="0.3">
      <c r="A790" t="str">
        <f>HYPERLINK("https://hsdes.intel.com/resource/14013166744","14013166744")</f>
        <v>14013166744</v>
      </c>
      <c r="B790" t="s">
        <v>1801</v>
      </c>
      <c r="C790" t="s">
        <v>12</v>
      </c>
      <c r="D790" t="s">
        <v>1802</v>
      </c>
      <c r="E790" t="s">
        <v>120</v>
      </c>
      <c r="F790" t="s">
        <v>1780</v>
      </c>
      <c r="G790" t="s">
        <v>81</v>
      </c>
      <c r="I790" t="s">
        <v>38</v>
      </c>
      <c r="J790" t="s">
        <v>1781</v>
      </c>
      <c r="L790" t="s">
        <v>1782</v>
      </c>
      <c r="M790" t="s">
        <v>26</v>
      </c>
    </row>
    <row r="791" spans="1:13" x14ac:dyDescent="0.3">
      <c r="A791" t="str">
        <f>HYPERLINK("https://hsdes.intel.com/resource/14013166925","14013166925")</f>
        <v>14013166925</v>
      </c>
      <c r="B791" t="s">
        <v>1803</v>
      </c>
      <c r="C791" t="s">
        <v>12</v>
      </c>
      <c r="D791" t="s">
        <v>1804</v>
      </c>
      <c r="E791" t="s">
        <v>14</v>
      </c>
      <c r="F791" t="s">
        <v>1805</v>
      </c>
      <c r="G791" t="s">
        <v>86</v>
      </c>
      <c r="H791" s="2">
        <v>44802</v>
      </c>
      <c r="I791" t="s">
        <v>48</v>
      </c>
      <c r="J791" t="s">
        <v>49</v>
      </c>
      <c r="L791" t="s">
        <v>50</v>
      </c>
      <c r="M791" t="s">
        <v>22</v>
      </c>
    </row>
    <row r="792" spans="1:13" x14ac:dyDescent="0.3">
      <c r="A792" t="str">
        <f>HYPERLINK("https://hsdes.intel.com/resource/14013166930","14013166930")</f>
        <v>14013166930</v>
      </c>
      <c r="B792" t="s">
        <v>1806</v>
      </c>
      <c r="C792" t="s">
        <v>12</v>
      </c>
      <c r="D792" t="s">
        <v>1807</v>
      </c>
      <c r="E792" t="s">
        <v>14</v>
      </c>
      <c r="F792" t="s">
        <v>46</v>
      </c>
      <c r="G792" t="s">
        <v>111</v>
      </c>
      <c r="H792" s="2">
        <v>44799</v>
      </c>
      <c r="I792" t="s">
        <v>48</v>
      </c>
      <c r="J792" t="s">
        <v>49</v>
      </c>
      <c r="L792" t="s">
        <v>50</v>
      </c>
      <c r="M792" t="s">
        <v>26</v>
      </c>
    </row>
    <row r="793" spans="1:13" x14ac:dyDescent="0.3">
      <c r="A793" t="str">
        <f>HYPERLINK("https://hsdes.intel.com/resource/14013166939","14013166939")</f>
        <v>14013166939</v>
      </c>
      <c r="B793" t="s">
        <v>1808</v>
      </c>
      <c r="C793" t="s">
        <v>12</v>
      </c>
      <c r="D793" t="s">
        <v>1809</v>
      </c>
      <c r="E793" t="s">
        <v>97</v>
      </c>
      <c r="F793" t="s">
        <v>1810</v>
      </c>
      <c r="G793" t="s">
        <v>72</v>
      </c>
      <c r="H793" s="2">
        <v>44801</v>
      </c>
      <c r="I793" t="s">
        <v>48</v>
      </c>
      <c r="J793" t="s">
        <v>49</v>
      </c>
      <c r="L793" t="s">
        <v>50</v>
      </c>
      <c r="M793" t="s">
        <v>26</v>
      </c>
    </row>
    <row r="794" spans="1:13" x14ac:dyDescent="0.3">
      <c r="A794" t="str">
        <f>HYPERLINK("https://hsdes.intel.com/resource/14013166943","14013166943")</f>
        <v>14013166943</v>
      </c>
      <c r="B794" t="s">
        <v>1811</v>
      </c>
      <c r="C794" t="s">
        <v>12</v>
      </c>
      <c r="D794" t="s">
        <v>1812</v>
      </c>
      <c r="E794" t="s">
        <v>120</v>
      </c>
      <c r="F794" t="s">
        <v>1813</v>
      </c>
      <c r="G794" t="s">
        <v>111</v>
      </c>
      <c r="H794" s="2">
        <v>44799</v>
      </c>
      <c r="I794" t="s">
        <v>48</v>
      </c>
      <c r="J794" t="s">
        <v>49</v>
      </c>
      <c r="L794" t="s">
        <v>50</v>
      </c>
      <c r="M794" t="s">
        <v>26</v>
      </c>
    </row>
    <row r="795" spans="1:13" x14ac:dyDescent="0.3">
      <c r="A795" t="str">
        <f>HYPERLINK("https://hsdes.intel.com/resource/14013166951","14013166951")</f>
        <v>14013166951</v>
      </c>
      <c r="B795" t="s">
        <v>1814</v>
      </c>
      <c r="C795" t="s">
        <v>12</v>
      </c>
      <c r="D795" t="s">
        <v>1815</v>
      </c>
      <c r="E795" t="s">
        <v>14</v>
      </c>
      <c r="F795" t="s">
        <v>1816</v>
      </c>
      <c r="G795" t="s">
        <v>1817</v>
      </c>
      <c r="H795" s="2">
        <v>44802</v>
      </c>
      <c r="I795" t="s">
        <v>32</v>
      </c>
      <c r="J795" t="s">
        <v>82</v>
      </c>
      <c r="L795" t="s">
        <v>50</v>
      </c>
      <c r="M795" t="s">
        <v>26</v>
      </c>
    </row>
    <row r="796" spans="1:13" x14ac:dyDescent="0.3">
      <c r="A796" t="str">
        <f>HYPERLINK("https://hsdes.intel.com/resource/14013166957","14013166957")</f>
        <v>14013166957</v>
      </c>
      <c r="B796" t="s">
        <v>1818</v>
      </c>
      <c r="C796" t="s">
        <v>12</v>
      </c>
      <c r="D796" t="s">
        <v>1819</v>
      </c>
      <c r="E796" t="s">
        <v>14</v>
      </c>
      <c r="F796" t="s">
        <v>46</v>
      </c>
      <c r="G796" t="s">
        <v>111</v>
      </c>
      <c r="H796" s="2">
        <v>44799</v>
      </c>
      <c r="I796" t="s">
        <v>48</v>
      </c>
      <c r="J796" t="s">
        <v>49</v>
      </c>
      <c r="L796" t="s">
        <v>50</v>
      </c>
      <c r="M796" t="s">
        <v>22</v>
      </c>
    </row>
    <row r="797" spans="1:13" x14ac:dyDescent="0.3">
      <c r="A797" t="str">
        <f>HYPERLINK("https://hsdes.intel.com/resource/14013166966","14013166966")</f>
        <v>14013166966</v>
      </c>
      <c r="B797" t="s">
        <v>1820</v>
      </c>
      <c r="C797" t="s">
        <v>12</v>
      </c>
      <c r="D797" t="s">
        <v>1821</v>
      </c>
      <c r="E797" t="s">
        <v>14</v>
      </c>
      <c r="F797" t="s">
        <v>1822</v>
      </c>
      <c r="G797" t="s">
        <v>111</v>
      </c>
      <c r="H797" s="2">
        <v>44799</v>
      </c>
      <c r="I797" t="s">
        <v>48</v>
      </c>
      <c r="J797" t="s">
        <v>49</v>
      </c>
      <c r="L797" t="s">
        <v>50</v>
      </c>
      <c r="M797" t="s">
        <v>26</v>
      </c>
    </row>
    <row r="798" spans="1:13" x14ac:dyDescent="0.3">
      <c r="A798" t="str">
        <f>HYPERLINK("https://hsdes.intel.com/resource/14013166973","14013166973")</f>
        <v>14013166973</v>
      </c>
      <c r="B798" t="s">
        <v>1823</v>
      </c>
      <c r="C798" t="s">
        <v>12</v>
      </c>
      <c r="D798" t="s">
        <v>1824</v>
      </c>
      <c r="E798" t="s">
        <v>120</v>
      </c>
      <c r="F798" t="s">
        <v>46</v>
      </c>
      <c r="G798" t="s">
        <v>111</v>
      </c>
      <c r="H798" s="2">
        <v>44802</v>
      </c>
      <c r="I798" t="s">
        <v>48</v>
      </c>
      <c r="J798" t="s">
        <v>49</v>
      </c>
      <c r="L798" t="s">
        <v>50</v>
      </c>
      <c r="M798" t="s">
        <v>26</v>
      </c>
    </row>
    <row r="799" spans="1:13" x14ac:dyDescent="0.3">
      <c r="A799" t="str">
        <f>HYPERLINK("https://hsdes.intel.com/resource/14013166980","14013166980")</f>
        <v>14013166980</v>
      </c>
      <c r="B799" t="s">
        <v>1825</v>
      </c>
      <c r="C799" t="s">
        <v>12</v>
      </c>
      <c r="D799" t="s">
        <v>1826</v>
      </c>
      <c r="E799" t="s">
        <v>14</v>
      </c>
      <c r="G799" t="s">
        <v>31</v>
      </c>
      <c r="H799" s="2">
        <v>44796</v>
      </c>
      <c r="I799" t="s">
        <v>48</v>
      </c>
      <c r="J799" t="s">
        <v>49</v>
      </c>
      <c r="L799" t="s">
        <v>50</v>
      </c>
      <c r="M799" t="s">
        <v>26</v>
      </c>
    </row>
    <row r="800" spans="1:13" x14ac:dyDescent="0.3">
      <c r="A800" t="str">
        <f>HYPERLINK("https://hsdes.intel.com/resource/14013166986","14013166986")</f>
        <v>14013166986</v>
      </c>
      <c r="B800" t="s">
        <v>1827</v>
      </c>
      <c r="C800" t="s">
        <v>12</v>
      </c>
      <c r="D800" t="s">
        <v>1828</v>
      </c>
      <c r="E800" t="s">
        <v>14</v>
      </c>
      <c r="F800" t="s">
        <v>160</v>
      </c>
      <c r="G800" t="s">
        <v>81</v>
      </c>
      <c r="H800" s="2">
        <v>44802</v>
      </c>
      <c r="I800" t="s">
        <v>48</v>
      </c>
      <c r="J800" t="s">
        <v>49</v>
      </c>
      <c r="L800" t="s">
        <v>50</v>
      </c>
      <c r="M800" t="s">
        <v>26</v>
      </c>
    </row>
    <row r="801" spans="1:13" x14ac:dyDescent="0.3">
      <c r="A801" t="str">
        <f>HYPERLINK("https://hsdes.intel.com/resource/14013166995","14013166995")</f>
        <v>14013166995</v>
      </c>
      <c r="B801" t="s">
        <v>1829</v>
      </c>
      <c r="C801" t="s">
        <v>12</v>
      </c>
      <c r="D801" t="s">
        <v>1830</v>
      </c>
      <c r="E801" t="s">
        <v>14</v>
      </c>
      <c r="G801" t="s">
        <v>31</v>
      </c>
      <c r="H801" s="2">
        <v>44796</v>
      </c>
      <c r="I801" t="s">
        <v>48</v>
      </c>
      <c r="J801" t="s">
        <v>49</v>
      </c>
      <c r="L801" t="s">
        <v>50</v>
      </c>
      <c r="M801" t="s">
        <v>26</v>
      </c>
    </row>
    <row r="802" spans="1:13" x14ac:dyDescent="0.3">
      <c r="A802" t="str">
        <f>HYPERLINK("https://hsdes.intel.com/resource/14013167008","14013167008")</f>
        <v>14013167008</v>
      </c>
      <c r="B802" t="s">
        <v>1831</v>
      </c>
      <c r="C802" t="s">
        <v>12</v>
      </c>
      <c r="D802" t="s">
        <v>1832</v>
      </c>
      <c r="E802" t="s">
        <v>14</v>
      </c>
      <c r="F802" t="s">
        <v>1833</v>
      </c>
      <c r="G802" t="s">
        <v>1817</v>
      </c>
      <c r="H802" s="2">
        <v>44802</v>
      </c>
      <c r="I802" t="s">
        <v>48</v>
      </c>
      <c r="J802" t="s">
        <v>49</v>
      </c>
      <c r="L802" t="s">
        <v>50</v>
      </c>
      <c r="M802" t="s">
        <v>22</v>
      </c>
    </row>
    <row r="803" spans="1:13" x14ac:dyDescent="0.3">
      <c r="A803" t="str">
        <f>HYPERLINK("https://hsdes.intel.com/resource/14013167011","14013167011")</f>
        <v>14013167011</v>
      </c>
      <c r="B803" t="s">
        <v>1834</v>
      </c>
      <c r="C803" t="s">
        <v>12</v>
      </c>
      <c r="D803" t="s">
        <v>1835</v>
      </c>
      <c r="E803" t="s">
        <v>14</v>
      </c>
      <c r="G803" t="s">
        <v>31</v>
      </c>
      <c r="H803" s="2">
        <v>44797</v>
      </c>
      <c r="I803" t="s">
        <v>48</v>
      </c>
      <c r="J803" t="s">
        <v>49</v>
      </c>
      <c r="L803" t="s">
        <v>50</v>
      </c>
      <c r="M803" t="s">
        <v>26</v>
      </c>
    </row>
    <row r="804" spans="1:13" x14ac:dyDescent="0.3">
      <c r="A804" t="str">
        <f>HYPERLINK("https://hsdes.intel.com/resource/14013167043","14013167043")</f>
        <v>14013167043</v>
      </c>
      <c r="B804" t="s">
        <v>1836</v>
      </c>
      <c r="C804" t="s">
        <v>12</v>
      </c>
      <c r="D804" t="s">
        <v>1837</v>
      </c>
      <c r="E804" t="s">
        <v>14</v>
      </c>
      <c r="F804" t="s">
        <v>46</v>
      </c>
      <c r="G804" t="s">
        <v>111</v>
      </c>
      <c r="H804" s="2">
        <v>44799</v>
      </c>
      <c r="I804" t="s">
        <v>48</v>
      </c>
      <c r="J804" t="s">
        <v>49</v>
      </c>
      <c r="L804" t="s">
        <v>50</v>
      </c>
      <c r="M804" t="s">
        <v>26</v>
      </c>
    </row>
    <row r="805" spans="1:13" x14ac:dyDescent="0.3">
      <c r="A805" t="str">
        <f>HYPERLINK("https://hsdes.intel.com/resource/14013167052","14013167052")</f>
        <v>14013167052</v>
      </c>
      <c r="B805" t="s">
        <v>1838</v>
      </c>
      <c r="C805" t="s">
        <v>12</v>
      </c>
      <c r="D805" t="s">
        <v>1839</v>
      </c>
      <c r="E805" t="s">
        <v>120</v>
      </c>
      <c r="F805" t="s">
        <v>1840</v>
      </c>
      <c r="G805" t="s">
        <v>31</v>
      </c>
      <c r="H805" s="2">
        <v>44797</v>
      </c>
      <c r="I805" t="s">
        <v>48</v>
      </c>
      <c r="J805" t="s">
        <v>49</v>
      </c>
      <c r="L805" t="s">
        <v>50</v>
      </c>
      <c r="M805" t="s">
        <v>26</v>
      </c>
    </row>
    <row r="806" spans="1:13" x14ac:dyDescent="0.3">
      <c r="A806" t="str">
        <f>HYPERLINK("https://hsdes.intel.com/resource/14013167054","14013167054")</f>
        <v>14013167054</v>
      </c>
      <c r="B806" t="s">
        <v>1841</v>
      </c>
      <c r="C806" t="s">
        <v>12</v>
      </c>
      <c r="D806" t="s">
        <v>1842</v>
      </c>
      <c r="E806" t="s">
        <v>14</v>
      </c>
      <c r="F806" t="s">
        <v>1843</v>
      </c>
      <c r="G806" t="s">
        <v>31</v>
      </c>
      <c r="H806" s="2">
        <v>44797</v>
      </c>
      <c r="I806" t="s">
        <v>48</v>
      </c>
      <c r="J806" t="s">
        <v>49</v>
      </c>
      <c r="L806" t="s">
        <v>50</v>
      </c>
      <c r="M806" t="s">
        <v>22</v>
      </c>
    </row>
    <row r="807" spans="1:13" x14ac:dyDescent="0.3">
      <c r="A807" t="str">
        <f>HYPERLINK("https://hsdes.intel.com/resource/14013167061","14013167061")</f>
        <v>14013167061</v>
      </c>
      <c r="B807" t="s">
        <v>1844</v>
      </c>
      <c r="C807" t="s">
        <v>12</v>
      </c>
      <c r="D807" t="s">
        <v>1845</v>
      </c>
      <c r="E807" t="s">
        <v>14</v>
      </c>
      <c r="F807" t="s">
        <v>46</v>
      </c>
      <c r="G807" t="s">
        <v>47</v>
      </c>
      <c r="H807" s="2">
        <v>44802</v>
      </c>
      <c r="I807" t="s">
        <v>48</v>
      </c>
      <c r="J807" t="s">
        <v>49</v>
      </c>
      <c r="L807" t="s">
        <v>50</v>
      </c>
      <c r="M807" t="s">
        <v>26</v>
      </c>
    </row>
    <row r="808" spans="1:13" x14ac:dyDescent="0.3">
      <c r="A808" t="str">
        <f>HYPERLINK("https://hsdes.intel.com/resource/14013167069","14013167069")</f>
        <v>14013167069</v>
      </c>
      <c r="B808" t="s">
        <v>1846</v>
      </c>
      <c r="C808" t="s">
        <v>12</v>
      </c>
      <c r="D808" t="s">
        <v>1847</v>
      </c>
      <c r="E808" t="s">
        <v>14</v>
      </c>
      <c r="G808" t="s">
        <v>72</v>
      </c>
      <c r="H808" s="2">
        <v>44802</v>
      </c>
      <c r="I808" t="s">
        <v>48</v>
      </c>
      <c r="J808" t="s">
        <v>49</v>
      </c>
      <c r="L808" t="s">
        <v>50</v>
      </c>
      <c r="M808" t="s">
        <v>26</v>
      </c>
    </row>
    <row r="809" spans="1:13" x14ac:dyDescent="0.3">
      <c r="A809" t="str">
        <f>HYPERLINK("https://hsdes.intel.com/resource/14013167252","14013167252")</f>
        <v>14013167252</v>
      </c>
      <c r="B809" t="s">
        <v>1848</v>
      </c>
      <c r="C809" t="s">
        <v>12</v>
      </c>
      <c r="D809" t="s">
        <v>1849</v>
      </c>
      <c r="E809" t="s">
        <v>14</v>
      </c>
      <c r="G809" t="s">
        <v>72</v>
      </c>
      <c r="H809" s="2">
        <v>44800</v>
      </c>
      <c r="I809" t="s">
        <v>48</v>
      </c>
      <c r="J809" t="s">
        <v>49</v>
      </c>
      <c r="L809" t="s">
        <v>50</v>
      </c>
      <c r="M809" t="s">
        <v>26</v>
      </c>
    </row>
    <row r="810" spans="1:13" x14ac:dyDescent="0.3">
      <c r="A810" t="str">
        <f>HYPERLINK("https://hsdes.intel.com/resource/14013167326","14013167326")</f>
        <v>14013167326</v>
      </c>
      <c r="B810" t="s">
        <v>1850</v>
      </c>
      <c r="C810" t="s">
        <v>12</v>
      </c>
      <c r="D810" t="s">
        <v>1851</v>
      </c>
      <c r="E810" t="s">
        <v>14</v>
      </c>
      <c r="G810" t="s">
        <v>31</v>
      </c>
      <c r="H810" s="2">
        <v>44796</v>
      </c>
      <c r="I810" t="s">
        <v>48</v>
      </c>
      <c r="J810" t="s">
        <v>49</v>
      </c>
      <c r="L810" t="s">
        <v>50</v>
      </c>
      <c r="M810" t="s">
        <v>19</v>
      </c>
    </row>
    <row r="811" spans="1:13" x14ac:dyDescent="0.3">
      <c r="A811" t="str">
        <f>HYPERLINK("https://hsdes.intel.com/resource/14013167336","14013167336")</f>
        <v>14013167336</v>
      </c>
      <c r="B811" t="s">
        <v>1852</v>
      </c>
      <c r="C811" t="s">
        <v>12</v>
      </c>
      <c r="D811" t="s">
        <v>1853</v>
      </c>
      <c r="E811" t="s">
        <v>14</v>
      </c>
      <c r="G811" t="s">
        <v>31</v>
      </c>
      <c r="H811" s="2">
        <v>44796</v>
      </c>
      <c r="I811" t="s">
        <v>48</v>
      </c>
      <c r="J811" t="s">
        <v>49</v>
      </c>
      <c r="L811" t="s">
        <v>50</v>
      </c>
      <c r="M811" t="s">
        <v>19</v>
      </c>
    </row>
    <row r="812" spans="1:13" x14ac:dyDescent="0.3">
      <c r="A812" t="str">
        <f>HYPERLINK("https://hsdes.intel.com/resource/14013167355","14013167355")</f>
        <v>14013167355</v>
      </c>
      <c r="B812" t="s">
        <v>1854</v>
      </c>
      <c r="C812" t="s">
        <v>12</v>
      </c>
      <c r="D812" t="s">
        <v>1855</v>
      </c>
      <c r="E812" t="s">
        <v>14</v>
      </c>
      <c r="G812" t="s">
        <v>31</v>
      </c>
      <c r="H812" s="2">
        <v>44796</v>
      </c>
      <c r="I812" t="s">
        <v>48</v>
      </c>
      <c r="J812" t="s">
        <v>49</v>
      </c>
      <c r="L812" t="s">
        <v>50</v>
      </c>
      <c r="M812" t="s">
        <v>19</v>
      </c>
    </row>
    <row r="813" spans="1:13" x14ac:dyDescent="0.3">
      <c r="A813" t="str">
        <f>HYPERLINK("https://hsdes.intel.com/resource/14013167380","14013167380")</f>
        <v>14013167380</v>
      </c>
      <c r="B813" t="s">
        <v>1856</v>
      </c>
      <c r="C813" t="s">
        <v>12</v>
      </c>
      <c r="D813" t="s">
        <v>1857</v>
      </c>
      <c r="E813" t="s">
        <v>14</v>
      </c>
      <c r="G813" t="s">
        <v>31</v>
      </c>
      <c r="H813" s="2">
        <v>44796</v>
      </c>
      <c r="I813" t="s">
        <v>48</v>
      </c>
      <c r="J813" t="s">
        <v>49</v>
      </c>
      <c r="L813" t="s">
        <v>50</v>
      </c>
      <c r="M813" t="s">
        <v>19</v>
      </c>
    </row>
    <row r="814" spans="1:13" x14ac:dyDescent="0.3">
      <c r="A814" t="str">
        <f>HYPERLINK("https://hsdes.intel.com/resource/14013167401","14013167401")</f>
        <v>14013167401</v>
      </c>
      <c r="B814" t="s">
        <v>1858</v>
      </c>
      <c r="C814" t="s">
        <v>12</v>
      </c>
      <c r="D814" t="s">
        <v>1859</v>
      </c>
      <c r="E814" t="s">
        <v>14</v>
      </c>
      <c r="G814" t="s">
        <v>31</v>
      </c>
      <c r="H814" s="2">
        <v>44796</v>
      </c>
      <c r="I814" t="s">
        <v>48</v>
      </c>
      <c r="J814" t="s">
        <v>49</v>
      </c>
      <c r="L814" t="s">
        <v>50</v>
      </c>
      <c r="M814" t="s">
        <v>22</v>
      </c>
    </row>
    <row r="815" spans="1:13" x14ac:dyDescent="0.3">
      <c r="A815" t="str">
        <f>HYPERLINK("https://hsdes.intel.com/resource/14013167451","14013167451")</f>
        <v>14013167451</v>
      </c>
      <c r="B815" t="s">
        <v>1860</v>
      </c>
      <c r="C815" t="s">
        <v>12</v>
      </c>
      <c r="D815" t="s">
        <v>1861</v>
      </c>
      <c r="E815" t="s">
        <v>14</v>
      </c>
      <c r="G815" t="s">
        <v>31</v>
      </c>
      <c r="H815" s="2">
        <v>44796</v>
      </c>
      <c r="I815" t="s">
        <v>48</v>
      </c>
      <c r="J815" t="s">
        <v>49</v>
      </c>
      <c r="L815" t="s">
        <v>50</v>
      </c>
      <c r="M815" t="s">
        <v>19</v>
      </c>
    </row>
    <row r="816" spans="1:13" x14ac:dyDescent="0.3">
      <c r="A816" t="str">
        <f>HYPERLINK("https://hsdes.intel.com/resource/14013167486","14013167486")</f>
        <v>14013167486</v>
      </c>
      <c r="B816" t="s">
        <v>1862</v>
      </c>
      <c r="C816" t="s">
        <v>12</v>
      </c>
      <c r="D816" t="s">
        <v>1863</v>
      </c>
      <c r="E816" t="s">
        <v>14</v>
      </c>
      <c r="G816" t="s">
        <v>31</v>
      </c>
      <c r="H816" s="2">
        <v>44796</v>
      </c>
      <c r="I816" t="s">
        <v>48</v>
      </c>
      <c r="J816" t="s">
        <v>49</v>
      </c>
      <c r="L816" t="s">
        <v>50</v>
      </c>
      <c r="M816" t="s">
        <v>22</v>
      </c>
    </row>
    <row r="817" spans="1:13" x14ac:dyDescent="0.3">
      <c r="A817" t="str">
        <f>HYPERLINK("https://hsdes.intel.com/resource/14013167520","14013167520")</f>
        <v>14013167520</v>
      </c>
      <c r="B817" t="s">
        <v>1864</v>
      </c>
      <c r="C817" t="s">
        <v>12</v>
      </c>
      <c r="D817" t="s">
        <v>1865</v>
      </c>
      <c r="E817" t="s">
        <v>14</v>
      </c>
      <c r="G817" t="s">
        <v>31</v>
      </c>
      <c r="H817" s="2">
        <v>44796</v>
      </c>
      <c r="I817" t="s">
        <v>48</v>
      </c>
      <c r="J817" t="s">
        <v>49</v>
      </c>
      <c r="L817" t="s">
        <v>50</v>
      </c>
      <c r="M817" t="s">
        <v>22</v>
      </c>
    </row>
    <row r="818" spans="1:13" x14ac:dyDescent="0.3">
      <c r="A818" t="str">
        <f>HYPERLINK("https://hsdes.intel.com/resource/14013167540","14013167540")</f>
        <v>14013167540</v>
      </c>
      <c r="B818" t="s">
        <v>1866</v>
      </c>
      <c r="C818" t="s">
        <v>12</v>
      </c>
      <c r="D818" t="s">
        <v>1867</v>
      </c>
      <c r="E818" t="s">
        <v>14</v>
      </c>
      <c r="G818" t="s">
        <v>31</v>
      </c>
      <c r="H818" s="2">
        <v>44796</v>
      </c>
      <c r="I818" t="s">
        <v>48</v>
      </c>
      <c r="J818" t="s">
        <v>49</v>
      </c>
      <c r="L818" t="s">
        <v>50</v>
      </c>
      <c r="M818" t="s">
        <v>19</v>
      </c>
    </row>
    <row r="819" spans="1:13" x14ac:dyDescent="0.3">
      <c r="A819" t="str">
        <f>HYPERLINK("https://hsdes.intel.com/resource/14013167579","14013167579")</f>
        <v>14013167579</v>
      </c>
      <c r="B819" t="s">
        <v>1868</v>
      </c>
      <c r="C819" t="s">
        <v>12</v>
      </c>
      <c r="D819" t="s">
        <v>1869</v>
      </c>
      <c r="E819" t="s">
        <v>14</v>
      </c>
      <c r="G819" t="s">
        <v>31</v>
      </c>
      <c r="H819" s="2">
        <v>44796</v>
      </c>
      <c r="I819" t="s">
        <v>48</v>
      </c>
      <c r="J819" t="s">
        <v>49</v>
      </c>
      <c r="L819" t="s">
        <v>50</v>
      </c>
      <c r="M819" t="s">
        <v>19</v>
      </c>
    </row>
    <row r="820" spans="1:13" x14ac:dyDescent="0.3">
      <c r="A820" t="str">
        <f>HYPERLINK("https://hsdes.intel.com/resource/14013167586","14013167586")</f>
        <v>14013167586</v>
      </c>
      <c r="B820" t="s">
        <v>1870</v>
      </c>
      <c r="C820" t="s">
        <v>12</v>
      </c>
      <c r="D820" t="s">
        <v>1871</v>
      </c>
      <c r="E820" t="s">
        <v>14</v>
      </c>
      <c r="G820" t="s">
        <v>31</v>
      </c>
      <c r="H820" s="2">
        <v>44797</v>
      </c>
      <c r="I820" t="s">
        <v>48</v>
      </c>
      <c r="J820" t="s">
        <v>49</v>
      </c>
      <c r="L820" t="s">
        <v>50</v>
      </c>
      <c r="M820" t="s">
        <v>26</v>
      </c>
    </row>
    <row r="821" spans="1:13" x14ac:dyDescent="0.3">
      <c r="A821" t="str">
        <f>HYPERLINK("https://hsdes.intel.com/resource/14013167593","14013167593")</f>
        <v>14013167593</v>
      </c>
      <c r="B821" t="s">
        <v>1872</v>
      </c>
      <c r="C821" t="s">
        <v>12</v>
      </c>
      <c r="D821" t="s">
        <v>1873</v>
      </c>
      <c r="E821" t="s">
        <v>120</v>
      </c>
      <c r="F821" t="s">
        <v>1874</v>
      </c>
      <c r="G821" t="s">
        <v>43</v>
      </c>
      <c r="H821" s="2">
        <v>44801</v>
      </c>
      <c r="I821" t="s">
        <v>48</v>
      </c>
      <c r="J821" t="s">
        <v>49</v>
      </c>
      <c r="L821" t="s">
        <v>50</v>
      </c>
      <c r="M821" t="s">
        <v>22</v>
      </c>
    </row>
    <row r="822" spans="1:13" x14ac:dyDescent="0.3">
      <c r="A822" t="str">
        <f>HYPERLINK("https://hsdes.intel.com/resource/14013168133","14013168133")</f>
        <v>14013168133</v>
      </c>
      <c r="B822" t="s">
        <v>1875</v>
      </c>
      <c r="C822" t="s">
        <v>12</v>
      </c>
      <c r="D822" t="s">
        <v>1876</v>
      </c>
      <c r="E822" t="s">
        <v>14</v>
      </c>
      <c r="G822" t="s">
        <v>15</v>
      </c>
      <c r="H822" s="2">
        <v>44785</v>
      </c>
      <c r="I822" t="s">
        <v>64</v>
      </c>
      <c r="J822" t="s">
        <v>191</v>
      </c>
      <c r="L822" t="s">
        <v>192</v>
      </c>
      <c r="M822" t="s">
        <v>26</v>
      </c>
    </row>
    <row r="823" spans="1:13" x14ac:dyDescent="0.3">
      <c r="A823" t="str">
        <f>HYPERLINK("https://hsdes.intel.com/resource/14013168136","14013168136")</f>
        <v>14013168136</v>
      </c>
      <c r="B823" t="s">
        <v>1877</v>
      </c>
      <c r="C823" t="s">
        <v>12</v>
      </c>
      <c r="D823" t="s">
        <v>1878</v>
      </c>
      <c r="E823" t="s">
        <v>14</v>
      </c>
      <c r="F823" t="s">
        <v>224</v>
      </c>
      <c r="G823" t="s">
        <v>31</v>
      </c>
      <c r="H823" s="2">
        <v>44798</v>
      </c>
      <c r="I823" t="s">
        <v>64</v>
      </c>
      <c r="J823" t="s">
        <v>191</v>
      </c>
      <c r="L823" t="s">
        <v>192</v>
      </c>
      <c r="M823" t="s">
        <v>26</v>
      </c>
    </row>
    <row r="824" spans="1:13" x14ac:dyDescent="0.3">
      <c r="A824" t="str">
        <f>HYPERLINK("https://hsdes.intel.com/resource/14013168332","14013168332")</f>
        <v>14013168332</v>
      </c>
      <c r="B824" t="s">
        <v>1879</v>
      </c>
      <c r="C824" t="s">
        <v>12</v>
      </c>
      <c r="D824" t="s">
        <v>1880</v>
      </c>
      <c r="E824" t="s">
        <v>120</v>
      </c>
      <c r="F824" t="s">
        <v>1881</v>
      </c>
      <c r="G824" t="s">
        <v>15</v>
      </c>
      <c r="I824" t="s">
        <v>64</v>
      </c>
      <c r="J824" t="s">
        <v>191</v>
      </c>
      <c r="L824" t="s">
        <v>192</v>
      </c>
      <c r="M824" t="s">
        <v>26</v>
      </c>
    </row>
    <row r="825" spans="1:13" x14ac:dyDescent="0.3">
      <c r="A825" t="str">
        <f>HYPERLINK("https://hsdes.intel.com/resource/14013168337","14013168337")</f>
        <v>14013168337</v>
      </c>
      <c r="B825" t="s">
        <v>1882</v>
      </c>
      <c r="C825" t="s">
        <v>12</v>
      </c>
      <c r="D825" t="s">
        <v>1883</v>
      </c>
      <c r="E825" t="s">
        <v>14</v>
      </c>
      <c r="G825" t="s">
        <v>31</v>
      </c>
      <c r="H825" s="2">
        <v>44798</v>
      </c>
      <c r="I825" t="s">
        <v>64</v>
      </c>
      <c r="J825" t="s">
        <v>191</v>
      </c>
      <c r="L825" t="s">
        <v>192</v>
      </c>
      <c r="M825" t="s">
        <v>26</v>
      </c>
    </row>
    <row r="826" spans="1:13" x14ac:dyDescent="0.3">
      <c r="A826" t="str">
        <f>HYPERLINK("https://hsdes.intel.com/resource/14013168343","14013168343")</f>
        <v>14013168343</v>
      </c>
      <c r="B826" t="s">
        <v>1884</v>
      </c>
      <c r="C826" t="s">
        <v>12</v>
      </c>
      <c r="D826" t="s">
        <v>1885</v>
      </c>
      <c r="E826" t="s">
        <v>14</v>
      </c>
      <c r="G826" t="s">
        <v>31</v>
      </c>
      <c r="H826" s="2">
        <v>44798</v>
      </c>
      <c r="I826" t="s">
        <v>64</v>
      </c>
      <c r="J826" t="s">
        <v>191</v>
      </c>
      <c r="L826" t="s">
        <v>192</v>
      </c>
      <c r="M826" t="s">
        <v>26</v>
      </c>
    </row>
    <row r="827" spans="1:13" x14ac:dyDescent="0.3">
      <c r="A827" t="str">
        <f>HYPERLINK("https://hsdes.intel.com/resource/14013168346","14013168346")</f>
        <v>14013168346</v>
      </c>
      <c r="B827" t="s">
        <v>1886</v>
      </c>
      <c r="C827" t="s">
        <v>12</v>
      </c>
      <c r="D827" t="s">
        <v>1887</v>
      </c>
      <c r="E827" t="s">
        <v>14</v>
      </c>
      <c r="F827" t="s">
        <v>224</v>
      </c>
      <c r="G827" t="s">
        <v>15</v>
      </c>
      <c r="H827" s="2">
        <v>44784</v>
      </c>
      <c r="I827" t="s">
        <v>64</v>
      </c>
      <c r="J827" t="s">
        <v>191</v>
      </c>
      <c r="L827" t="s">
        <v>192</v>
      </c>
      <c r="M827" t="s">
        <v>26</v>
      </c>
    </row>
    <row r="828" spans="1:13" x14ac:dyDescent="0.3">
      <c r="A828" t="str">
        <f>HYPERLINK("https://hsdes.intel.com/resource/14013168352","14013168352")</f>
        <v>14013168352</v>
      </c>
      <c r="B828" t="s">
        <v>1888</v>
      </c>
      <c r="C828" t="s">
        <v>12</v>
      </c>
      <c r="D828" t="s">
        <v>1889</v>
      </c>
      <c r="E828" t="s">
        <v>14</v>
      </c>
      <c r="G828" t="s">
        <v>31</v>
      </c>
      <c r="H828" s="2">
        <v>44798</v>
      </c>
      <c r="I828" t="s">
        <v>64</v>
      </c>
      <c r="J828" t="s">
        <v>191</v>
      </c>
      <c r="L828" t="s">
        <v>192</v>
      </c>
      <c r="M828" t="s">
        <v>26</v>
      </c>
    </row>
    <row r="829" spans="1:13" x14ac:dyDescent="0.3">
      <c r="A829" t="str">
        <f>HYPERLINK("https://hsdes.intel.com/resource/14013168358","14013168358")</f>
        <v>14013168358</v>
      </c>
      <c r="B829" t="s">
        <v>1890</v>
      </c>
      <c r="C829" t="s">
        <v>12</v>
      </c>
      <c r="D829" t="s">
        <v>1891</v>
      </c>
      <c r="E829" t="s">
        <v>14</v>
      </c>
      <c r="G829" t="s">
        <v>31</v>
      </c>
      <c r="H829" s="2">
        <v>44798</v>
      </c>
      <c r="I829" t="s">
        <v>64</v>
      </c>
      <c r="J829" t="s">
        <v>191</v>
      </c>
      <c r="L829" t="s">
        <v>192</v>
      </c>
      <c r="M829" t="s">
        <v>26</v>
      </c>
    </row>
    <row r="830" spans="1:13" x14ac:dyDescent="0.3">
      <c r="A830" t="str">
        <f>HYPERLINK("https://hsdes.intel.com/resource/14013168366","14013168366")</f>
        <v>14013168366</v>
      </c>
      <c r="B830" t="s">
        <v>1892</v>
      </c>
      <c r="C830" t="s">
        <v>12</v>
      </c>
      <c r="D830" t="s">
        <v>1893</v>
      </c>
      <c r="E830" t="s">
        <v>14</v>
      </c>
      <c r="G830" t="s">
        <v>31</v>
      </c>
      <c r="H830" s="2">
        <v>44799</v>
      </c>
      <c r="I830" t="s">
        <v>64</v>
      </c>
      <c r="J830" t="s">
        <v>191</v>
      </c>
      <c r="L830" t="s">
        <v>192</v>
      </c>
      <c r="M830" t="s">
        <v>26</v>
      </c>
    </row>
    <row r="831" spans="1:13" x14ac:dyDescent="0.3">
      <c r="A831" t="str">
        <f>HYPERLINK("https://hsdes.intel.com/resource/14013168370","14013168370")</f>
        <v>14013168370</v>
      </c>
      <c r="B831" t="s">
        <v>1894</v>
      </c>
      <c r="C831" t="s">
        <v>12</v>
      </c>
      <c r="D831" t="s">
        <v>1895</v>
      </c>
      <c r="E831" t="s">
        <v>120</v>
      </c>
      <c r="F831" t="s">
        <v>1881</v>
      </c>
      <c r="G831" t="s">
        <v>15</v>
      </c>
      <c r="I831" t="s">
        <v>64</v>
      </c>
      <c r="J831" t="s">
        <v>191</v>
      </c>
      <c r="L831" t="s">
        <v>192</v>
      </c>
      <c r="M831" t="s">
        <v>26</v>
      </c>
    </row>
    <row r="832" spans="1:13" x14ac:dyDescent="0.3">
      <c r="A832" t="str">
        <f>HYPERLINK("https://hsdes.intel.com/resource/14013168420","14013168420")</f>
        <v>14013168420</v>
      </c>
      <c r="B832" t="s">
        <v>1896</v>
      </c>
      <c r="C832" t="s">
        <v>12</v>
      </c>
      <c r="D832" t="s">
        <v>1897</v>
      </c>
      <c r="E832" t="s">
        <v>120</v>
      </c>
      <c r="F832" t="s">
        <v>1881</v>
      </c>
      <c r="G832" t="s">
        <v>15</v>
      </c>
      <c r="I832" t="s">
        <v>64</v>
      </c>
      <c r="J832" t="s">
        <v>191</v>
      </c>
      <c r="L832" t="s">
        <v>192</v>
      </c>
      <c r="M832" t="s">
        <v>19</v>
      </c>
    </row>
    <row r="833" spans="1:13" x14ac:dyDescent="0.3">
      <c r="A833" t="str">
        <f>HYPERLINK("https://hsdes.intel.com/resource/14013168467","14013168467")</f>
        <v>14013168467</v>
      </c>
      <c r="B833" t="s">
        <v>1898</v>
      </c>
      <c r="C833" t="s">
        <v>12</v>
      </c>
      <c r="D833" t="s">
        <v>1899</v>
      </c>
      <c r="E833" t="s">
        <v>120</v>
      </c>
      <c r="F833" t="s">
        <v>1900</v>
      </c>
      <c r="G833" t="s">
        <v>31</v>
      </c>
      <c r="I833" t="s">
        <v>64</v>
      </c>
      <c r="J833" t="s">
        <v>191</v>
      </c>
      <c r="L833" t="s">
        <v>34</v>
      </c>
      <c r="M833" t="s">
        <v>26</v>
      </c>
    </row>
    <row r="834" spans="1:13" x14ac:dyDescent="0.3">
      <c r="A834" t="str">
        <f>HYPERLINK("https://hsdes.intel.com/resource/14013168473","14013168473")</f>
        <v>14013168473</v>
      </c>
      <c r="B834" t="s">
        <v>1901</v>
      </c>
      <c r="C834" t="s">
        <v>12</v>
      </c>
      <c r="D834" t="s">
        <v>1902</v>
      </c>
      <c r="E834" t="s">
        <v>14</v>
      </c>
      <c r="G834" t="s">
        <v>31</v>
      </c>
      <c r="H834" s="2">
        <v>44798</v>
      </c>
      <c r="I834" t="s">
        <v>64</v>
      </c>
      <c r="J834" t="s">
        <v>191</v>
      </c>
      <c r="L834" t="s">
        <v>192</v>
      </c>
      <c r="M834" t="s">
        <v>26</v>
      </c>
    </row>
    <row r="835" spans="1:13" x14ac:dyDescent="0.3">
      <c r="A835" t="str">
        <f>HYPERLINK("https://hsdes.intel.com/resource/14013168703","14013168703")</f>
        <v>14013168703</v>
      </c>
      <c r="B835" t="s">
        <v>1903</v>
      </c>
      <c r="C835" t="s">
        <v>12</v>
      </c>
      <c r="D835" t="s">
        <v>1904</v>
      </c>
      <c r="E835" t="s">
        <v>14</v>
      </c>
      <c r="F835" t="s">
        <v>224</v>
      </c>
      <c r="G835" t="s">
        <v>15</v>
      </c>
      <c r="H835" s="2">
        <v>44784</v>
      </c>
      <c r="I835" t="s">
        <v>64</v>
      </c>
      <c r="J835" t="s">
        <v>191</v>
      </c>
      <c r="L835" t="s">
        <v>192</v>
      </c>
      <c r="M835" t="s">
        <v>22</v>
      </c>
    </row>
    <row r="836" spans="1:13" x14ac:dyDescent="0.3">
      <c r="A836" t="str">
        <f>HYPERLINK("https://hsdes.intel.com/resource/14013168785","14013168785")</f>
        <v>14013168785</v>
      </c>
      <c r="B836" t="s">
        <v>1905</v>
      </c>
      <c r="C836" t="s">
        <v>12</v>
      </c>
      <c r="D836" t="s">
        <v>1906</v>
      </c>
      <c r="E836" t="s">
        <v>14</v>
      </c>
      <c r="G836" t="s">
        <v>15</v>
      </c>
      <c r="H836" s="2">
        <v>44784</v>
      </c>
      <c r="I836" t="s">
        <v>64</v>
      </c>
      <c r="J836" t="s">
        <v>191</v>
      </c>
      <c r="L836" t="s">
        <v>192</v>
      </c>
      <c r="M836" t="s">
        <v>26</v>
      </c>
    </row>
    <row r="837" spans="1:13" x14ac:dyDescent="0.3">
      <c r="A837" t="str">
        <f>HYPERLINK("https://hsdes.intel.com/resource/14013168804","14013168804")</f>
        <v>14013168804</v>
      </c>
      <c r="B837" t="s">
        <v>1907</v>
      </c>
      <c r="C837" t="s">
        <v>12</v>
      </c>
      <c r="D837" t="s">
        <v>1908</v>
      </c>
      <c r="E837" t="s">
        <v>14</v>
      </c>
      <c r="G837" t="s">
        <v>15</v>
      </c>
      <c r="H837" s="2">
        <v>44789</v>
      </c>
      <c r="I837" t="s">
        <v>64</v>
      </c>
      <c r="J837" t="s">
        <v>191</v>
      </c>
      <c r="L837" t="s">
        <v>192</v>
      </c>
      <c r="M837" t="s">
        <v>26</v>
      </c>
    </row>
    <row r="838" spans="1:13" x14ac:dyDescent="0.3">
      <c r="A838" t="str">
        <f>HYPERLINK("https://hsdes.intel.com/resource/14013168849","14013168849")</f>
        <v>14013168849</v>
      </c>
      <c r="B838" t="s">
        <v>1909</v>
      </c>
      <c r="C838" t="s">
        <v>12</v>
      </c>
      <c r="D838" t="s">
        <v>1910</v>
      </c>
      <c r="E838" t="s">
        <v>14</v>
      </c>
      <c r="F838" s="9" t="s">
        <v>1911</v>
      </c>
      <c r="G838" t="s">
        <v>72</v>
      </c>
      <c r="H838" s="2">
        <v>44800</v>
      </c>
      <c r="I838" t="s">
        <v>64</v>
      </c>
      <c r="J838" t="s">
        <v>191</v>
      </c>
      <c r="L838" t="s">
        <v>192</v>
      </c>
      <c r="M838" t="s">
        <v>19</v>
      </c>
    </row>
    <row r="839" spans="1:13" x14ac:dyDescent="0.3">
      <c r="A839" t="str">
        <f>HYPERLINK("https://hsdes.intel.com/resource/14013168853","14013168853")</f>
        <v>14013168853</v>
      </c>
      <c r="B839" t="s">
        <v>1912</v>
      </c>
      <c r="C839" t="s">
        <v>12</v>
      </c>
      <c r="D839" t="s">
        <v>1913</v>
      </c>
      <c r="E839" t="s">
        <v>14</v>
      </c>
      <c r="G839" t="s">
        <v>31</v>
      </c>
      <c r="H839" s="2">
        <v>44798</v>
      </c>
      <c r="I839" t="s">
        <v>64</v>
      </c>
      <c r="J839" t="s">
        <v>191</v>
      </c>
      <c r="L839" t="s">
        <v>192</v>
      </c>
      <c r="M839" t="s">
        <v>26</v>
      </c>
    </row>
    <row r="840" spans="1:13" x14ac:dyDescent="0.3">
      <c r="A840" t="str">
        <f>HYPERLINK("https://hsdes.intel.com/resource/14013168857","14013168857")</f>
        <v>14013168857</v>
      </c>
      <c r="B840" t="s">
        <v>1914</v>
      </c>
      <c r="C840" t="s">
        <v>12</v>
      </c>
      <c r="D840" t="s">
        <v>1915</v>
      </c>
      <c r="E840" t="s">
        <v>14</v>
      </c>
      <c r="G840" t="s">
        <v>15</v>
      </c>
      <c r="H840" s="2">
        <v>44789</v>
      </c>
      <c r="I840" t="s">
        <v>64</v>
      </c>
      <c r="J840" t="s">
        <v>191</v>
      </c>
      <c r="L840" t="s">
        <v>192</v>
      </c>
      <c r="M840" t="s">
        <v>26</v>
      </c>
    </row>
    <row r="841" spans="1:13" x14ac:dyDescent="0.3">
      <c r="A841" t="str">
        <f>HYPERLINK("https://hsdes.intel.com/resource/14013168861","14013168861")</f>
        <v>14013168861</v>
      </c>
      <c r="B841" t="s">
        <v>1916</v>
      </c>
      <c r="C841" t="s">
        <v>12</v>
      </c>
      <c r="D841" t="s">
        <v>1917</v>
      </c>
      <c r="E841" t="s">
        <v>14</v>
      </c>
      <c r="F841" t="s">
        <v>1918</v>
      </c>
      <c r="G841" t="s">
        <v>111</v>
      </c>
      <c r="H841" s="2">
        <v>44790</v>
      </c>
      <c r="I841" t="s">
        <v>64</v>
      </c>
      <c r="J841" t="s">
        <v>191</v>
      </c>
      <c r="L841" t="s">
        <v>192</v>
      </c>
      <c r="M841" t="s">
        <v>26</v>
      </c>
    </row>
    <row r="842" spans="1:13" x14ac:dyDescent="0.3">
      <c r="A842" t="str">
        <f>HYPERLINK("https://hsdes.intel.com/resource/14013168995","14013168995")</f>
        <v>14013168995</v>
      </c>
      <c r="B842" t="s">
        <v>1919</v>
      </c>
      <c r="C842" t="s">
        <v>12</v>
      </c>
      <c r="D842" t="s">
        <v>1920</v>
      </c>
      <c r="E842" t="s">
        <v>97</v>
      </c>
      <c r="F842" t="s">
        <v>1921</v>
      </c>
      <c r="G842" t="s">
        <v>31</v>
      </c>
      <c r="H842" s="2">
        <v>44802</v>
      </c>
      <c r="I842" t="s">
        <v>64</v>
      </c>
      <c r="J842" t="s">
        <v>191</v>
      </c>
      <c r="L842" t="s">
        <v>50</v>
      </c>
      <c r="M842" t="s">
        <v>22</v>
      </c>
    </row>
    <row r="843" spans="1:13" x14ac:dyDescent="0.3">
      <c r="A843" t="str">
        <f>HYPERLINK("https://hsdes.intel.com/resource/14013169011","14013169011")</f>
        <v>14013169011</v>
      </c>
      <c r="B843" t="s">
        <v>1922</v>
      </c>
      <c r="C843" t="s">
        <v>12</v>
      </c>
      <c r="D843" t="s">
        <v>1923</v>
      </c>
      <c r="E843" t="s">
        <v>14</v>
      </c>
      <c r="F843" t="s">
        <v>224</v>
      </c>
      <c r="G843" t="s">
        <v>15</v>
      </c>
      <c r="H843" s="2">
        <v>44784</v>
      </c>
      <c r="I843" t="s">
        <v>64</v>
      </c>
      <c r="J843" t="s">
        <v>191</v>
      </c>
      <c r="L843" t="s">
        <v>192</v>
      </c>
      <c r="M843" t="s">
        <v>26</v>
      </c>
    </row>
    <row r="844" spans="1:13" x14ac:dyDescent="0.3">
      <c r="A844" t="str">
        <f>HYPERLINK("https://hsdes.intel.com/resource/14013169014","14013169014")</f>
        <v>14013169014</v>
      </c>
      <c r="B844" t="s">
        <v>1924</v>
      </c>
      <c r="C844" t="s">
        <v>12</v>
      </c>
      <c r="D844" t="s">
        <v>1925</v>
      </c>
      <c r="E844" t="s">
        <v>14</v>
      </c>
      <c r="G844" t="s">
        <v>15</v>
      </c>
      <c r="H844" s="2">
        <v>44789</v>
      </c>
      <c r="I844" t="s">
        <v>64</v>
      </c>
      <c r="J844" t="s">
        <v>191</v>
      </c>
      <c r="L844" t="s">
        <v>192</v>
      </c>
      <c r="M844" t="s">
        <v>26</v>
      </c>
    </row>
    <row r="845" spans="1:13" x14ac:dyDescent="0.3">
      <c r="A845" t="str">
        <f>HYPERLINK("https://hsdes.intel.com/resource/14013169069","14013169069")</f>
        <v>14013169069</v>
      </c>
      <c r="B845" t="s">
        <v>1926</v>
      </c>
      <c r="C845" t="s">
        <v>12</v>
      </c>
      <c r="D845" t="s">
        <v>1927</v>
      </c>
      <c r="E845" t="s">
        <v>14</v>
      </c>
      <c r="G845" t="s">
        <v>15</v>
      </c>
      <c r="H845" s="2">
        <v>44785</v>
      </c>
      <c r="I845" t="s">
        <v>64</v>
      </c>
      <c r="J845" t="s">
        <v>191</v>
      </c>
      <c r="L845" t="s">
        <v>192</v>
      </c>
      <c r="M845" t="s">
        <v>19</v>
      </c>
    </row>
    <row r="846" spans="1:13" x14ac:dyDescent="0.3">
      <c r="A846" t="str">
        <f>HYPERLINK("https://hsdes.intel.com/resource/14013169083","14013169083")</f>
        <v>14013169083</v>
      </c>
      <c r="B846" t="s">
        <v>1928</v>
      </c>
      <c r="C846" t="s">
        <v>12</v>
      </c>
      <c r="D846" t="s">
        <v>1929</v>
      </c>
      <c r="E846" t="s">
        <v>14</v>
      </c>
      <c r="G846" t="s">
        <v>15</v>
      </c>
      <c r="H846" s="2">
        <v>44785</v>
      </c>
      <c r="I846" t="s">
        <v>64</v>
      </c>
      <c r="J846" t="s">
        <v>191</v>
      </c>
      <c r="L846" t="s">
        <v>192</v>
      </c>
      <c r="M846" t="s">
        <v>22</v>
      </c>
    </row>
    <row r="847" spans="1:13" x14ac:dyDescent="0.3">
      <c r="A847" t="str">
        <f>HYPERLINK("https://hsdes.intel.com/resource/14013169091","14013169091")</f>
        <v>14013169091</v>
      </c>
      <c r="B847" t="s">
        <v>1930</v>
      </c>
      <c r="C847" t="s">
        <v>12</v>
      </c>
      <c r="D847" t="s">
        <v>1931</v>
      </c>
      <c r="E847" t="s">
        <v>14</v>
      </c>
      <c r="G847" t="s">
        <v>15</v>
      </c>
      <c r="H847" s="2">
        <v>44785</v>
      </c>
      <c r="I847" t="s">
        <v>64</v>
      </c>
      <c r="J847" t="s">
        <v>191</v>
      </c>
      <c r="L847" t="s">
        <v>192</v>
      </c>
      <c r="M847" t="s">
        <v>22</v>
      </c>
    </row>
    <row r="848" spans="1:13" x14ac:dyDescent="0.3">
      <c r="A848" t="str">
        <f>HYPERLINK("https://hsdes.intel.com/resource/14013169094","14013169094")</f>
        <v>14013169094</v>
      </c>
      <c r="B848" t="s">
        <v>1932</v>
      </c>
      <c r="C848" t="s">
        <v>12</v>
      </c>
      <c r="D848" t="s">
        <v>1933</v>
      </c>
      <c r="E848" t="s">
        <v>14</v>
      </c>
      <c r="G848" t="s">
        <v>15</v>
      </c>
      <c r="H848" s="2">
        <v>44785</v>
      </c>
      <c r="I848" t="s">
        <v>64</v>
      </c>
      <c r="J848" t="s">
        <v>191</v>
      </c>
      <c r="L848" t="s">
        <v>192</v>
      </c>
      <c r="M848" t="s">
        <v>22</v>
      </c>
    </row>
    <row r="849" spans="1:13" x14ac:dyDescent="0.3">
      <c r="A849" t="str">
        <f>HYPERLINK("https://hsdes.intel.com/resource/14013169103","14013169103")</f>
        <v>14013169103</v>
      </c>
      <c r="B849" t="s">
        <v>1934</v>
      </c>
      <c r="C849" t="s">
        <v>12</v>
      </c>
      <c r="D849" t="s">
        <v>1935</v>
      </c>
      <c r="E849" t="s">
        <v>14</v>
      </c>
      <c r="G849" t="s">
        <v>15</v>
      </c>
      <c r="H849" s="2">
        <v>44785</v>
      </c>
      <c r="I849" t="s">
        <v>64</v>
      </c>
      <c r="J849" t="s">
        <v>191</v>
      </c>
      <c r="L849" t="s">
        <v>192</v>
      </c>
      <c r="M849" t="s">
        <v>22</v>
      </c>
    </row>
    <row r="850" spans="1:13" x14ac:dyDescent="0.3">
      <c r="A850" t="str">
        <f>HYPERLINK("https://hsdes.intel.com/resource/14013169135","14013169135")</f>
        <v>14013169135</v>
      </c>
      <c r="B850" t="s">
        <v>1936</v>
      </c>
      <c r="C850" t="s">
        <v>12</v>
      </c>
      <c r="D850" t="s">
        <v>1937</v>
      </c>
      <c r="E850" t="s">
        <v>14</v>
      </c>
      <c r="G850" t="s">
        <v>31</v>
      </c>
      <c r="H850" s="2">
        <v>44798</v>
      </c>
      <c r="I850" t="s">
        <v>64</v>
      </c>
      <c r="J850" t="s">
        <v>191</v>
      </c>
      <c r="L850" t="s">
        <v>34</v>
      </c>
      <c r="M850" t="s">
        <v>26</v>
      </c>
    </row>
    <row r="851" spans="1:13" x14ac:dyDescent="0.3">
      <c r="A851" t="str">
        <f>HYPERLINK("https://hsdes.intel.com/resource/14013172845","14013172845")</f>
        <v>14013172845</v>
      </c>
      <c r="B851" t="s">
        <v>1938</v>
      </c>
      <c r="C851" t="s">
        <v>12</v>
      </c>
      <c r="D851" t="s">
        <v>1939</v>
      </c>
      <c r="E851" t="s">
        <v>14</v>
      </c>
      <c r="G851" t="s">
        <v>57</v>
      </c>
      <c r="H851" s="2">
        <v>44792</v>
      </c>
      <c r="I851" t="s">
        <v>32</v>
      </c>
      <c r="J851" t="s">
        <v>82</v>
      </c>
      <c r="L851" t="s">
        <v>177</v>
      </c>
      <c r="M851" t="s">
        <v>26</v>
      </c>
    </row>
    <row r="852" spans="1:13" x14ac:dyDescent="0.3">
      <c r="A852" t="str">
        <f>HYPERLINK("https://hsdes.intel.com/resource/14013172847","14013172847")</f>
        <v>14013172847</v>
      </c>
      <c r="B852" t="s">
        <v>1940</v>
      </c>
      <c r="C852" t="s">
        <v>12</v>
      </c>
      <c r="D852" t="s">
        <v>1941</v>
      </c>
      <c r="E852" t="s">
        <v>14</v>
      </c>
      <c r="F852" t="s">
        <v>1942</v>
      </c>
      <c r="G852" t="s">
        <v>57</v>
      </c>
      <c r="H852" s="2">
        <v>44792</v>
      </c>
      <c r="I852" t="s">
        <v>32</v>
      </c>
      <c r="J852" t="s">
        <v>82</v>
      </c>
      <c r="L852" t="s">
        <v>177</v>
      </c>
      <c r="M852" t="s">
        <v>26</v>
      </c>
    </row>
    <row r="853" spans="1:13" x14ac:dyDescent="0.3">
      <c r="A853" t="str">
        <f>HYPERLINK("https://hsdes.intel.com/resource/14013172891","14013172891")</f>
        <v>14013172891</v>
      </c>
      <c r="B853" t="s">
        <v>1943</v>
      </c>
      <c r="C853" t="s">
        <v>12</v>
      </c>
      <c r="D853" t="s">
        <v>1944</v>
      </c>
      <c r="E853" t="s">
        <v>14</v>
      </c>
      <c r="G853" t="s">
        <v>72</v>
      </c>
      <c r="H853" s="2">
        <v>44784</v>
      </c>
      <c r="I853" t="s">
        <v>16</v>
      </c>
      <c r="J853" t="s">
        <v>82</v>
      </c>
      <c r="L853" t="s">
        <v>157</v>
      </c>
      <c r="M853" t="s">
        <v>26</v>
      </c>
    </row>
    <row r="854" spans="1:13" x14ac:dyDescent="0.3">
      <c r="A854" t="str">
        <f>HYPERLINK("https://hsdes.intel.com/resource/14013172892","14013172892")</f>
        <v>14013172892</v>
      </c>
      <c r="B854" t="s">
        <v>1945</v>
      </c>
      <c r="C854" t="s">
        <v>12</v>
      </c>
      <c r="D854" t="s">
        <v>1946</v>
      </c>
      <c r="E854" t="s">
        <v>14</v>
      </c>
      <c r="G854" t="s">
        <v>72</v>
      </c>
      <c r="H854" s="2">
        <v>44784</v>
      </c>
      <c r="I854" t="s">
        <v>16</v>
      </c>
      <c r="J854" t="s">
        <v>82</v>
      </c>
      <c r="L854" t="s">
        <v>157</v>
      </c>
      <c r="M854" t="s">
        <v>26</v>
      </c>
    </row>
    <row r="855" spans="1:13" x14ac:dyDescent="0.3">
      <c r="A855" t="str">
        <f>HYPERLINK("https://hsdes.intel.com/resource/14013172894","14013172894")</f>
        <v>14013172894</v>
      </c>
      <c r="B855" t="s">
        <v>1947</v>
      </c>
      <c r="C855" t="s">
        <v>12</v>
      </c>
      <c r="D855" t="s">
        <v>1948</v>
      </c>
      <c r="E855" t="s">
        <v>14</v>
      </c>
      <c r="G855" t="s">
        <v>72</v>
      </c>
      <c r="H855" s="2">
        <v>44784</v>
      </c>
      <c r="I855" t="s">
        <v>16</v>
      </c>
      <c r="J855" t="s">
        <v>82</v>
      </c>
      <c r="L855" t="s">
        <v>157</v>
      </c>
      <c r="M855" t="s">
        <v>26</v>
      </c>
    </row>
    <row r="856" spans="1:13" x14ac:dyDescent="0.3">
      <c r="A856" t="str">
        <f>HYPERLINK("https://hsdes.intel.com/resource/14013172897","14013172897")</f>
        <v>14013172897</v>
      </c>
      <c r="B856" t="s">
        <v>1949</v>
      </c>
      <c r="C856" t="s">
        <v>12</v>
      </c>
      <c r="D856" t="s">
        <v>1950</v>
      </c>
      <c r="E856" t="s">
        <v>14</v>
      </c>
      <c r="G856" t="s">
        <v>72</v>
      </c>
      <c r="H856" s="2">
        <v>44784</v>
      </c>
      <c r="I856" t="s">
        <v>16</v>
      </c>
      <c r="J856" t="s">
        <v>82</v>
      </c>
      <c r="L856" t="s">
        <v>157</v>
      </c>
      <c r="M856" t="s">
        <v>26</v>
      </c>
    </row>
    <row r="857" spans="1:13" x14ac:dyDescent="0.3">
      <c r="A857" t="str">
        <f>HYPERLINK("https://hsdes.intel.com/resource/14013172901","14013172901")</f>
        <v>14013172901</v>
      </c>
      <c r="B857" t="s">
        <v>1951</v>
      </c>
      <c r="C857" t="s">
        <v>12</v>
      </c>
      <c r="D857" t="s">
        <v>1952</v>
      </c>
      <c r="E857" t="s">
        <v>14</v>
      </c>
      <c r="G857" t="s">
        <v>72</v>
      </c>
      <c r="H857" s="2">
        <v>44784</v>
      </c>
      <c r="I857" t="s">
        <v>16</v>
      </c>
      <c r="J857" t="s">
        <v>82</v>
      </c>
      <c r="L857" t="s">
        <v>157</v>
      </c>
      <c r="M857" t="s">
        <v>26</v>
      </c>
    </row>
    <row r="858" spans="1:13" x14ac:dyDescent="0.3">
      <c r="A858" t="str">
        <f>HYPERLINK("https://hsdes.intel.com/resource/14013172919","14013172919")</f>
        <v>14013172919</v>
      </c>
      <c r="B858" t="s">
        <v>1953</v>
      </c>
      <c r="C858" t="s">
        <v>12</v>
      </c>
      <c r="D858" t="s">
        <v>1954</v>
      </c>
      <c r="E858" t="s">
        <v>14</v>
      </c>
      <c r="G858" t="s">
        <v>31</v>
      </c>
      <c r="H858" s="2">
        <v>44796</v>
      </c>
      <c r="I858" t="s">
        <v>16</v>
      </c>
      <c r="J858" t="s">
        <v>17</v>
      </c>
      <c r="L858" t="s">
        <v>18</v>
      </c>
      <c r="M858" t="s">
        <v>26</v>
      </c>
    </row>
    <row r="859" spans="1:13" x14ac:dyDescent="0.3">
      <c r="A859" t="str">
        <f>HYPERLINK("https://hsdes.intel.com/resource/14013172927","14013172927")</f>
        <v>14013172927</v>
      </c>
      <c r="B859" t="s">
        <v>1955</v>
      </c>
      <c r="C859" t="s">
        <v>12</v>
      </c>
      <c r="D859" t="s">
        <v>1956</v>
      </c>
      <c r="E859" t="s">
        <v>14</v>
      </c>
      <c r="G859" t="s">
        <v>31</v>
      </c>
      <c r="H859" s="2">
        <v>44796</v>
      </c>
      <c r="I859" t="s">
        <v>16</v>
      </c>
      <c r="J859" t="s">
        <v>17</v>
      </c>
      <c r="L859" t="s">
        <v>18</v>
      </c>
      <c r="M859" t="s">
        <v>26</v>
      </c>
    </row>
    <row r="860" spans="1:13" x14ac:dyDescent="0.3">
      <c r="A860" t="str">
        <f>HYPERLINK("https://hsdes.intel.com/resource/14013172936","14013172936")</f>
        <v>14013172936</v>
      </c>
      <c r="B860" t="s">
        <v>1957</v>
      </c>
      <c r="C860" t="s">
        <v>12</v>
      </c>
      <c r="D860" t="s">
        <v>1958</v>
      </c>
      <c r="E860" t="s">
        <v>14</v>
      </c>
      <c r="G860" t="s">
        <v>31</v>
      </c>
      <c r="H860" s="2">
        <v>44796</v>
      </c>
      <c r="I860" t="s">
        <v>16</v>
      </c>
      <c r="J860" t="s">
        <v>17</v>
      </c>
      <c r="L860" t="s">
        <v>18</v>
      </c>
      <c r="M860" t="s">
        <v>22</v>
      </c>
    </row>
    <row r="861" spans="1:13" x14ac:dyDescent="0.3">
      <c r="A861" t="str">
        <f>HYPERLINK("https://hsdes.intel.com/resource/14013172944","14013172944")</f>
        <v>14013172944</v>
      </c>
      <c r="B861" t="s">
        <v>1959</v>
      </c>
      <c r="C861" t="s">
        <v>12</v>
      </c>
      <c r="D861" t="s">
        <v>1960</v>
      </c>
      <c r="E861" t="s">
        <v>14</v>
      </c>
      <c r="G861" t="s">
        <v>31</v>
      </c>
      <c r="H861" s="2">
        <v>44797</v>
      </c>
      <c r="I861" t="s">
        <v>16</v>
      </c>
      <c r="J861" t="s">
        <v>17</v>
      </c>
      <c r="L861" t="s">
        <v>18</v>
      </c>
      <c r="M861" t="s">
        <v>19</v>
      </c>
    </row>
    <row r="862" spans="1:13" x14ac:dyDescent="0.3">
      <c r="A862" t="str">
        <f>HYPERLINK("https://hsdes.intel.com/resource/14013173003","14013173003")</f>
        <v>14013173003</v>
      </c>
      <c r="B862" t="s">
        <v>1961</v>
      </c>
      <c r="C862" t="s">
        <v>12</v>
      </c>
      <c r="D862" t="s">
        <v>1962</v>
      </c>
      <c r="E862" t="s">
        <v>14</v>
      </c>
      <c r="G862" t="s">
        <v>111</v>
      </c>
      <c r="H862" s="2">
        <v>44799</v>
      </c>
      <c r="I862" t="s">
        <v>16</v>
      </c>
      <c r="J862" t="s">
        <v>17</v>
      </c>
      <c r="L862" t="s">
        <v>18</v>
      </c>
      <c r="M862" t="s">
        <v>22</v>
      </c>
    </row>
    <row r="863" spans="1:13" x14ac:dyDescent="0.3">
      <c r="A863" t="str">
        <f>HYPERLINK("https://hsdes.intel.com/resource/14013173005","14013173005")</f>
        <v>14013173005</v>
      </c>
      <c r="B863" t="s">
        <v>1963</v>
      </c>
      <c r="C863" t="s">
        <v>12</v>
      </c>
      <c r="D863" t="s">
        <v>1964</v>
      </c>
      <c r="E863" t="s">
        <v>14</v>
      </c>
      <c r="F863" t="s">
        <v>1965</v>
      </c>
      <c r="G863" t="s">
        <v>31</v>
      </c>
      <c r="H863" s="2">
        <v>44797</v>
      </c>
      <c r="I863" t="s">
        <v>16</v>
      </c>
      <c r="J863" t="s">
        <v>17</v>
      </c>
      <c r="L863" t="s">
        <v>18</v>
      </c>
      <c r="M863" t="s">
        <v>22</v>
      </c>
    </row>
    <row r="864" spans="1:13" x14ac:dyDescent="0.3">
      <c r="A864" t="str">
        <f>HYPERLINK("https://hsdes.intel.com/resource/14013173013","14013173013")</f>
        <v>14013173013</v>
      </c>
      <c r="B864" t="s">
        <v>1966</v>
      </c>
      <c r="C864" t="s">
        <v>12</v>
      </c>
      <c r="D864" t="s">
        <v>1967</v>
      </c>
      <c r="E864" t="s">
        <v>14</v>
      </c>
      <c r="F864" t="s">
        <v>1968</v>
      </c>
      <c r="G864" t="s">
        <v>31</v>
      </c>
      <c r="H864" s="2">
        <v>44797</v>
      </c>
      <c r="I864" t="s">
        <v>16</v>
      </c>
      <c r="J864" t="s">
        <v>17</v>
      </c>
      <c r="L864" t="s">
        <v>18</v>
      </c>
      <c r="M864" t="s">
        <v>19</v>
      </c>
    </row>
    <row r="865" spans="1:13" x14ac:dyDescent="0.3">
      <c r="A865" t="str">
        <f>HYPERLINK("https://hsdes.intel.com/resource/14013173089","14013173089")</f>
        <v>14013173089</v>
      </c>
      <c r="B865" t="s">
        <v>1969</v>
      </c>
      <c r="C865" t="s">
        <v>12</v>
      </c>
      <c r="D865" t="s">
        <v>1970</v>
      </c>
      <c r="E865" t="s">
        <v>14</v>
      </c>
      <c r="G865" t="s">
        <v>72</v>
      </c>
      <c r="H865" s="2">
        <v>44784</v>
      </c>
      <c r="I865" t="s">
        <v>16</v>
      </c>
      <c r="J865" t="s">
        <v>183</v>
      </c>
      <c r="L865" t="s">
        <v>157</v>
      </c>
      <c r="M865" t="s">
        <v>26</v>
      </c>
    </row>
    <row r="866" spans="1:13" x14ac:dyDescent="0.3">
      <c r="A866" t="str">
        <f>HYPERLINK("https://hsdes.intel.com/resource/14013173102","14013173102")</f>
        <v>14013173102</v>
      </c>
      <c r="B866" t="s">
        <v>1971</v>
      </c>
      <c r="C866" t="s">
        <v>12</v>
      </c>
      <c r="D866" t="s">
        <v>1972</v>
      </c>
      <c r="E866" t="s">
        <v>14</v>
      </c>
      <c r="G866" t="s">
        <v>57</v>
      </c>
      <c r="H866" s="2">
        <v>44790</v>
      </c>
      <c r="I866" t="s">
        <v>38</v>
      </c>
      <c r="J866" t="s">
        <v>77</v>
      </c>
      <c r="L866" t="s">
        <v>78</v>
      </c>
      <c r="M866" t="s">
        <v>26</v>
      </c>
    </row>
    <row r="867" spans="1:13" x14ac:dyDescent="0.3">
      <c r="A867" t="str">
        <f>HYPERLINK("https://hsdes.intel.com/resource/14013173126","14013173126")</f>
        <v>14013173126</v>
      </c>
      <c r="B867" t="s">
        <v>1973</v>
      </c>
      <c r="C867" t="s">
        <v>12</v>
      </c>
      <c r="D867" t="s">
        <v>1974</v>
      </c>
      <c r="E867" t="s">
        <v>14</v>
      </c>
      <c r="G867" t="s">
        <v>69</v>
      </c>
      <c r="H867" s="2">
        <v>44785</v>
      </c>
      <c r="I867" t="s">
        <v>64</v>
      </c>
      <c r="J867" t="s">
        <v>65</v>
      </c>
      <c r="L867" t="s">
        <v>66</v>
      </c>
      <c r="M867" t="s">
        <v>26</v>
      </c>
    </row>
    <row r="868" spans="1:13" x14ac:dyDescent="0.3">
      <c r="A868" t="str">
        <f>HYPERLINK("https://hsdes.intel.com/resource/14013173157","14013173157")</f>
        <v>14013173157</v>
      </c>
      <c r="B868" t="s">
        <v>1975</v>
      </c>
      <c r="C868" t="s">
        <v>12</v>
      </c>
      <c r="D868" t="s">
        <v>1976</v>
      </c>
      <c r="E868" t="s">
        <v>14</v>
      </c>
      <c r="G868" t="s">
        <v>111</v>
      </c>
      <c r="H868" s="2">
        <v>44783</v>
      </c>
      <c r="I868" t="s">
        <v>38</v>
      </c>
      <c r="J868" t="s">
        <v>77</v>
      </c>
      <c r="L868" t="s">
        <v>78</v>
      </c>
      <c r="M868" t="s">
        <v>22</v>
      </c>
    </row>
    <row r="869" spans="1:13" x14ac:dyDescent="0.3">
      <c r="A869" t="str">
        <f>HYPERLINK("https://hsdes.intel.com/resource/14013173168","14013173168")</f>
        <v>14013173168</v>
      </c>
      <c r="B869" t="s">
        <v>1977</v>
      </c>
      <c r="C869" t="s">
        <v>12</v>
      </c>
      <c r="D869" t="s">
        <v>1978</v>
      </c>
      <c r="E869" t="s">
        <v>14</v>
      </c>
      <c r="G869" t="s">
        <v>72</v>
      </c>
      <c r="H869" s="2">
        <v>44784</v>
      </c>
      <c r="I869" t="s">
        <v>16</v>
      </c>
      <c r="J869" t="s">
        <v>466</v>
      </c>
      <c r="L869" t="s">
        <v>157</v>
      </c>
      <c r="M869" t="s">
        <v>26</v>
      </c>
    </row>
    <row r="870" spans="1:13" x14ac:dyDescent="0.3">
      <c r="A870" t="str">
        <f>HYPERLINK("https://hsdes.intel.com/resource/14013173170","14013173170")</f>
        <v>14013173170</v>
      </c>
      <c r="B870" t="s">
        <v>1979</v>
      </c>
      <c r="C870" t="s">
        <v>12</v>
      </c>
      <c r="D870" t="s">
        <v>1980</v>
      </c>
      <c r="E870" t="s">
        <v>14</v>
      </c>
      <c r="G870" t="s">
        <v>72</v>
      </c>
      <c r="H870" s="2">
        <v>44784</v>
      </c>
      <c r="I870" t="s">
        <v>16</v>
      </c>
      <c r="J870" t="s">
        <v>1981</v>
      </c>
      <c r="L870" t="s">
        <v>157</v>
      </c>
      <c r="M870" t="s">
        <v>26</v>
      </c>
    </row>
    <row r="871" spans="1:13" x14ac:dyDescent="0.3">
      <c r="A871" t="str">
        <f>HYPERLINK("https://hsdes.intel.com/resource/14013173171","14013173171")</f>
        <v>14013173171</v>
      </c>
      <c r="B871" t="s">
        <v>1982</v>
      </c>
      <c r="C871" t="s">
        <v>12</v>
      </c>
      <c r="D871" t="s">
        <v>1983</v>
      </c>
      <c r="E871" t="s">
        <v>14</v>
      </c>
      <c r="G871" t="s">
        <v>72</v>
      </c>
      <c r="H871" s="2">
        <v>44784</v>
      </c>
      <c r="I871" t="s">
        <v>16</v>
      </c>
      <c r="J871" t="s">
        <v>82</v>
      </c>
      <c r="L871" t="s">
        <v>157</v>
      </c>
      <c r="M871" t="s">
        <v>26</v>
      </c>
    </row>
    <row r="872" spans="1:13" x14ac:dyDescent="0.3">
      <c r="A872" t="str">
        <f>HYPERLINK("https://hsdes.intel.com/resource/14013173233","14013173233")</f>
        <v>14013173233</v>
      </c>
      <c r="B872" t="s">
        <v>1984</v>
      </c>
      <c r="C872" t="s">
        <v>12</v>
      </c>
      <c r="D872" t="s">
        <v>1985</v>
      </c>
      <c r="E872" t="s">
        <v>14</v>
      </c>
      <c r="G872" t="s">
        <v>72</v>
      </c>
      <c r="H872" s="2">
        <v>44785</v>
      </c>
      <c r="I872" t="s">
        <v>16</v>
      </c>
      <c r="J872" t="s">
        <v>299</v>
      </c>
      <c r="L872" t="s">
        <v>157</v>
      </c>
      <c r="M872" t="s">
        <v>26</v>
      </c>
    </row>
    <row r="873" spans="1:13" x14ac:dyDescent="0.3">
      <c r="A873" t="str">
        <f>HYPERLINK("https://hsdes.intel.com/resource/14013173261","14013173261")</f>
        <v>14013173261</v>
      </c>
      <c r="B873" t="s">
        <v>1986</v>
      </c>
      <c r="C873" t="s">
        <v>12</v>
      </c>
      <c r="D873" t="s">
        <v>1987</v>
      </c>
      <c r="E873" t="s">
        <v>14</v>
      </c>
      <c r="F873" t="s">
        <v>1988</v>
      </c>
      <c r="G873" t="s">
        <v>99</v>
      </c>
      <c r="H873" s="2">
        <v>44802</v>
      </c>
      <c r="I873" t="s">
        <v>132</v>
      </c>
      <c r="J873" t="s">
        <v>115</v>
      </c>
      <c r="L873" t="s">
        <v>133</v>
      </c>
      <c r="M873" t="s">
        <v>26</v>
      </c>
    </row>
    <row r="874" spans="1:13" x14ac:dyDescent="0.3">
      <c r="A874" t="str">
        <f>HYPERLINK("https://hsdes.intel.com/resource/14013173264","14013173264")</f>
        <v>14013173264</v>
      </c>
      <c r="B874" t="s">
        <v>1989</v>
      </c>
      <c r="C874" t="s">
        <v>12</v>
      </c>
      <c r="D874" t="s">
        <v>1990</v>
      </c>
      <c r="E874" t="s">
        <v>14</v>
      </c>
      <c r="F874" t="s">
        <v>46</v>
      </c>
      <c r="G874" t="s">
        <v>72</v>
      </c>
      <c r="H874" s="2">
        <v>44800</v>
      </c>
      <c r="I874" t="s">
        <v>132</v>
      </c>
      <c r="J874" t="s">
        <v>115</v>
      </c>
      <c r="L874" t="s">
        <v>133</v>
      </c>
      <c r="M874" t="s">
        <v>26</v>
      </c>
    </row>
    <row r="875" spans="1:13" x14ac:dyDescent="0.3">
      <c r="A875" t="str">
        <f>HYPERLINK("https://hsdes.intel.com/resource/14013173272","14013173272")</f>
        <v>14013173272</v>
      </c>
      <c r="B875" t="s">
        <v>1991</v>
      </c>
      <c r="C875" t="s">
        <v>12</v>
      </c>
      <c r="D875" t="s">
        <v>1992</v>
      </c>
      <c r="E875" t="s">
        <v>14</v>
      </c>
      <c r="F875" t="s">
        <v>1993</v>
      </c>
      <c r="G875" t="s">
        <v>72</v>
      </c>
      <c r="H875" s="2">
        <v>44801</v>
      </c>
      <c r="I875" t="s">
        <v>132</v>
      </c>
      <c r="J875" t="s">
        <v>115</v>
      </c>
      <c r="L875" t="s">
        <v>133</v>
      </c>
      <c r="M875" t="s">
        <v>26</v>
      </c>
    </row>
    <row r="876" spans="1:13" x14ac:dyDescent="0.3">
      <c r="A876" t="str">
        <f>HYPERLINK("https://hsdes.intel.com/resource/14013173276","14013173276")</f>
        <v>14013173276</v>
      </c>
      <c r="B876" t="s">
        <v>1994</v>
      </c>
      <c r="C876" t="s">
        <v>12</v>
      </c>
      <c r="D876" t="s">
        <v>1995</v>
      </c>
      <c r="E876" t="s">
        <v>14</v>
      </c>
      <c r="G876" t="s">
        <v>86</v>
      </c>
      <c r="H876" s="2">
        <v>44799</v>
      </c>
      <c r="I876" t="s">
        <v>132</v>
      </c>
      <c r="J876" t="s">
        <v>115</v>
      </c>
      <c r="L876" t="s">
        <v>133</v>
      </c>
      <c r="M876" t="s">
        <v>26</v>
      </c>
    </row>
    <row r="877" spans="1:13" x14ac:dyDescent="0.3">
      <c r="A877" t="str">
        <f>HYPERLINK("https://hsdes.intel.com/resource/14013173292","14013173292")</f>
        <v>14013173292</v>
      </c>
      <c r="B877" t="s">
        <v>1996</v>
      </c>
      <c r="C877" t="s">
        <v>12</v>
      </c>
      <c r="D877" t="s">
        <v>1997</v>
      </c>
      <c r="E877" t="s">
        <v>14</v>
      </c>
      <c r="G877" t="s">
        <v>86</v>
      </c>
      <c r="H877" s="2">
        <v>44799</v>
      </c>
      <c r="I877" t="s">
        <v>132</v>
      </c>
      <c r="J877" t="s">
        <v>115</v>
      </c>
      <c r="L877" t="s">
        <v>133</v>
      </c>
      <c r="M877" t="s">
        <v>26</v>
      </c>
    </row>
    <row r="878" spans="1:13" x14ac:dyDescent="0.3">
      <c r="A878" t="str">
        <f>HYPERLINK("https://hsdes.intel.com/resource/14013173302","14013173302")</f>
        <v>14013173302</v>
      </c>
      <c r="B878" t="s">
        <v>1998</v>
      </c>
      <c r="C878" t="s">
        <v>12</v>
      </c>
      <c r="D878" t="s">
        <v>1999</v>
      </c>
      <c r="E878" t="s">
        <v>14</v>
      </c>
      <c r="F878" t="s">
        <v>1988</v>
      </c>
      <c r="G878" t="s">
        <v>99</v>
      </c>
      <c r="H878" s="2">
        <v>44802</v>
      </c>
      <c r="I878" t="s">
        <v>132</v>
      </c>
      <c r="J878" t="s">
        <v>115</v>
      </c>
      <c r="L878" t="s">
        <v>133</v>
      </c>
      <c r="M878" t="s">
        <v>26</v>
      </c>
    </row>
    <row r="879" spans="1:13" x14ac:dyDescent="0.3">
      <c r="A879" t="str">
        <f>HYPERLINK("https://hsdes.intel.com/resource/14013173314","14013173314")</f>
        <v>14013173314</v>
      </c>
      <c r="B879" t="s">
        <v>2000</v>
      </c>
      <c r="C879" t="s">
        <v>12</v>
      </c>
      <c r="D879" t="s">
        <v>2001</v>
      </c>
      <c r="E879" t="s">
        <v>14</v>
      </c>
      <c r="F879" t="s">
        <v>2002</v>
      </c>
      <c r="G879" t="s">
        <v>72</v>
      </c>
      <c r="H879" s="2">
        <v>44801</v>
      </c>
      <c r="I879" t="s">
        <v>132</v>
      </c>
      <c r="J879" t="s">
        <v>115</v>
      </c>
      <c r="L879" t="s">
        <v>133</v>
      </c>
      <c r="M879" t="s">
        <v>26</v>
      </c>
    </row>
    <row r="880" spans="1:13" x14ac:dyDescent="0.3">
      <c r="A880" t="str">
        <f>HYPERLINK("https://hsdes.intel.com/resource/14013173321","14013173321")</f>
        <v>14013173321</v>
      </c>
      <c r="B880" t="s">
        <v>2003</v>
      </c>
      <c r="C880" t="s">
        <v>12</v>
      </c>
      <c r="D880" t="s">
        <v>2004</v>
      </c>
      <c r="E880" t="s">
        <v>14</v>
      </c>
      <c r="G880" t="s">
        <v>72</v>
      </c>
      <c r="H880" s="2">
        <v>44801</v>
      </c>
      <c r="I880" t="s">
        <v>132</v>
      </c>
      <c r="J880" t="s">
        <v>115</v>
      </c>
      <c r="L880" t="s">
        <v>133</v>
      </c>
      <c r="M880" t="s">
        <v>26</v>
      </c>
    </row>
    <row r="881" spans="1:13" x14ac:dyDescent="0.3">
      <c r="A881" t="str">
        <f>HYPERLINK("https://hsdes.intel.com/resource/14013173337","14013173337")</f>
        <v>14013173337</v>
      </c>
      <c r="B881" t="s">
        <v>2005</v>
      </c>
      <c r="C881" t="s">
        <v>12</v>
      </c>
      <c r="D881" t="s">
        <v>2006</v>
      </c>
      <c r="E881" t="s">
        <v>14</v>
      </c>
      <c r="F881" t="s">
        <v>1993</v>
      </c>
      <c r="G881" t="s">
        <v>31</v>
      </c>
      <c r="H881" s="2">
        <v>44791</v>
      </c>
      <c r="I881" t="s">
        <v>48</v>
      </c>
      <c r="J881" t="s">
        <v>271</v>
      </c>
      <c r="L881" t="s">
        <v>272</v>
      </c>
      <c r="M881" t="s">
        <v>26</v>
      </c>
    </row>
    <row r="882" spans="1:13" x14ac:dyDescent="0.3">
      <c r="A882" t="str">
        <f>HYPERLINK("https://hsdes.intel.com/resource/14013173356","14013173356")</f>
        <v>14013173356</v>
      </c>
      <c r="B882" t="s">
        <v>2007</v>
      </c>
      <c r="C882" t="s">
        <v>12</v>
      </c>
      <c r="D882" t="s">
        <v>2008</v>
      </c>
      <c r="E882" t="s">
        <v>14</v>
      </c>
      <c r="G882" t="s">
        <v>86</v>
      </c>
      <c r="H882" s="2">
        <v>44799</v>
      </c>
      <c r="I882" t="s">
        <v>132</v>
      </c>
      <c r="J882" t="s">
        <v>115</v>
      </c>
      <c r="L882" t="s">
        <v>133</v>
      </c>
      <c r="M882" t="s">
        <v>26</v>
      </c>
    </row>
    <row r="883" spans="1:13" x14ac:dyDescent="0.3">
      <c r="A883" t="str">
        <f>HYPERLINK("https://hsdes.intel.com/resource/14013173941","14013173941")</f>
        <v>14013173941</v>
      </c>
      <c r="B883" t="s">
        <v>2009</v>
      </c>
      <c r="C883" t="s">
        <v>12</v>
      </c>
      <c r="D883" t="s">
        <v>2010</v>
      </c>
      <c r="E883" t="s">
        <v>14</v>
      </c>
      <c r="G883" t="s">
        <v>81</v>
      </c>
      <c r="H883" s="2">
        <v>44785</v>
      </c>
      <c r="I883" t="s">
        <v>167</v>
      </c>
      <c r="J883" t="s">
        <v>2011</v>
      </c>
      <c r="L883" t="s">
        <v>147</v>
      </c>
      <c r="M883" t="s">
        <v>26</v>
      </c>
    </row>
    <row r="884" spans="1:13" x14ac:dyDescent="0.3">
      <c r="A884" t="str">
        <f>HYPERLINK("https://hsdes.intel.com/resource/14013173943","14013173943")</f>
        <v>14013173943</v>
      </c>
      <c r="B884" t="s">
        <v>2012</v>
      </c>
      <c r="C884" t="s">
        <v>12</v>
      </c>
      <c r="D884" t="s">
        <v>2013</v>
      </c>
      <c r="E884" t="s">
        <v>14</v>
      </c>
      <c r="G884" t="s">
        <v>57</v>
      </c>
      <c r="H884" s="2">
        <v>44790</v>
      </c>
      <c r="I884" t="s">
        <v>167</v>
      </c>
      <c r="J884" t="s">
        <v>151</v>
      </c>
      <c r="L884" t="s">
        <v>147</v>
      </c>
      <c r="M884" t="s">
        <v>26</v>
      </c>
    </row>
    <row r="885" spans="1:13" x14ac:dyDescent="0.3">
      <c r="A885" t="str">
        <f>HYPERLINK("https://hsdes.intel.com/resource/14013173950","14013173950")</f>
        <v>14013173950</v>
      </c>
      <c r="B885" t="s">
        <v>2014</v>
      </c>
      <c r="C885" t="s">
        <v>12</v>
      </c>
      <c r="D885" t="s">
        <v>2015</v>
      </c>
      <c r="E885" t="s">
        <v>14</v>
      </c>
      <c r="F885" t="s">
        <v>2016</v>
      </c>
      <c r="G885" t="s">
        <v>86</v>
      </c>
      <c r="H885" s="2">
        <v>44802</v>
      </c>
      <c r="I885" t="s">
        <v>167</v>
      </c>
      <c r="J885" t="s">
        <v>186</v>
      </c>
      <c r="L885" t="s">
        <v>147</v>
      </c>
      <c r="M885" t="s">
        <v>26</v>
      </c>
    </row>
    <row r="886" spans="1:13" x14ac:dyDescent="0.3">
      <c r="A886" t="str">
        <f>HYPERLINK("https://hsdes.intel.com/resource/14013173956","14013173956")</f>
        <v>14013173956</v>
      </c>
      <c r="B886" t="s">
        <v>2017</v>
      </c>
      <c r="C886" t="s">
        <v>12</v>
      </c>
      <c r="D886" t="s">
        <v>2018</v>
      </c>
      <c r="E886" t="s">
        <v>14</v>
      </c>
      <c r="F886" t="s">
        <v>2019</v>
      </c>
      <c r="G886" t="s">
        <v>57</v>
      </c>
      <c r="H886" s="2">
        <v>44792</v>
      </c>
      <c r="I886" t="s">
        <v>167</v>
      </c>
      <c r="J886" t="s">
        <v>186</v>
      </c>
      <c r="L886" t="s">
        <v>147</v>
      </c>
      <c r="M886" t="s">
        <v>19</v>
      </c>
    </row>
    <row r="887" spans="1:13" x14ac:dyDescent="0.3">
      <c r="A887" t="str">
        <f>HYPERLINK("https://hsdes.intel.com/resource/14013173962","14013173962")</f>
        <v>14013173962</v>
      </c>
      <c r="B887" t="s">
        <v>2020</v>
      </c>
      <c r="C887" t="s">
        <v>12</v>
      </c>
      <c r="D887" t="s">
        <v>2021</v>
      </c>
      <c r="E887" t="s">
        <v>14</v>
      </c>
      <c r="G887" t="s">
        <v>57</v>
      </c>
      <c r="H887" s="2">
        <v>44790</v>
      </c>
      <c r="I887" t="s">
        <v>167</v>
      </c>
      <c r="J887" t="s">
        <v>151</v>
      </c>
      <c r="L887" t="s">
        <v>147</v>
      </c>
      <c r="M887" t="s">
        <v>26</v>
      </c>
    </row>
    <row r="888" spans="1:13" x14ac:dyDescent="0.3">
      <c r="A888" t="str">
        <f>HYPERLINK("https://hsdes.intel.com/resource/14013173972","14013173972")</f>
        <v>14013173972</v>
      </c>
      <c r="B888" t="s">
        <v>2022</v>
      </c>
      <c r="C888" t="s">
        <v>12</v>
      </c>
      <c r="D888" t="s">
        <v>2023</v>
      </c>
      <c r="E888" t="s">
        <v>14</v>
      </c>
      <c r="G888" t="s">
        <v>57</v>
      </c>
      <c r="H888" s="2">
        <v>44790</v>
      </c>
      <c r="I888" t="s">
        <v>167</v>
      </c>
      <c r="J888" t="s">
        <v>186</v>
      </c>
      <c r="L888" t="s">
        <v>147</v>
      </c>
      <c r="M888" t="s">
        <v>26</v>
      </c>
    </row>
    <row r="889" spans="1:13" x14ac:dyDescent="0.3">
      <c r="A889" t="str">
        <f>HYPERLINK("https://hsdes.intel.com/resource/14013173981","14013173981")</f>
        <v>14013173981</v>
      </c>
      <c r="B889" t="s">
        <v>2024</v>
      </c>
      <c r="C889" t="s">
        <v>12</v>
      </c>
      <c r="D889" t="s">
        <v>2025</v>
      </c>
      <c r="E889" t="s">
        <v>14</v>
      </c>
      <c r="G889" t="s">
        <v>57</v>
      </c>
      <c r="I889" t="s">
        <v>167</v>
      </c>
      <c r="J889" t="s">
        <v>186</v>
      </c>
      <c r="L889" t="s">
        <v>147</v>
      </c>
      <c r="M889" t="s">
        <v>22</v>
      </c>
    </row>
    <row r="890" spans="1:13" x14ac:dyDescent="0.3">
      <c r="A890" t="str">
        <f>HYPERLINK("https://hsdes.intel.com/resource/14013173986","14013173986")</f>
        <v>14013173986</v>
      </c>
      <c r="B890" t="s">
        <v>2026</v>
      </c>
      <c r="C890" t="s">
        <v>12</v>
      </c>
      <c r="D890" t="s">
        <v>2027</v>
      </c>
      <c r="E890" t="s">
        <v>97</v>
      </c>
      <c r="F890" t="s">
        <v>146</v>
      </c>
      <c r="G890" t="s">
        <v>43</v>
      </c>
      <c r="H890" s="2">
        <v>44802</v>
      </c>
      <c r="I890" t="s">
        <v>167</v>
      </c>
      <c r="J890" t="s">
        <v>115</v>
      </c>
      <c r="L890" t="s">
        <v>147</v>
      </c>
      <c r="M890" t="s">
        <v>26</v>
      </c>
    </row>
    <row r="891" spans="1:13" x14ac:dyDescent="0.3">
      <c r="A891" t="str">
        <f>HYPERLINK("https://hsdes.intel.com/resource/14013173997","14013173997")</f>
        <v>14013173997</v>
      </c>
      <c r="B891" t="s">
        <v>2028</v>
      </c>
      <c r="C891" t="s">
        <v>12</v>
      </c>
      <c r="D891" t="s">
        <v>2029</v>
      </c>
      <c r="E891" t="s">
        <v>14</v>
      </c>
      <c r="G891" t="s">
        <v>81</v>
      </c>
      <c r="H891" s="2">
        <v>44785</v>
      </c>
      <c r="I891" t="s">
        <v>167</v>
      </c>
      <c r="J891" t="s">
        <v>2030</v>
      </c>
      <c r="L891" t="s">
        <v>147</v>
      </c>
      <c r="M891" t="s">
        <v>26</v>
      </c>
    </row>
    <row r="892" spans="1:13" x14ac:dyDescent="0.3">
      <c r="A892" t="str">
        <f>HYPERLINK("https://hsdes.intel.com/resource/14013174004","14013174004")</f>
        <v>14013174004</v>
      </c>
      <c r="B892" t="s">
        <v>2031</v>
      </c>
      <c r="C892" t="s">
        <v>12</v>
      </c>
      <c r="D892" t="s">
        <v>2032</v>
      </c>
      <c r="E892" t="s">
        <v>120</v>
      </c>
      <c r="F892" t="s">
        <v>2033</v>
      </c>
      <c r="G892" t="s">
        <v>111</v>
      </c>
      <c r="H892" s="2">
        <v>44784</v>
      </c>
      <c r="I892" t="s">
        <v>167</v>
      </c>
      <c r="J892" t="s">
        <v>168</v>
      </c>
      <c r="L892" t="s">
        <v>147</v>
      </c>
      <c r="M892" t="s">
        <v>22</v>
      </c>
    </row>
    <row r="893" spans="1:13" x14ac:dyDescent="0.3">
      <c r="A893" t="str">
        <f>HYPERLINK("https://hsdes.intel.com/resource/14013174007","14013174007")</f>
        <v>14013174007</v>
      </c>
      <c r="B893" t="s">
        <v>2034</v>
      </c>
      <c r="C893" t="s">
        <v>12</v>
      </c>
      <c r="D893" t="s">
        <v>2035</v>
      </c>
      <c r="E893" t="s">
        <v>120</v>
      </c>
      <c r="F893" t="s">
        <v>2036</v>
      </c>
      <c r="G893" t="s">
        <v>57</v>
      </c>
      <c r="I893" t="s">
        <v>167</v>
      </c>
      <c r="J893" t="s">
        <v>151</v>
      </c>
      <c r="L893" t="s">
        <v>147</v>
      </c>
      <c r="M893" t="s">
        <v>22</v>
      </c>
    </row>
    <row r="894" spans="1:13" x14ac:dyDescent="0.3">
      <c r="A894" t="str">
        <f>HYPERLINK("https://hsdes.intel.com/resource/14013174063","14013174063")</f>
        <v>14013174063</v>
      </c>
      <c r="B894" t="s">
        <v>2037</v>
      </c>
      <c r="C894" t="s">
        <v>12</v>
      </c>
      <c r="D894" t="s">
        <v>2038</v>
      </c>
      <c r="E894" t="s">
        <v>14</v>
      </c>
      <c r="F894" t="s">
        <v>1564</v>
      </c>
      <c r="G894" t="s">
        <v>81</v>
      </c>
      <c r="H894" s="2">
        <v>44802</v>
      </c>
      <c r="I894" t="s">
        <v>167</v>
      </c>
      <c r="J894" t="s">
        <v>2039</v>
      </c>
      <c r="L894" t="s">
        <v>147</v>
      </c>
      <c r="M894" t="s">
        <v>22</v>
      </c>
    </row>
    <row r="895" spans="1:13" x14ac:dyDescent="0.3">
      <c r="A895" t="str">
        <f>HYPERLINK("https://hsdes.intel.com/resource/14013174070","14013174070")</f>
        <v>14013174070</v>
      </c>
      <c r="B895" t="s">
        <v>2040</v>
      </c>
      <c r="C895" t="s">
        <v>12</v>
      </c>
      <c r="D895" t="s">
        <v>2041</v>
      </c>
      <c r="E895" t="s">
        <v>779</v>
      </c>
      <c r="F895" t="s">
        <v>3456</v>
      </c>
      <c r="G895" t="s">
        <v>81</v>
      </c>
      <c r="I895" t="s">
        <v>167</v>
      </c>
      <c r="J895" t="s">
        <v>2039</v>
      </c>
      <c r="L895" t="s">
        <v>147</v>
      </c>
      <c r="M895" t="s">
        <v>22</v>
      </c>
    </row>
    <row r="896" spans="1:13" x14ac:dyDescent="0.3">
      <c r="A896" t="str">
        <f>HYPERLINK("https://hsdes.intel.com/resource/14013174084","14013174084")</f>
        <v>14013174084</v>
      </c>
      <c r="B896" t="s">
        <v>2042</v>
      </c>
      <c r="C896" t="s">
        <v>12</v>
      </c>
      <c r="D896" t="s">
        <v>2043</v>
      </c>
      <c r="E896" t="s">
        <v>14</v>
      </c>
      <c r="G896" t="s">
        <v>57</v>
      </c>
      <c r="I896" t="s">
        <v>167</v>
      </c>
      <c r="J896" t="s">
        <v>186</v>
      </c>
      <c r="L896" t="s">
        <v>147</v>
      </c>
      <c r="M896" t="s">
        <v>26</v>
      </c>
    </row>
    <row r="897" spans="1:13" x14ac:dyDescent="0.3">
      <c r="A897" t="str">
        <f>HYPERLINK("https://hsdes.intel.com/resource/14013174087","14013174087")</f>
        <v>14013174087</v>
      </c>
      <c r="B897" t="s">
        <v>2044</v>
      </c>
      <c r="C897" t="s">
        <v>12</v>
      </c>
      <c r="D897" t="s">
        <v>2045</v>
      </c>
      <c r="E897" t="s">
        <v>14</v>
      </c>
      <c r="F897" t="s">
        <v>2019</v>
      </c>
      <c r="G897" t="s">
        <v>57</v>
      </c>
      <c r="H897" s="2">
        <v>44791</v>
      </c>
      <c r="I897" t="s">
        <v>167</v>
      </c>
      <c r="J897" t="s">
        <v>186</v>
      </c>
      <c r="L897" t="s">
        <v>147</v>
      </c>
      <c r="M897" t="s">
        <v>26</v>
      </c>
    </row>
    <row r="898" spans="1:13" x14ac:dyDescent="0.3">
      <c r="A898" t="str">
        <f>HYPERLINK("https://hsdes.intel.com/resource/14013174094","14013174094")</f>
        <v>14013174094</v>
      </c>
      <c r="B898" t="s">
        <v>2046</v>
      </c>
      <c r="C898" t="s">
        <v>12</v>
      </c>
      <c r="D898" t="s">
        <v>2047</v>
      </c>
      <c r="E898" t="s">
        <v>120</v>
      </c>
      <c r="F898" t="s">
        <v>2036</v>
      </c>
      <c r="G898" t="s">
        <v>57</v>
      </c>
      <c r="I898" t="s">
        <v>167</v>
      </c>
      <c r="J898" t="s">
        <v>186</v>
      </c>
      <c r="L898" t="s">
        <v>147</v>
      </c>
      <c r="M898" t="s">
        <v>26</v>
      </c>
    </row>
    <row r="899" spans="1:13" x14ac:dyDescent="0.3">
      <c r="A899" t="str">
        <f>HYPERLINK("https://hsdes.intel.com/resource/14013174186","14013174186")</f>
        <v>14013174186</v>
      </c>
      <c r="B899" t="s">
        <v>2048</v>
      </c>
      <c r="C899" t="s">
        <v>12</v>
      </c>
      <c r="D899" t="s">
        <v>2049</v>
      </c>
      <c r="E899" t="s">
        <v>120</v>
      </c>
      <c r="F899" t="s">
        <v>2050</v>
      </c>
      <c r="G899" t="s">
        <v>111</v>
      </c>
      <c r="H899" s="2">
        <v>44784</v>
      </c>
      <c r="I899" t="s">
        <v>38</v>
      </c>
      <c r="J899" t="s">
        <v>106</v>
      </c>
      <c r="L899" t="s">
        <v>54</v>
      </c>
      <c r="M899" t="s">
        <v>26</v>
      </c>
    </row>
    <row r="900" spans="1:13" x14ac:dyDescent="0.3">
      <c r="A900" t="str">
        <f>HYPERLINK("https://hsdes.intel.com/resource/14013174262","14013174262")</f>
        <v>14013174262</v>
      </c>
      <c r="B900" t="s">
        <v>2051</v>
      </c>
      <c r="C900" t="s">
        <v>12</v>
      </c>
      <c r="D900" t="s">
        <v>2052</v>
      </c>
      <c r="E900" t="s">
        <v>14</v>
      </c>
      <c r="F900" t="s">
        <v>2053</v>
      </c>
      <c r="G900" t="s">
        <v>86</v>
      </c>
      <c r="H900" s="2">
        <v>44802</v>
      </c>
      <c r="I900" t="s">
        <v>167</v>
      </c>
      <c r="J900" t="s">
        <v>186</v>
      </c>
      <c r="L900" t="s">
        <v>147</v>
      </c>
      <c r="M900" t="s">
        <v>19</v>
      </c>
    </row>
    <row r="901" spans="1:13" x14ac:dyDescent="0.3">
      <c r="A901" s="5" t="str">
        <f>HYPERLINK("https://hsdes.intel.com/resource/14013174288","14013174288")</f>
        <v>14013174288</v>
      </c>
      <c r="B901" t="s">
        <v>2054</v>
      </c>
      <c r="C901" t="s">
        <v>12</v>
      </c>
      <c r="D901" t="s">
        <v>2055</v>
      </c>
      <c r="E901" t="s">
        <v>97</v>
      </c>
      <c r="F901" t="s">
        <v>2056</v>
      </c>
      <c r="G901" t="s">
        <v>81</v>
      </c>
      <c r="H901" s="2">
        <v>44802</v>
      </c>
      <c r="I901" t="s">
        <v>167</v>
      </c>
      <c r="J901" t="s">
        <v>2039</v>
      </c>
      <c r="L901" t="s">
        <v>147</v>
      </c>
      <c r="M901" t="s">
        <v>19</v>
      </c>
    </row>
    <row r="902" spans="1:13" x14ac:dyDescent="0.3">
      <c r="A902" t="str">
        <f>HYPERLINK("https://hsdes.intel.com/resource/14013174349","14013174349")</f>
        <v>14013174349</v>
      </c>
      <c r="B902" t="s">
        <v>2057</v>
      </c>
      <c r="C902" t="s">
        <v>12</v>
      </c>
      <c r="D902" t="s">
        <v>2058</v>
      </c>
      <c r="E902" t="s">
        <v>14</v>
      </c>
      <c r="G902" t="s">
        <v>111</v>
      </c>
      <c r="H902" s="2">
        <v>44784</v>
      </c>
      <c r="I902" t="s">
        <v>167</v>
      </c>
      <c r="J902" t="s">
        <v>168</v>
      </c>
      <c r="L902" t="s">
        <v>147</v>
      </c>
      <c r="M902" t="s">
        <v>26</v>
      </c>
    </row>
    <row r="903" spans="1:13" x14ac:dyDescent="0.3">
      <c r="A903" t="str">
        <f>HYPERLINK("https://hsdes.intel.com/resource/14013174392","14013174392")</f>
        <v>14013174392</v>
      </c>
      <c r="B903" t="s">
        <v>2059</v>
      </c>
      <c r="C903" t="s">
        <v>12</v>
      </c>
      <c r="D903" t="s">
        <v>2060</v>
      </c>
      <c r="E903" t="s">
        <v>14</v>
      </c>
      <c r="G903" t="s">
        <v>111</v>
      </c>
      <c r="H903" s="2">
        <v>44785</v>
      </c>
      <c r="I903" t="s">
        <v>167</v>
      </c>
      <c r="J903" t="s">
        <v>168</v>
      </c>
      <c r="L903" t="s">
        <v>147</v>
      </c>
      <c r="M903" t="s">
        <v>26</v>
      </c>
    </row>
    <row r="904" spans="1:13" x14ac:dyDescent="0.3">
      <c r="A904" t="str">
        <f>HYPERLINK("https://hsdes.intel.com/resource/14013174396","14013174396")</f>
        <v>14013174396</v>
      </c>
      <c r="B904" t="s">
        <v>2061</v>
      </c>
      <c r="C904" t="s">
        <v>12</v>
      </c>
      <c r="D904" t="s">
        <v>2062</v>
      </c>
      <c r="E904" t="s">
        <v>14</v>
      </c>
      <c r="G904" t="s">
        <v>111</v>
      </c>
      <c r="H904" s="2">
        <v>44789</v>
      </c>
      <c r="I904" t="s">
        <v>167</v>
      </c>
      <c r="J904" t="s">
        <v>2063</v>
      </c>
      <c r="L904" t="s">
        <v>147</v>
      </c>
      <c r="M904" t="s">
        <v>22</v>
      </c>
    </row>
    <row r="905" spans="1:13" x14ac:dyDescent="0.3">
      <c r="A905" t="str">
        <f>HYPERLINK("https://hsdes.intel.com/resource/14013174406","14013174406")</f>
        <v>14013174406</v>
      </c>
      <c r="B905" t="s">
        <v>2064</v>
      </c>
      <c r="C905" t="s">
        <v>12</v>
      </c>
      <c r="D905" t="s">
        <v>2065</v>
      </c>
      <c r="E905" t="s">
        <v>14</v>
      </c>
      <c r="F905" t="s">
        <v>2066</v>
      </c>
      <c r="G905" t="s">
        <v>57</v>
      </c>
      <c r="H905" s="2">
        <v>44790</v>
      </c>
      <c r="I905" t="s">
        <v>167</v>
      </c>
      <c r="J905" t="s">
        <v>186</v>
      </c>
      <c r="L905" t="s">
        <v>147</v>
      </c>
      <c r="M905" t="s">
        <v>22</v>
      </c>
    </row>
    <row r="906" spans="1:13" x14ac:dyDescent="0.3">
      <c r="A906" t="str">
        <f>HYPERLINK("https://hsdes.intel.com/resource/14013174424","14013174424")</f>
        <v>14013174424</v>
      </c>
      <c r="B906" t="s">
        <v>2067</v>
      </c>
      <c r="C906" t="s">
        <v>12</v>
      </c>
      <c r="D906" t="s">
        <v>2068</v>
      </c>
      <c r="E906" t="s">
        <v>14</v>
      </c>
      <c r="G906" t="s">
        <v>57</v>
      </c>
      <c r="H906" s="2">
        <v>44790</v>
      </c>
      <c r="I906" t="s">
        <v>167</v>
      </c>
      <c r="J906" t="s">
        <v>2069</v>
      </c>
      <c r="L906" t="s">
        <v>147</v>
      </c>
      <c r="M906" t="s">
        <v>22</v>
      </c>
    </row>
    <row r="907" spans="1:13" x14ac:dyDescent="0.3">
      <c r="A907" t="str">
        <f>HYPERLINK("https://hsdes.intel.com/resource/14013174432","14013174432")</f>
        <v>14013174432</v>
      </c>
      <c r="B907" t="s">
        <v>2070</v>
      </c>
      <c r="C907" t="s">
        <v>12</v>
      </c>
      <c r="D907" t="s">
        <v>2071</v>
      </c>
      <c r="E907" t="s">
        <v>14</v>
      </c>
      <c r="G907" t="s">
        <v>57</v>
      </c>
      <c r="I907" t="s">
        <v>167</v>
      </c>
      <c r="J907" t="s">
        <v>2069</v>
      </c>
      <c r="L907" t="s">
        <v>147</v>
      </c>
      <c r="M907" t="s">
        <v>22</v>
      </c>
    </row>
    <row r="908" spans="1:13" x14ac:dyDescent="0.3">
      <c r="A908" t="str">
        <f>HYPERLINK("https://hsdes.intel.com/resource/14013174439","14013174439")</f>
        <v>14013174439</v>
      </c>
      <c r="B908" t="s">
        <v>2072</v>
      </c>
      <c r="C908" t="s">
        <v>12</v>
      </c>
      <c r="D908" t="s">
        <v>2073</v>
      </c>
      <c r="E908" t="s">
        <v>14</v>
      </c>
      <c r="G908" t="s">
        <v>57</v>
      </c>
      <c r="I908" t="s">
        <v>167</v>
      </c>
      <c r="J908" t="s">
        <v>2069</v>
      </c>
      <c r="L908" t="s">
        <v>147</v>
      </c>
      <c r="M908" t="s">
        <v>22</v>
      </c>
    </row>
    <row r="909" spans="1:13" x14ac:dyDescent="0.3">
      <c r="A909" t="str">
        <f>HYPERLINK("https://hsdes.intel.com/resource/14013174442","14013174442")</f>
        <v>14013174442</v>
      </c>
      <c r="B909" t="s">
        <v>2074</v>
      </c>
      <c r="C909" t="s">
        <v>12</v>
      </c>
      <c r="D909" t="s">
        <v>2075</v>
      </c>
      <c r="E909" t="s">
        <v>14</v>
      </c>
      <c r="F909" t="s">
        <v>2076</v>
      </c>
      <c r="G909" t="s">
        <v>57</v>
      </c>
      <c r="H909" s="2">
        <v>44790</v>
      </c>
      <c r="I909" t="s">
        <v>167</v>
      </c>
      <c r="J909" t="s">
        <v>186</v>
      </c>
      <c r="L909" t="s">
        <v>147</v>
      </c>
      <c r="M909" t="s">
        <v>19</v>
      </c>
    </row>
    <row r="910" spans="1:13" x14ac:dyDescent="0.3">
      <c r="A910" t="str">
        <f>HYPERLINK("https://hsdes.intel.com/resource/14013174444","14013174444")</f>
        <v>14013174444</v>
      </c>
      <c r="B910" t="s">
        <v>2077</v>
      </c>
      <c r="C910" t="s">
        <v>12</v>
      </c>
      <c r="D910" t="s">
        <v>2078</v>
      </c>
      <c r="E910" t="s">
        <v>14</v>
      </c>
      <c r="G910" t="s">
        <v>111</v>
      </c>
      <c r="H910" s="2">
        <v>44783</v>
      </c>
      <c r="I910" t="s">
        <v>167</v>
      </c>
      <c r="J910" t="s">
        <v>2063</v>
      </c>
      <c r="L910" t="s">
        <v>147</v>
      </c>
      <c r="M910" t="s">
        <v>19</v>
      </c>
    </row>
    <row r="911" spans="1:13" x14ac:dyDescent="0.3">
      <c r="A911" t="str">
        <f>HYPERLINK("https://hsdes.intel.com/resource/14013174453","14013174453")</f>
        <v>14013174453</v>
      </c>
      <c r="B911" t="s">
        <v>2079</v>
      </c>
      <c r="C911" t="s">
        <v>12</v>
      </c>
      <c r="D911" t="s">
        <v>2080</v>
      </c>
      <c r="E911" t="s">
        <v>14</v>
      </c>
      <c r="F911" t="s">
        <v>2081</v>
      </c>
      <c r="G911" t="s">
        <v>57</v>
      </c>
      <c r="H911" s="2">
        <v>44790</v>
      </c>
      <c r="I911" t="s">
        <v>167</v>
      </c>
      <c r="J911" t="s">
        <v>2039</v>
      </c>
      <c r="L911" t="s">
        <v>147</v>
      </c>
      <c r="M911" t="s">
        <v>26</v>
      </c>
    </row>
    <row r="912" spans="1:13" x14ac:dyDescent="0.3">
      <c r="A912" t="str">
        <f>HYPERLINK("https://hsdes.intel.com/resource/14013174486","14013174486")</f>
        <v>14013174486</v>
      </c>
      <c r="B912" t="s">
        <v>2082</v>
      </c>
      <c r="C912" t="s">
        <v>12</v>
      </c>
      <c r="D912" t="s">
        <v>2083</v>
      </c>
      <c r="E912" t="s">
        <v>14</v>
      </c>
      <c r="F912" t="s">
        <v>2084</v>
      </c>
      <c r="G912" t="s">
        <v>57</v>
      </c>
      <c r="H912" s="2">
        <v>44792</v>
      </c>
      <c r="I912" t="s">
        <v>167</v>
      </c>
      <c r="J912" t="s">
        <v>151</v>
      </c>
      <c r="L912" t="s">
        <v>147</v>
      </c>
      <c r="M912" t="s">
        <v>26</v>
      </c>
    </row>
    <row r="913" spans="1:13" x14ac:dyDescent="0.3">
      <c r="A913" t="str">
        <f>HYPERLINK("https://hsdes.intel.com/resource/14013174491","14013174491")</f>
        <v>14013174491</v>
      </c>
      <c r="B913" t="s">
        <v>2085</v>
      </c>
      <c r="C913" t="s">
        <v>12</v>
      </c>
      <c r="D913" t="s">
        <v>2086</v>
      </c>
      <c r="E913" t="s">
        <v>120</v>
      </c>
      <c r="F913" t="s">
        <v>2036</v>
      </c>
      <c r="G913" t="s">
        <v>57</v>
      </c>
      <c r="I913" t="s">
        <v>167</v>
      </c>
      <c r="J913" t="s">
        <v>151</v>
      </c>
      <c r="L913" t="s">
        <v>147</v>
      </c>
      <c r="M913" t="s">
        <v>26</v>
      </c>
    </row>
    <row r="914" spans="1:13" x14ac:dyDescent="0.3">
      <c r="A914" t="str">
        <f>HYPERLINK("https://hsdes.intel.com/resource/14013174555","14013174555")</f>
        <v>14013174555</v>
      </c>
      <c r="B914" t="s">
        <v>2087</v>
      </c>
      <c r="C914" t="s">
        <v>12</v>
      </c>
      <c r="D914" t="s">
        <v>2088</v>
      </c>
      <c r="E914" t="s">
        <v>14</v>
      </c>
      <c r="G914" t="s">
        <v>111</v>
      </c>
      <c r="H914" s="2">
        <v>44799</v>
      </c>
      <c r="I914" t="s">
        <v>167</v>
      </c>
      <c r="J914" t="s">
        <v>2063</v>
      </c>
      <c r="L914" t="s">
        <v>147</v>
      </c>
      <c r="M914" t="s">
        <v>26</v>
      </c>
    </row>
    <row r="915" spans="1:13" x14ac:dyDescent="0.3">
      <c r="A915" t="str">
        <f>HYPERLINK("https://hsdes.intel.com/resource/14013174609","14013174609")</f>
        <v>14013174609</v>
      </c>
      <c r="B915" t="s">
        <v>2089</v>
      </c>
      <c r="C915" t="s">
        <v>12</v>
      </c>
      <c r="D915" t="s">
        <v>2090</v>
      </c>
      <c r="E915" t="s">
        <v>14</v>
      </c>
      <c r="G915" t="s">
        <v>111</v>
      </c>
      <c r="H915" s="2">
        <v>44784</v>
      </c>
      <c r="I915" t="s">
        <v>167</v>
      </c>
      <c r="J915" t="s">
        <v>168</v>
      </c>
      <c r="L915" t="s">
        <v>147</v>
      </c>
      <c r="M915" t="s">
        <v>26</v>
      </c>
    </row>
    <row r="916" spans="1:13" x14ac:dyDescent="0.3">
      <c r="A916" t="str">
        <f>HYPERLINK("https://hsdes.intel.com/resource/14013174639","14013174639")</f>
        <v>14013174639</v>
      </c>
      <c r="B916" t="s">
        <v>2091</v>
      </c>
      <c r="C916" t="s">
        <v>12</v>
      </c>
      <c r="D916" t="s">
        <v>2092</v>
      </c>
      <c r="E916" t="s">
        <v>14</v>
      </c>
      <c r="G916" t="s">
        <v>57</v>
      </c>
      <c r="I916" t="s">
        <v>167</v>
      </c>
      <c r="J916" t="s">
        <v>151</v>
      </c>
      <c r="L916" t="s">
        <v>147</v>
      </c>
      <c r="M916" t="s">
        <v>22</v>
      </c>
    </row>
    <row r="917" spans="1:13" x14ac:dyDescent="0.3">
      <c r="A917" t="str">
        <f>HYPERLINK("https://hsdes.intel.com/resource/14013174645","14013174645")</f>
        <v>14013174645</v>
      </c>
      <c r="B917" t="s">
        <v>2093</v>
      </c>
      <c r="C917" t="s">
        <v>12</v>
      </c>
      <c r="D917" t="s">
        <v>2094</v>
      </c>
      <c r="E917" t="s">
        <v>14</v>
      </c>
      <c r="G917" t="s">
        <v>57</v>
      </c>
      <c r="I917" t="s">
        <v>167</v>
      </c>
      <c r="J917" t="s">
        <v>151</v>
      </c>
      <c r="L917" t="s">
        <v>147</v>
      </c>
      <c r="M917" t="s">
        <v>22</v>
      </c>
    </row>
    <row r="918" spans="1:13" x14ac:dyDescent="0.3">
      <c r="A918" t="str">
        <f>HYPERLINK("https://hsdes.intel.com/resource/14013174650","14013174650")</f>
        <v>14013174650</v>
      </c>
      <c r="B918" t="s">
        <v>2095</v>
      </c>
      <c r="C918" t="s">
        <v>12</v>
      </c>
      <c r="D918" t="s">
        <v>2096</v>
      </c>
      <c r="E918" t="s">
        <v>14</v>
      </c>
      <c r="F918" t="s">
        <v>2056</v>
      </c>
      <c r="G918" t="s">
        <v>111</v>
      </c>
      <c r="H918" s="2">
        <v>44802</v>
      </c>
      <c r="I918" t="s">
        <v>167</v>
      </c>
      <c r="J918" t="s">
        <v>151</v>
      </c>
      <c r="L918" t="s">
        <v>147</v>
      </c>
      <c r="M918" t="s">
        <v>22</v>
      </c>
    </row>
    <row r="919" spans="1:13" x14ac:dyDescent="0.3">
      <c r="A919" t="str">
        <f>HYPERLINK("https://hsdes.intel.com/resource/14013174674","14013174674")</f>
        <v>14013174674</v>
      </c>
      <c r="B919" t="s">
        <v>2097</v>
      </c>
      <c r="C919" t="s">
        <v>12</v>
      </c>
      <c r="D919" t="s">
        <v>2098</v>
      </c>
      <c r="E919" t="s">
        <v>14</v>
      </c>
      <c r="G919" t="s">
        <v>57</v>
      </c>
      <c r="I919" t="s">
        <v>167</v>
      </c>
      <c r="J919" t="s">
        <v>151</v>
      </c>
      <c r="L919" t="s">
        <v>147</v>
      </c>
      <c r="M919" t="s">
        <v>26</v>
      </c>
    </row>
    <row r="920" spans="1:13" x14ac:dyDescent="0.3">
      <c r="A920" t="str">
        <f>HYPERLINK("https://hsdes.intel.com/resource/14013174680","14013174680")</f>
        <v>14013174680</v>
      </c>
      <c r="B920" t="s">
        <v>2099</v>
      </c>
      <c r="C920" t="s">
        <v>12</v>
      </c>
      <c r="D920" t="s">
        <v>2100</v>
      </c>
      <c r="E920" t="s">
        <v>14</v>
      </c>
      <c r="G920" t="s">
        <v>57</v>
      </c>
      <c r="H920" s="2">
        <v>44790</v>
      </c>
      <c r="I920" t="s">
        <v>167</v>
      </c>
      <c r="J920" t="s">
        <v>151</v>
      </c>
      <c r="L920" t="s">
        <v>147</v>
      </c>
      <c r="M920" t="s">
        <v>26</v>
      </c>
    </row>
    <row r="921" spans="1:13" x14ac:dyDescent="0.3">
      <c r="A921" t="str">
        <f>HYPERLINK("https://hsdes.intel.com/resource/14013174724","14013174724")</f>
        <v>14013174724</v>
      </c>
      <c r="B921" t="s">
        <v>2101</v>
      </c>
      <c r="C921" t="s">
        <v>12</v>
      </c>
      <c r="D921" t="s">
        <v>2102</v>
      </c>
      <c r="E921" t="s">
        <v>14</v>
      </c>
      <c r="F921" t="s">
        <v>2084</v>
      </c>
      <c r="G921" t="s">
        <v>57</v>
      </c>
      <c r="H921" s="2">
        <v>44791</v>
      </c>
      <c r="I921" t="s">
        <v>167</v>
      </c>
      <c r="J921" t="s">
        <v>151</v>
      </c>
      <c r="L921" t="s">
        <v>147</v>
      </c>
      <c r="M921" t="s">
        <v>26</v>
      </c>
    </row>
    <row r="922" spans="1:13" x14ac:dyDescent="0.3">
      <c r="A922" t="str">
        <f>HYPERLINK("https://hsdes.intel.com/resource/14013174729","14013174729")</f>
        <v>14013174729</v>
      </c>
      <c r="B922" t="s">
        <v>2103</v>
      </c>
      <c r="C922" t="s">
        <v>12</v>
      </c>
      <c r="D922" t="s">
        <v>2104</v>
      </c>
      <c r="E922" t="s">
        <v>14</v>
      </c>
      <c r="F922" t="s">
        <v>2084</v>
      </c>
      <c r="G922" t="s">
        <v>57</v>
      </c>
      <c r="H922" s="2">
        <v>44791</v>
      </c>
      <c r="I922" t="s">
        <v>167</v>
      </c>
      <c r="J922" t="s">
        <v>151</v>
      </c>
      <c r="L922" t="s">
        <v>147</v>
      </c>
      <c r="M922" t="s">
        <v>26</v>
      </c>
    </row>
    <row r="923" spans="1:13" x14ac:dyDescent="0.3">
      <c r="A923" t="str">
        <f>HYPERLINK("https://hsdes.intel.com/resource/14013174739","14013174739")</f>
        <v>14013174739</v>
      </c>
      <c r="B923" t="s">
        <v>2105</v>
      </c>
      <c r="C923" t="s">
        <v>12</v>
      </c>
      <c r="D923" t="s">
        <v>2106</v>
      </c>
      <c r="E923" t="s">
        <v>14</v>
      </c>
      <c r="F923" t="s">
        <v>2084</v>
      </c>
      <c r="G923" t="s">
        <v>57</v>
      </c>
      <c r="H923" s="2">
        <v>44791</v>
      </c>
      <c r="I923" t="s">
        <v>167</v>
      </c>
      <c r="J923" t="s">
        <v>151</v>
      </c>
      <c r="L923" t="s">
        <v>147</v>
      </c>
      <c r="M923" t="s">
        <v>22</v>
      </c>
    </row>
    <row r="924" spans="1:13" x14ac:dyDescent="0.3">
      <c r="A924" t="str">
        <f>HYPERLINK("https://hsdes.intel.com/resource/14013174783","14013174783")</f>
        <v>14013174783</v>
      </c>
      <c r="B924" t="s">
        <v>2107</v>
      </c>
      <c r="C924" t="s">
        <v>12</v>
      </c>
      <c r="D924" t="s">
        <v>2108</v>
      </c>
      <c r="E924" t="s">
        <v>120</v>
      </c>
      <c r="F924" t="s">
        <v>2109</v>
      </c>
      <c r="G924" t="s">
        <v>57</v>
      </c>
      <c r="I924" t="s">
        <v>167</v>
      </c>
      <c r="J924" t="s">
        <v>186</v>
      </c>
      <c r="L924" t="s">
        <v>147</v>
      </c>
      <c r="M924" t="s">
        <v>22</v>
      </c>
    </row>
    <row r="925" spans="1:13" x14ac:dyDescent="0.3">
      <c r="A925" t="str">
        <f>HYPERLINK("https://hsdes.intel.com/resource/14013174785","14013174785")</f>
        <v>14013174785</v>
      </c>
      <c r="B925" t="s">
        <v>2110</v>
      </c>
      <c r="C925" t="s">
        <v>12</v>
      </c>
      <c r="D925" t="s">
        <v>2111</v>
      </c>
      <c r="E925" t="s">
        <v>14</v>
      </c>
      <c r="F925" t="s">
        <v>2112</v>
      </c>
      <c r="G925" t="s">
        <v>57</v>
      </c>
      <c r="H925" s="2">
        <v>44791</v>
      </c>
      <c r="I925" t="s">
        <v>167</v>
      </c>
      <c r="J925" t="s">
        <v>151</v>
      </c>
      <c r="L925" t="s">
        <v>147</v>
      </c>
      <c r="M925" t="s">
        <v>22</v>
      </c>
    </row>
    <row r="926" spans="1:13" x14ac:dyDescent="0.3">
      <c r="A926" t="str">
        <f>HYPERLINK("https://hsdes.intel.com/resource/14013174791","14013174791")</f>
        <v>14013174791</v>
      </c>
      <c r="B926" t="s">
        <v>2113</v>
      </c>
      <c r="C926" t="s">
        <v>12</v>
      </c>
      <c r="D926" t="s">
        <v>2114</v>
      </c>
      <c r="E926" t="s">
        <v>14</v>
      </c>
      <c r="F926" t="s">
        <v>2115</v>
      </c>
      <c r="G926" t="s">
        <v>57</v>
      </c>
      <c r="H926" s="2">
        <v>44790</v>
      </c>
      <c r="I926" t="s">
        <v>167</v>
      </c>
      <c r="J926" t="s">
        <v>2069</v>
      </c>
      <c r="L926" t="s">
        <v>147</v>
      </c>
      <c r="M926" t="s">
        <v>22</v>
      </c>
    </row>
    <row r="927" spans="1:13" x14ac:dyDescent="0.3">
      <c r="A927" t="str">
        <f>HYPERLINK("https://hsdes.intel.com/resource/14013174800","14013174800")</f>
        <v>14013174800</v>
      </c>
      <c r="B927" t="s">
        <v>2116</v>
      </c>
      <c r="C927" t="s">
        <v>12</v>
      </c>
      <c r="D927" t="s">
        <v>2117</v>
      </c>
      <c r="E927" t="s">
        <v>14</v>
      </c>
      <c r="G927" t="s">
        <v>111</v>
      </c>
      <c r="H927" s="2">
        <v>44784</v>
      </c>
      <c r="I927" t="s">
        <v>167</v>
      </c>
      <c r="J927" t="s">
        <v>168</v>
      </c>
      <c r="L927" t="s">
        <v>147</v>
      </c>
      <c r="M927" t="s">
        <v>26</v>
      </c>
    </row>
    <row r="928" spans="1:13" x14ac:dyDescent="0.3">
      <c r="A928" t="str">
        <f>HYPERLINK("https://hsdes.intel.com/resource/14013174821","14013174821")</f>
        <v>14013174821</v>
      </c>
      <c r="B928" t="s">
        <v>2118</v>
      </c>
      <c r="C928" t="s">
        <v>12</v>
      </c>
      <c r="D928" t="s">
        <v>2119</v>
      </c>
      <c r="E928" t="s">
        <v>14</v>
      </c>
      <c r="G928" t="s">
        <v>57</v>
      </c>
      <c r="I928" t="s">
        <v>167</v>
      </c>
      <c r="J928" t="s">
        <v>151</v>
      </c>
      <c r="L928" t="s">
        <v>147</v>
      </c>
      <c r="M928" t="s">
        <v>26</v>
      </c>
    </row>
    <row r="929" spans="1:13" x14ac:dyDescent="0.3">
      <c r="A929" t="str">
        <f>HYPERLINK("https://hsdes.intel.com/resource/14013174825","14013174825")</f>
        <v>14013174825</v>
      </c>
      <c r="B929" t="s">
        <v>2120</v>
      </c>
      <c r="C929" t="s">
        <v>12</v>
      </c>
      <c r="D929" t="s">
        <v>2121</v>
      </c>
      <c r="E929" t="s">
        <v>14</v>
      </c>
      <c r="F929" t="s">
        <v>2112</v>
      </c>
      <c r="G929" t="s">
        <v>57</v>
      </c>
      <c r="H929" s="2">
        <v>44792</v>
      </c>
      <c r="I929" t="s">
        <v>167</v>
      </c>
      <c r="J929" t="s">
        <v>151</v>
      </c>
      <c r="L929" t="s">
        <v>147</v>
      </c>
      <c r="M929" t="s">
        <v>26</v>
      </c>
    </row>
    <row r="930" spans="1:13" x14ac:dyDescent="0.3">
      <c r="A930" t="str">
        <f>HYPERLINK("https://hsdes.intel.com/resource/14013174829","14013174829")</f>
        <v>14013174829</v>
      </c>
      <c r="B930" t="s">
        <v>2122</v>
      </c>
      <c r="C930" t="s">
        <v>12</v>
      </c>
      <c r="D930" t="s">
        <v>2123</v>
      </c>
      <c r="E930" t="s">
        <v>14</v>
      </c>
      <c r="G930" t="s">
        <v>57</v>
      </c>
      <c r="I930" t="s">
        <v>167</v>
      </c>
      <c r="J930" t="s">
        <v>151</v>
      </c>
      <c r="L930" t="s">
        <v>147</v>
      </c>
      <c r="M930" t="s">
        <v>26</v>
      </c>
    </row>
    <row r="931" spans="1:13" x14ac:dyDescent="0.3">
      <c r="A931" t="str">
        <f>HYPERLINK("https://hsdes.intel.com/resource/14013174831","14013174831")</f>
        <v>14013174831</v>
      </c>
      <c r="B931" t="s">
        <v>2124</v>
      </c>
      <c r="C931" t="s">
        <v>12</v>
      </c>
      <c r="D931" t="s">
        <v>2125</v>
      </c>
      <c r="E931" t="s">
        <v>14</v>
      </c>
      <c r="G931" t="s">
        <v>57</v>
      </c>
      <c r="I931" t="s">
        <v>167</v>
      </c>
      <c r="J931" t="s">
        <v>151</v>
      </c>
      <c r="L931" t="s">
        <v>147</v>
      </c>
      <c r="M931" t="s">
        <v>26</v>
      </c>
    </row>
    <row r="932" spans="1:13" x14ac:dyDescent="0.3">
      <c r="A932" t="str">
        <f>HYPERLINK("https://hsdes.intel.com/resource/14013174835","14013174835")</f>
        <v>14013174835</v>
      </c>
      <c r="B932" t="s">
        <v>2126</v>
      </c>
      <c r="C932" t="s">
        <v>12</v>
      </c>
      <c r="D932" t="s">
        <v>2127</v>
      </c>
      <c r="E932" t="s">
        <v>14</v>
      </c>
      <c r="G932" t="s">
        <v>57</v>
      </c>
      <c r="I932" t="s">
        <v>167</v>
      </c>
      <c r="J932" t="s">
        <v>151</v>
      </c>
      <c r="L932" t="s">
        <v>147</v>
      </c>
      <c r="M932" t="s">
        <v>26</v>
      </c>
    </row>
    <row r="933" spans="1:13" x14ac:dyDescent="0.3">
      <c r="A933" t="str">
        <f>HYPERLINK("https://hsdes.intel.com/resource/14013174841","14013174841")</f>
        <v>14013174841</v>
      </c>
      <c r="B933" t="s">
        <v>2128</v>
      </c>
      <c r="C933" t="s">
        <v>12</v>
      </c>
      <c r="D933" t="s">
        <v>2129</v>
      </c>
      <c r="E933" t="s">
        <v>14</v>
      </c>
      <c r="G933" t="s">
        <v>81</v>
      </c>
      <c r="H933" s="2">
        <v>44785</v>
      </c>
      <c r="I933" t="s">
        <v>132</v>
      </c>
      <c r="J933" t="s">
        <v>2130</v>
      </c>
      <c r="L933" t="s">
        <v>147</v>
      </c>
      <c r="M933" t="s">
        <v>26</v>
      </c>
    </row>
    <row r="934" spans="1:13" x14ac:dyDescent="0.3">
      <c r="A934" t="str">
        <f>HYPERLINK("https://hsdes.intel.com/resource/14013174843","14013174843")</f>
        <v>14013174843</v>
      </c>
      <c r="B934" t="s">
        <v>2131</v>
      </c>
      <c r="C934" t="s">
        <v>12</v>
      </c>
      <c r="D934" t="s">
        <v>2132</v>
      </c>
      <c r="E934" t="s">
        <v>14</v>
      </c>
      <c r="G934" t="s">
        <v>72</v>
      </c>
      <c r="H934" s="2">
        <v>44801</v>
      </c>
      <c r="I934" t="s">
        <v>167</v>
      </c>
      <c r="J934" t="s">
        <v>2133</v>
      </c>
      <c r="L934" t="s">
        <v>147</v>
      </c>
      <c r="M934" t="s">
        <v>26</v>
      </c>
    </row>
    <row r="935" spans="1:13" x14ac:dyDescent="0.3">
      <c r="A935" t="str">
        <f>HYPERLINK("https://hsdes.intel.com/resource/14013175124","14013175124")</f>
        <v>14013175124</v>
      </c>
      <c r="B935" t="s">
        <v>2134</v>
      </c>
      <c r="C935" t="s">
        <v>12</v>
      </c>
      <c r="D935" t="s">
        <v>2135</v>
      </c>
      <c r="E935" t="s">
        <v>120</v>
      </c>
      <c r="F935" t="s">
        <v>2036</v>
      </c>
      <c r="G935" t="s">
        <v>57</v>
      </c>
      <c r="H935" s="2">
        <v>44791</v>
      </c>
      <c r="I935" t="s">
        <v>167</v>
      </c>
      <c r="J935" t="s">
        <v>151</v>
      </c>
      <c r="L935" t="s">
        <v>147</v>
      </c>
      <c r="M935" t="s">
        <v>26</v>
      </c>
    </row>
    <row r="936" spans="1:13" x14ac:dyDescent="0.3">
      <c r="A936" t="str">
        <f>HYPERLINK("https://hsdes.intel.com/resource/14013175199","14013175199")</f>
        <v>14013175199</v>
      </c>
      <c r="B936" t="s">
        <v>2136</v>
      </c>
      <c r="C936" t="s">
        <v>12</v>
      </c>
      <c r="D936" t="s">
        <v>2137</v>
      </c>
      <c r="E936" t="s">
        <v>14</v>
      </c>
      <c r="G936" t="s">
        <v>57</v>
      </c>
      <c r="H936" s="2">
        <v>44799</v>
      </c>
      <c r="I936" t="s">
        <v>167</v>
      </c>
      <c r="J936" t="s">
        <v>186</v>
      </c>
      <c r="L936" t="s">
        <v>147</v>
      </c>
      <c r="M936" t="s">
        <v>26</v>
      </c>
    </row>
    <row r="937" spans="1:13" x14ac:dyDescent="0.3">
      <c r="A937" t="str">
        <f>HYPERLINK("https://hsdes.intel.com/resource/14013175225","14013175225")</f>
        <v>14013175225</v>
      </c>
      <c r="B937" t="s">
        <v>2138</v>
      </c>
      <c r="C937" t="s">
        <v>12</v>
      </c>
      <c r="D937" t="s">
        <v>2139</v>
      </c>
      <c r="E937" t="s">
        <v>14</v>
      </c>
      <c r="G937" t="s">
        <v>31</v>
      </c>
      <c r="H937" s="2">
        <v>44798</v>
      </c>
      <c r="I937" t="s">
        <v>167</v>
      </c>
      <c r="J937" t="s">
        <v>2039</v>
      </c>
      <c r="L937" t="s">
        <v>147</v>
      </c>
      <c r="M937" t="s">
        <v>26</v>
      </c>
    </row>
    <row r="938" spans="1:13" x14ac:dyDescent="0.3">
      <c r="A938" t="str">
        <f>HYPERLINK("https://hsdes.intel.com/resource/14013175301","14013175301")</f>
        <v>14013175301</v>
      </c>
      <c r="B938" t="s">
        <v>2140</v>
      </c>
      <c r="C938" t="s">
        <v>12</v>
      </c>
      <c r="D938" t="s">
        <v>2141</v>
      </c>
      <c r="E938" t="s">
        <v>14</v>
      </c>
      <c r="G938" t="s">
        <v>57</v>
      </c>
      <c r="H938" s="2">
        <v>44790</v>
      </c>
      <c r="I938" t="s">
        <v>167</v>
      </c>
      <c r="J938" t="s">
        <v>2039</v>
      </c>
      <c r="L938" t="s">
        <v>147</v>
      </c>
      <c r="M938" t="s">
        <v>22</v>
      </c>
    </row>
    <row r="939" spans="1:13" x14ac:dyDescent="0.3">
      <c r="A939" t="str">
        <f>HYPERLINK("https://hsdes.intel.com/resource/14013175303","14013175303")</f>
        <v>14013175303</v>
      </c>
      <c r="B939" t="s">
        <v>2142</v>
      </c>
      <c r="C939" t="s">
        <v>12</v>
      </c>
      <c r="D939" t="s">
        <v>2143</v>
      </c>
      <c r="E939" t="s">
        <v>14</v>
      </c>
      <c r="G939" t="s">
        <v>57</v>
      </c>
      <c r="H939" s="2">
        <v>44790</v>
      </c>
      <c r="I939" t="s">
        <v>167</v>
      </c>
      <c r="J939" t="s">
        <v>2039</v>
      </c>
      <c r="L939" t="s">
        <v>147</v>
      </c>
      <c r="M939" t="s">
        <v>22</v>
      </c>
    </row>
    <row r="940" spans="1:13" x14ac:dyDescent="0.3">
      <c r="A940" t="str">
        <f>HYPERLINK("https://hsdes.intel.com/resource/14013175399","14013175399")</f>
        <v>14013175399</v>
      </c>
      <c r="B940" t="s">
        <v>2144</v>
      </c>
      <c r="C940" t="s">
        <v>12</v>
      </c>
      <c r="D940" t="s">
        <v>2145</v>
      </c>
      <c r="E940" t="s">
        <v>97</v>
      </c>
      <c r="F940" t="s">
        <v>2146</v>
      </c>
      <c r="G940" t="s">
        <v>81</v>
      </c>
      <c r="I940" t="s">
        <v>167</v>
      </c>
      <c r="J940" t="s">
        <v>2039</v>
      </c>
      <c r="L940" t="s">
        <v>147</v>
      </c>
      <c r="M940" t="s">
        <v>26</v>
      </c>
    </row>
    <row r="941" spans="1:13" x14ac:dyDescent="0.3">
      <c r="A941" t="str">
        <f>HYPERLINK("https://hsdes.intel.com/resource/14013175404","14013175404")</f>
        <v>14013175404</v>
      </c>
      <c r="B941" t="s">
        <v>2147</v>
      </c>
      <c r="C941" t="s">
        <v>12</v>
      </c>
      <c r="D941" t="s">
        <v>2148</v>
      </c>
      <c r="E941" t="s">
        <v>97</v>
      </c>
      <c r="F941" t="s">
        <v>2149</v>
      </c>
      <c r="G941" t="s">
        <v>81</v>
      </c>
      <c r="I941" t="s">
        <v>167</v>
      </c>
      <c r="J941" t="s">
        <v>2039</v>
      </c>
      <c r="L941" t="s">
        <v>147</v>
      </c>
      <c r="M941" t="s">
        <v>26</v>
      </c>
    </row>
    <row r="942" spans="1:13" x14ac:dyDescent="0.3">
      <c r="A942" t="str">
        <f>HYPERLINK("https://hsdes.intel.com/resource/14013175425","14013175425")</f>
        <v>14013175425</v>
      </c>
      <c r="B942" t="s">
        <v>2150</v>
      </c>
      <c r="C942" t="s">
        <v>12</v>
      </c>
      <c r="D942" t="s">
        <v>2151</v>
      </c>
      <c r="E942" t="s">
        <v>14</v>
      </c>
      <c r="G942" t="s">
        <v>111</v>
      </c>
      <c r="H942" s="2">
        <v>44801</v>
      </c>
      <c r="I942" t="s">
        <v>167</v>
      </c>
      <c r="J942" t="s">
        <v>2069</v>
      </c>
      <c r="L942" t="s">
        <v>147</v>
      </c>
      <c r="M942" t="s">
        <v>22</v>
      </c>
    </row>
    <row r="943" spans="1:13" x14ac:dyDescent="0.3">
      <c r="A943" t="str">
        <f>HYPERLINK("https://hsdes.intel.com/resource/14013175448","14013175448")</f>
        <v>14013175448</v>
      </c>
      <c r="B943" t="s">
        <v>2152</v>
      </c>
      <c r="C943" t="s">
        <v>12</v>
      </c>
      <c r="D943" t="s">
        <v>2153</v>
      </c>
      <c r="E943" t="s">
        <v>14</v>
      </c>
      <c r="F943" t="s">
        <v>2154</v>
      </c>
      <c r="G943" t="s">
        <v>81</v>
      </c>
      <c r="H943" s="2">
        <v>44802</v>
      </c>
      <c r="I943" t="s">
        <v>167</v>
      </c>
      <c r="J943" t="s">
        <v>2039</v>
      </c>
      <c r="L943" t="s">
        <v>147</v>
      </c>
      <c r="M943" t="s">
        <v>19</v>
      </c>
    </row>
    <row r="944" spans="1:13" x14ac:dyDescent="0.3">
      <c r="A944" t="str">
        <f>HYPERLINK("https://hsdes.intel.com/resource/14013175611","14013175611")</f>
        <v>14013175611</v>
      </c>
      <c r="B944" t="s">
        <v>2155</v>
      </c>
      <c r="C944" t="s">
        <v>12</v>
      </c>
      <c r="D944" t="s">
        <v>2156</v>
      </c>
      <c r="E944" t="s">
        <v>14</v>
      </c>
      <c r="G944" t="s">
        <v>57</v>
      </c>
      <c r="H944" s="2">
        <v>44791</v>
      </c>
      <c r="I944" t="s">
        <v>132</v>
      </c>
      <c r="J944" t="s">
        <v>115</v>
      </c>
      <c r="L944" t="s">
        <v>133</v>
      </c>
      <c r="M944" t="s">
        <v>26</v>
      </c>
    </row>
    <row r="945" spans="1:13" x14ac:dyDescent="0.3">
      <c r="A945" t="str">
        <f>HYPERLINK("https://hsdes.intel.com/resource/14013175622","14013175622")</f>
        <v>14013175622</v>
      </c>
      <c r="B945" t="s">
        <v>2157</v>
      </c>
      <c r="C945" t="s">
        <v>12</v>
      </c>
      <c r="D945" t="s">
        <v>2158</v>
      </c>
      <c r="E945" t="s">
        <v>14</v>
      </c>
      <c r="G945" t="s">
        <v>69</v>
      </c>
      <c r="H945" s="2">
        <v>44785</v>
      </c>
      <c r="I945" t="s">
        <v>64</v>
      </c>
      <c r="J945" t="s">
        <v>65</v>
      </c>
      <c r="L945" t="s">
        <v>66</v>
      </c>
      <c r="M945" t="s">
        <v>26</v>
      </c>
    </row>
    <row r="946" spans="1:13" x14ac:dyDescent="0.3">
      <c r="A946" t="str">
        <f>HYPERLINK("https://hsdes.intel.com/resource/14013175625","14013175625")</f>
        <v>14013175625</v>
      </c>
      <c r="B946" t="s">
        <v>2159</v>
      </c>
      <c r="C946" t="s">
        <v>12</v>
      </c>
      <c r="D946" t="s">
        <v>2160</v>
      </c>
      <c r="E946" t="s">
        <v>14</v>
      </c>
      <c r="G946" t="s">
        <v>31</v>
      </c>
      <c r="H946" s="2">
        <v>44798</v>
      </c>
      <c r="I946" t="s">
        <v>32</v>
      </c>
      <c r="J946" t="s">
        <v>82</v>
      </c>
      <c r="L946" t="s">
        <v>125</v>
      </c>
      <c r="M946" t="s">
        <v>26</v>
      </c>
    </row>
    <row r="947" spans="1:13" x14ac:dyDescent="0.3">
      <c r="A947" t="str">
        <f>HYPERLINK("https://hsdes.intel.com/resource/14013175631","14013175631")</f>
        <v>14013175631</v>
      </c>
      <c r="B947" t="s">
        <v>2161</v>
      </c>
      <c r="C947" t="s">
        <v>12</v>
      </c>
      <c r="D947" t="s">
        <v>2162</v>
      </c>
      <c r="E947" t="s">
        <v>14</v>
      </c>
      <c r="G947" t="s">
        <v>31</v>
      </c>
      <c r="H947" s="2">
        <v>44798</v>
      </c>
      <c r="I947" t="s">
        <v>32</v>
      </c>
      <c r="J947" t="s">
        <v>82</v>
      </c>
      <c r="L947" t="s">
        <v>34</v>
      </c>
      <c r="M947" t="s">
        <v>26</v>
      </c>
    </row>
    <row r="948" spans="1:13" x14ac:dyDescent="0.3">
      <c r="A948" t="str">
        <f>HYPERLINK("https://hsdes.intel.com/resource/14013175635","14013175635")</f>
        <v>14013175635</v>
      </c>
      <c r="B948" t="s">
        <v>2163</v>
      </c>
      <c r="C948" t="s">
        <v>12</v>
      </c>
      <c r="D948" t="s">
        <v>2164</v>
      </c>
      <c r="E948" t="s">
        <v>14</v>
      </c>
      <c r="G948" t="s">
        <v>57</v>
      </c>
      <c r="H948" s="2">
        <v>44792</v>
      </c>
      <c r="I948" t="s">
        <v>32</v>
      </c>
      <c r="J948" t="s">
        <v>46</v>
      </c>
      <c r="L948" t="s">
        <v>177</v>
      </c>
      <c r="M948" t="s">
        <v>22</v>
      </c>
    </row>
    <row r="949" spans="1:13" x14ac:dyDescent="0.3">
      <c r="A949" t="str">
        <f>HYPERLINK("https://hsdes.intel.com/resource/14013175664","14013175664")</f>
        <v>14013175664</v>
      </c>
      <c r="B949" t="s">
        <v>2165</v>
      </c>
      <c r="C949" t="s">
        <v>12</v>
      </c>
      <c r="D949" t="s">
        <v>2166</v>
      </c>
      <c r="E949" t="s">
        <v>14</v>
      </c>
      <c r="G949" t="s">
        <v>31</v>
      </c>
      <c r="H949" s="2">
        <v>44798</v>
      </c>
      <c r="I949" t="s">
        <v>32</v>
      </c>
      <c r="J949" t="s">
        <v>33</v>
      </c>
      <c r="L949" t="s">
        <v>34</v>
      </c>
      <c r="M949" t="s">
        <v>26</v>
      </c>
    </row>
    <row r="950" spans="1:13" x14ac:dyDescent="0.3">
      <c r="A950" t="str">
        <f>HYPERLINK("https://hsdes.intel.com/resource/14013175666","14013175666")</f>
        <v>14013175666</v>
      </c>
      <c r="B950" t="s">
        <v>2167</v>
      </c>
      <c r="C950" t="s">
        <v>12</v>
      </c>
      <c r="D950" t="s">
        <v>2168</v>
      </c>
      <c r="E950" t="s">
        <v>14</v>
      </c>
      <c r="G950" t="s">
        <v>57</v>
      </c>
      <c r="H950" s="2">
        <v>44791</v>
      </c>
      <c r="I950" t="s">
        <v>132</v>
      </c>
      <c r="J950" t="s">
        <v>115</v>
      </c>
      <c r="L950" t="s">
        <v>133</v>
      </c>
      <c r="M950" t="s">
        <v>26</v>
      </c>
    </row>
    <row r="951" spans="1:13" x14ac:dyDescent="0.3">
      <c r="A951" t="str">
        <f>HYPERLINK("https://hsdes.intel.com/resource/14013175673","14013175673")</f>
        <v>14013175673</v>
      </c>
      <c r="B951" t="s">
        <v>2169</v>
      </c>
      <c r="C951" t="s">
        <v>12</v>
      </c>
      <c r="D951" t="s">
        <v>2170</v>
      </c>
      <c r="E951" t="s">
        <v>14</v>
      </c>
      <c r="F951" t="s">
        <v>2171</v>
      </c>
      <c r="G951" t="s">
        <v>63</v>
      </c>
      <c r="H951" s="2">
        <v>44789</v>
      </c>
      <c r="I951" t="s">
        <v>64</v>
      </c>
      <c r="J951" t="s">
        <v>65</v>
      </c>
      <c r="L951" t="s">
        <v>66</v>
      </c>
      <c r="M951" t="s">
        <v>26</v>
      </c>
    </row>
    <row r="952" spans="1:13" x14ac:dyDescent="0.3">
      <c r="A952" t="str">
        <f>HYPERLINK("https://hsdes.intel.com/resource/14013175709","14013175709")</f>
        <v>14013175709</v>
      </c>
      <c r="B952" t="s">
        <v>2172</v>
      </c>
      <c r="C952" t="s">
        <v>12</v>
      </c>
      <c r="D952" t="s">
        <v>2173</v>
      </c>
      <c r="E952" t="s">
        <v>14</v>
      </c>
      <c r="G952" t="s">
        <v>57</v>
      </c>
      <c r="H952" s="2">
        <v>44798</v>
      </c>
      <c r="I952" t="s">
        <v>132</v>
      </c>
      <c r="J952" t="s">
        <v>685</v>
      </c>
      <c r="L952" t="s">
        <v>133</v>
      </c>
      <c r="M952" t="s">
        <v>26</v>
      </c>
    </row>
    <row r="953" spans="1:13" x14ac:dyDescent="0.3">
      <c r="A953" t="str">
        <f>HYPERLINK("https://hsdes.intel.com/resource/14013175715","14013175715")</f>
        <v>14013175715</v>
      </c>
      <c r="B953" t="s">
        <v>2174</v>
      </c>
      <c r="C953" t="s">
        <v>12</v>
      </c>
      <c r="D953" t="s">
        <v>2175</v>
      </c>
      <c r="E953" t="s">
        <v>14</v>
      </c>
      <c r="G953" t="s">
        <v>57</v>
      </c>
      <c r="H953" s="2">
        <v>44798</v>
      </c>
      <c r="I953" t="s">
        <v>38</v>
      </c>
      <c r="J953" t="s">
        <v>115</v>
      </c>
      <c r="L953" t="s">
        <v>54</v>
      </c>
      <c r="M953" t="s">
        <v>26</v>
      </c>
    </row>
    <row r="954" spans="1:13" x14ac:dyDescent="0.3">
      <c r="A954" t="str">
        <f>HYPERLINK("https://hsdes.intel.com/resource/14013175718","14013175718")</f>
        <v>14013175718</v>
      </c>
      <c r="B954" t="s">
        <v>2176</v>
      </c>
      <c r="C954" t="s">
        <v>12</v>
      </c>
      <c r="D954" t="s">
        <v>2177</v>
      </c>
      <c r="E954" t="s">
        <v>14</v>
      </c>
      <c r="G954" t="s">
        <v>57</v>
      </c>
      <c r="H954" s="2">
        <v>44798</v>
      </c>
      <c r="I954" t="s">
        <v>38</v>
      </c>
      <c r="J954" t="s">
        <v>115</v>
      </c>
      <c r="L954" t="s">
        <v>54</v>
      </c>
      <c r="M954" t="s">
        <v>26</v>
      </c>
    </row>
    <row r="955" spans="1:13" x14ac:dyDescent="0.3">
      <c r="A955" t="str">
        <f>HYPERLINK("https://hsdes.intel.com/resource/14013175734","14013175734")</f>
        <v>14013175734</v>
      </c>
      <c r="B955" t="s">
        <v>2178</v>
      </c>
      <c r="C955" t="s">
        <v>12</v>
      </c>
      <c r="D955" t="s">
        <v>2179</v>
      </c>
      <c r="E955" t="s">
        <v>14</v>
      </c>
      <c r="G955" t="s">
        <v>111</v>
      </c>
      <c r="H955" s="2">
        <v>44784</v>
      </c>
      <c r="I955" t="s">
        <v>38</v>
      </c>
      <c r="J955" t="s">
        <v>2180</v>
      </c>
      <c r="L955" t="s">
        <v>54</v>
      </c>
      <c r="M955" t="s">
        <v>26</v>
      </c>
    </row>
    <row r="956" spans="1:13" x14ac:dyDescent="0.3">
      <c r="A956" t="str">
        <f>HYPERLINK("https://hsdes.intel.com/resource/14013175746","14013175746")</f>
        <v>14013175746</v>
      </c>
      <c r="B956" t="s">
        <v>2181</v>
      </c>
      <c r="C956" t="s">
        <v>12</v>
      </c>
      <c r="D956" t="s">
        <v>2182</v>
      </c>
      <c r="E956" t="s">
        <v>97</v>
      </c>
      <c r="F956" t="s">
        <v>2183</v>
      </c>
      <c r="G956" t="s">
        <v>111</v>
      </c>
      <c r="H956" s="2">
        <v>44789</v>
      </c>
      <c r="I956" t="s">
        <v>38</v>
      </c>
      <c r="J956" t="s">
        <v>106</v>
      </c>
      <c r="L956" t="s">
        <v>54</v>
      </c>
      <c r="M956" t="s">
        <v>26</v>
      </c>
    </row>
    <row r="957" spans="1:13" x14ac:dyDescent="0.3">
      <c r="A957" t="str">
        <f>HYPERLINK("https://hsdes.intel.com/resource/14013175764","14013175764")</f>
        <v>14013175764</v>
      </c>
      <c r="B957" t="s">
        <v>2184</v>
      </c>
      <c r="C957" t="s">
        <v>12</v>
      </c>
      <c r="D957" t="s">
        <v>2185</v>
      </c>
      <c r="E957" t="s">
        <v>14</v>
      </c>
      <c r="G957" t="s">
        <v>111</v>
      </c>
      <c r="H957" s="2">
        <v>44784</v>
      </c>
      <c r="I957" t="s">
        <v>167</v>
      </c>
      <c r="J957" t="s">
        <v>168</v>
      </c>
      <c r="L957" t="s">
        <v>147</v>
      </c>
      <c r="M957" t="s">
        <v>19</v>
      </c>
    </row>
    <row r="958" spans="1:13" x14ac:dyDescent="0.3">
      <c r="A958" t="str">
        <f>HYPERLINK("https://hsdes.intel.com/resource/14013175768","14013175768")</f>
        <v>14013175768</v>
      </c>
      <c r="B958" t="s">
        <v>2186</v>
      </c>
      <c r="C958" t="s">
        <v>12</v>
      </c>
      <c r="D958" t="s">
        <v>2187</v>
      </c>
      <c r="E958" t="s">
        <v>14</v>
      </c>
      <c r="G958" t="s">
        <v>31</v>
      </c>
      <c r="H958" s="2">
        <v>44796</v>
      </c>
      <c r="I958" t="s">
        <v>16</v>
      </c>
      <c r="J958" t="s">
        <v>17</v>
      </c>
      <c r="L958" t="s">
        <v>18</v>
      </c>
      <c r="M958" t="s">
        <v>19</v>
      </c>
    </row>
    <row r="959" spans="1:13" x14ac:dyDescent="0.3">
      <c r="A959" t="str">
        <f>HYPERLINK("https://hsdes.intel.com/resource/14013175770","14013175770")</f>
        <v>14013175770</v>
      </c>
      <c r="B959" t="s">
        <v>2188</v>
      </c>
      <c r="C959" t="s">
        <v>12</v>
      </c>
      <c r="D959" t="s">
        <v>2189</v>
      </c>
      <c r="E959" t="s">
        <v>14</v>
      </c>
      <c r="G959" t="s">
        <v>31</v>
      </c>
      <c r="H959" s="2">
        <v>44796</v>
      </c>
      <c r="I959" t="s">
        <v>16</v>
      </c>
      <c r="J959" t="s">
        <v>17</v>
      </c>
      <c r="L959" t="s">
        <v>18</v>
      </c>
      <c r="M959" t="s">
        <v>22</v>
      </c>
    </row>
    <row r="960" spans="1:13" x14ac:dyDescent="0.3">
      <c r="A960" t="str">
        <f>HYPERLINK("https://hsdes.intel.com/resource/14013175775","14013175775")</f>
        <v>14013175775</v>
      </c>
      <c r="B960" t="s">
        <v>2190</v>
      </c>
      <c r="C960" t="s">
        <v>12</v>
      </c>
      <c r="D960" t="s">
        <v>2191</v>
      </c>
      <c r="E960" t="s">
        <v>14</v>
      </c>
      <c r="G960" t="s">
        <v>111</v>
      </c>
      <c r="H960" s="2">
        <v>44799</v>
      </c>
      <c r="I960" t="s">
        <v>16</v>
      </c>
      <c r="J960" t="s">
        <v>17</v>
      </c>
      <c r="L960" t="s">
        <v>18</v>
      </c>
      <c r="M960" t="s">
        <v>19</v>
      </c>
    </row>
    <row r="961" spans="1:13" x14ac:dyDescent="0.3">
      <c r="A961" t="str">
        <f>HYPERLINK("https://hsdes.intel.com/resource/14013175782","14013175782")</f>
        <v>14013175782</v>
      </c>
      <c r="B961" t="s">
        <v>2192</v>
      </c>
      <c r="C961" t="s">
        <v>12</v>
      </c>
      <c r="D961" t="s">
        <v>2193</v>
      </c>
      <c r="E961" t="s">
        <v>14</v>
      </c>
      <c r="G961" t="s">
        <v>111</v>
      </c>
      <c r="H961" s="2">
        <v>44789</v>
      </c>
      <c r="I961" t="s">
        <v>38</v>
      </c>
      <c r="J961" t="s">
        <v>614</v>
      </c>
      <c r="L961" t="s">
        <v>54</v>
      </c>
      <c r="M961" t="s">
        <v>26</v>
      </c>
    </row>
    <row r="962" spans="1:13" x14ac:dyDescent="0.3">
      <c r="A962" t="str">
        <f>HYPERLINK("https://hsdes.intel.com/resource/14013175832","14013175832")</f>
        <v>14013175832</v>
      </c>
      <c r="B962" t="s">
        <v>2194</v>
      </c>
      <c r="C962" t="s">
        <v>12</v>
      </c>
      <c r="D962" t="s">
        <v>2195</v>
      </c>
      <c r="E962" t="s">
        <v>120</v>
      </c>
      <c r="F962" t="s">
        <v>2056</v>
      </c>
      <c r="G962" t="s">
        <v>81</v>
      </c>
      <c r="I962" t="s">
        <v>167</v>
      </c>
      <c r="J962" t="s">
        <v>151</v>
      </c>
      <c r="L962" t="s">
        <v>147</v>
      </c>
      <c r="M962" t="s">
        <v>26</v>
      </c>
    </row>
    <row r="963" spans="1:13" x14ac:dyDescent="0.3">
      <c r="A963" t="str">
        <f>HYPERLINK("https://hsdes.intel.com/resource/14013175866","14013175866")</f>
        <v>14013175866</v>
      </c>
      <c r="B963" t="s">
        <v>2196</v>
      </c>
      <c r="C963" t="s">
        <v>12</v>
      </c>
      <c r="D963" t="s">
        <v>2197</v>
      </c>
      <c r="E963" t="s">
        <v>14</v>
      </c>
      <c r="G963" t="s">
        <v>31</v>
      </c>
      <c r="H963" s="2">
        <v>44796</v>
      </c>
      <c r="I963" t="s">
        <v>16</v>
      </c>
      <c r="J963" t="s">
        <v>17</v>
      </c>
      <c r="L963" t="s">
        <v>18</v>
      </c>
      <c r="M963" t="s">
        <v>19</v>
      </c>
    </row>
    <row r="964" spans="1:13" x14ac:dyDescent="0.3">
      <c r="A964" t="str">
        <f>HYPERLINK("https://hsdes.intel.com/resource/14013175871","14013175871")</f>
        <v>14013175871</v>
      </c>
      <c r="B964" t="s">
        <v>2198</v>
      </c>
      <c r="C964" t="s">
        <v>12</v>
      </c>
      <c r="D964" t="s">
        <v>2199</v>
      </c>
      <c r="E964" t="s">
        <v>14</v>
      </c>
      <c r="G964" t="s">
        <v>63</v>
      </c>
      <c r="H964" s="2">
        <v>44789</v>
      </c>
      <c r="I964" t="s">
        <v>64</v>
      </c>
      <c r="J964" t="s">
        <v>65</v>
      </c>
      <c r="L964" t="s">
        <v>66</v>
      </c>
      <c r="M964" t="s">
        <v>22</v>
      </c>
    </row>
    <row r="965" spans="1:13" x14ac:dyDescent="0.3">
      <c r="A965" t="str">
        <f>HYPERLINK("https://hsdes.intel.com/resource/14013175888","14013175888")</f>
        <v>14013175888</v>
      </c>
      <c r="B965" t="s">
        <v>2200</v>
      </c>
      <c r="C965" t="s">
        <v>12</v>
      </c>
      <c r="D965" t="s">
        <v>2201</v>
      </c>
      <c r="E965" t="s">
        <v>14</v>
      </c>
      <c r="F965" t="s">
        <v>2202</v>
      </c>
      <c r="G965" t="s">
        <v>111</v>
      </c>
      <c r="H965" s="2">
        <v>44801</v>
      </c>
      <c r="I965" t="s">
        <v>38</v>
      </c>
      <c r="J965" t="s">
        <v>122</v>
      </c>
      <c r="L965" t="s">
        <v>54</v>
      </c>
      <c r="M965" t="s">
        <v>22</v>
      </c>
    </row>
    <row r="966" spans="1:13" x14ac:dyDescent="0.3">
      <c r="A966" t="str">
        <f>HYPERLINK("https://hsdes.intel.com/resource/14013175921","14013175921")</f>
        <v>14013175921</v>
      </c>
      <c r="B966" t="s">
        <v>2203</v>
      </c>
      <c r="C966" t="s">
        <v>12</v>
      </c>
      <c r="D966" t="s">
        <v>2204</v>
      </c>
      <c r="E966" t="s">
        <v>97</v>
      </c>
      <c r="F966" t="s">
        <v>2205</v>
      </c>
      <c r="G966" t="s">
        <v>81</v>
      </c>
      <c r="I966" t="s">
        <v>48</v>
      </c>
      <c r="J966" t="s">
        <v>151</v>
      </c>
      <c r="L966" t="s">
        <v>152</v>
      </c>
      <c r="M966" t="s">
        <v>26</v>
      </c>
    </row>
    <row r="967" spans="1:13" x14ac:dyDescent="0.3">
      <c r="A967" t="str">
        <f>HYPERLINK("https://hsdes.intel.com/resource/14013175930","14013175930")</f>
        <v>14013175930</v>
      </c>
      <c r="B967" t="s">
        <v>2206</v>
      </c>
      <c r="C967" t="s">
        <v>12</v>
      </c>
      <c r="D967" t="s">
        <v>2207</v>
      </c>
      <c r="E967" t="s">
        <v>14</v>
      </c>
      <c r="G967" t="s">
        <v>57</v>
      </c>
      <c r="H967" s="2">
        <v>44798</v>
      </c>
      <c r="I967" t="s">
        <v>38</v>
      </c>
      <c r="J967" t="s">
        <v>271</v>
      </c>
      <c r="L967" t="s">
        <v>54</v>
      </c>
      <c r="M967" t="s">
        <v>26</v>
      </c>
    </row>
    <row r="968" spans="1:13" x14ac:dyDescent="0.3">
      <c r="A968" t="str">
        <f>HYPERLINK("https://hsdes.intel.com/resource/14013175942","14013175942")</f>
        <v>14013175942</v>
      </c>
      <c r="B968" t="s">
        <v>2208</v>
      </c>
      <c r="C968" t="s">
        <v>12</v>
      </c>
      <c r="D968" t="s">
        <v>2209</v>
      </c>
      <c r="E968" t="s">
        <v>14</v>
      </c>
      <c r="F968" t="s">
        <v>2210</v>
      </c>
      <c r="G968" t="s">
        <v>111</v>
      </c>
      <c r="H968" s="2">
        <v>44789</v>
      </c>
      <c r="I968" t="s">
        <v>38</v>
      </c>
      <c r="J968" t="s">
        <v>115</v>
      </c>
      <c r="L968" t="s">
        <v>54</v>
      </c>
      <c r="M968" t="s">
        <v>19</v>
      </c>
    </row>
    <row r="969" spans="1:13" x14ac:dyDescent="0.3">
      <c r="A969" t="str">
        <f>HYPERLINK("https://hsdes.intel.com/resource/14013175946","14013175946")</f>
        <v>14013175946</v>
      </c>
      <c r="B969" t="s">
        <v>2211</v>
      </c>
      <c r="C969" t="s">
        <v>12</v>
      </c>
      <c r="D969" t="s">
        <v>2212</v>
      </c>
      <c r="E969" t="s">
        <v>14</v>
      </c>
      <c r="G969" t="s">
        <v>81</v>
      </c>
      <c r="H969" s="2">
        <v>44791</v>
      </c>
      <c r="I969" t="s">
        <v>64</v>
      </c>
      <c r="J969" t="s">
        <v>112</v>
      </c>
      <c r="L969" t="s">
        <v>66</v>
      </c>
      <c r="M969" t="s">
        <v>26</v>
      </c>
    </row>
    <row r="970" spans="1:13" x14ac:dyDescent="0.3">
      <c r="A970" t="str">
        <f>HYPERLINK("https://hsdes.intel.com/resource/14013175948","14013175948")</f>
        <v>14013175948</v>
      </c>
      <c r="B970" t="s">
        <v>2213</v>
      </c>
      <c r="C970" t="s">
        <v>12</v>
      </c>
      <c r="D970" t="s">
        <v>2214</v>
      </c>
      <c r="E970" t="s">
        <v>14</v>
      </c>
      <c r="G970" t="s">
        <v>111</v>
      </c>
      <c r="H970" s="2">
        <v>44784</v>
      </c>
      <c r="I970" t="s">
        <v>167</v>
      </c>
      <c r="J970" t="s">
        <v>168</v>
      </c>
      <c r="L970" t="s">
        <v>147</v>
      </c>
      <c r="M970" t="s">
        <v>22</v>
      </c>
    </row>
    <row r="971" spans="1:13" x14ac:dyDescent="0.3">
      <c r="A971" t="str">
        <f>HYPERLINK("https://hsdes.intel.com/resource/14013175953","14013175953")</f>
        <v>14013175953</v>
      </c>
      <c r="B971" t="s">
        <v>2215</v>
      </c>
      <c r="C971" t="s">
        <v>12</v>
      </c>
      <c r="D971" t="s">
        <v>2216</v>
      </c>
      <c r="E971" t="s">
        <v>14</v>
      </c>
      <c r="G971" t="s">
        <v>57</v>
      </c>
      <c r="H971" s="2">
        <v>44798</v>
      </c>
      <c r="I971" t="s">
        <v>167</v>
      </c>
      <c r="J971" t="s">
        <v>168</v>
      </c>
      <c r="L971" t="s">
        <v>147</v>
      </c>
      <c r="M971" t="s">
        <v>26</v>
      </c>
    </row>
    <row r="972" spans="1:13" x14ac:dyDescent="0.3">
      <c r="A972" t="str">
        <f>HYPERLINK("https://hsdes.intel.com/resource/14013176019","14013176019")</f>
        <v>14013176019</v>
      </c>
      <c r="B972" t="s">
        <v>2217</v>
      </c>
      <c r="C972" t="s">
        <v>12</v>
      </c>
      <c r="D972" t="s">
        <v>2218</v>
      </c>
      <c r="E972" t="s">
        <v>14</v>
      </c>
      <c r="G972" t="s">
        <v>111</v>
      </c>
      <c r="H972" s="2">
        <v>44789</v>
      </c>
      <c r="I972" t="s">
        <v>38</v>
      </c>
      <c r="J972" t="s">
        <v>106</v>
      </c>
      <c r="L972" t="s">
        <v>54</v>
      </c>
      <c r="M972" t="s">
        <v>26</v>
      </c>
    </row>
    <row r="973" spans="1:13" x14ac:dyDescent="0.3">
      <c r="A973" t="str">
        <f>HYPERLINK("https://hsdes.intel.com/resource/14013176023","14013176023")</f>
        <v>14013176023</v>
      </c>
      <c r="B973" t="s">
        <v>2219</v>
      </c>
      <c r="C973" t="s">
        <v>12</v>
      </c>
      <c r="D973" t="s">
        <v>2220</v>
      </c>
      <c r="E973" t="s">
        <v>14</v>
      </c>
      <c r="F973" t="s">
        <v>2221</v>
      </c>
      <c r="G973" t="s">
        <v>57</v>
      </c>
      <c r="H973" s="2">
        <v>44792</v>
      </c>
      <c r="I973" t="s">
        <v>32</v>
      </c>
      <c r="J973" t="s">
        <v>46</v>
      </c>
      <c r="L973" t="s">
        <v>177</v>
      </c>
      <c r="M973" t="s">
        <v>22</v>
      </c>
    </row>
    <row r="974" spans="1:13" x14ac:dyDescent="0.3">
      <c r="A974" t="str">
        <f>HYPERLINK("https://hsdes.intel.com/resource/14013176026","14013176026")</f>
        <v>14013176026</v>
      </c>
      <c r="B974" t="s">
        <v>2222</v>
      </c>
      <c r="C974" t="s">
        <v>12</v>
      </c>
      <c r="D974" t="s">
        <v>2223</v>
      </c>
      <c r="E974" t="s">
        <v>14</v>
      </c>
      <c r="G974" t="s">
        <v>63</v>
      </c>
      <c r="H974" s="2">
        <v>44789</v>
      </c>
      <c r="I974" t="s">
        <v>64</v>
      </c>
      <c r="J974" t="s">
        <v>112</v>
      </c>
      <c r="L974" t="s">
        <v>66</v>
      </c>
      <c r="M974" t="s">
        <v>26</v>
      </c>
    </row>
    <row r="975" spans="1:13" x14ac:dyDescent="0.3">
      <c r="A975" t="str">
        <f>HYPERLINK("https://hsdes.intel.com/resource/14013176036","14013176036")</f>
        <v>14013176036</v>
      </c>
      <c r="B975" t="s">
        <v>2224</v>
      </c>
      <c r="C975" t="s">
        <v>12</v>
      </c>
      <c r="D975" t="s">
        <v>2225</v>
      </c>
      <c r="E975" t="s">
        <v>14</v>
      </c>
      <c r="G975" t="s">
        <v>31</v>
      </c>
      <c r="H975" s="2">
        <v>44796</v>
      </c>
      <c r="I975" t="s">
        <v>16</v>
      </c>
      <c r="J975" t="s">
        <v>17</v>
      </c>
      <c r="L975" t="s">
        <v>18</v>
      </c>
      <c r="M975" t="s">
        <v>22</v>
      </c>
    </row>
    <row r="976" spans="1:13" x14ac:dyDescent="0.3">
      <c r="A976" t="str">
        <f>HYPERLINK("https://hsdes.intel.com/resource/14013176039","14013176039")</f>
        <v>14013176039</v>
      </c>
      <c r="B976" t="s">
        <v>2226</v>
      </c>
      <c r="C976" t="s">
        <v>12</v>
      </c>
      <c r="D976" t="s">
        <v>2227</v>
      </c>
      <c r="E976" t="s">
        <v>14</v>
      </c>
      <c r="F976" t="s">
        <v>46</v>
      </c>
      <c r="G976" t="s">
        <v>111</v>
      </c>
      <c r="H976" s="2">
        <v>44785</v>
      </c>
      <c r="I976" t="s">
        <v>38</v>
      </c>
      <c r="J976" t="s">
        <v>46</v>
      </c>
      <c r="L976" t="s">
        <v>54</v>
      </c>
      <c r="M976" t="s">
        <v>22</v>
      </c>
    </row>
    <row r="977" spans="1:13" x14ac:dyDescent="0.3">
      <c r="A977" t="str">
        <f>HYPERLINK("https://hsdes.intel.com/resource/14013176048","14013176048")</f>
        <v>14013176048</v>
      </c>
      <c r="B977" t="s">
        <v>2228</v>
      </c>
      <c r="C977" t="s">
        <v>12</v>
      </c>
      <c r="D977" t="s">
        <v>2229</v>
      </c>
      <c r="E977" t="s">
        <v>14</v>
      </c>
      <c r="G977" t="s">
        <v>111</v>
      </c>
      <c r="H977" s="2">
        <v>44785</v>
      </c>
      <c r="I977" t="s">
        <v>38</v>
      </c>
      <c r="J977" t="s">
        <v>115</v>
      </c>
      <c r="L977" t="s">
        <v>54</v>
      </c>
      <c r="M977" t="s">
        <v>26</v>
      </c>
    </row>
    <row r="978" spans="1:13" x14ac:dyDescent="0.3">
      <c r="A978" t="str">
        <f>HYPERLINK("https://hsdes.intel.com/resource/14013176053","14013176053")</f>
        <v>14013176053</v>
      </c>
      <c r="B978" t="s">
        <v>2230</v>
      </c>
      <c r="C978" t="s">
        <v>12</v>
      </c>
      <c r="D978" t="s">
        <v>2231</v>
      </c>
      <c r="E978" t="s">
        <v>14</v>
      </c>
      <c r="G978" t="s">
        <v>111</v>
      </c>
      <c r="H978" s="2">
        <v>44785</v>
      </c>
      <c r="I978" t="s">
        <v>38</v>
      </c>
      <c r="J978" t="s">
        <v>299</v>
      </c>
      <c r="L978" t="s">
        <v>54</v>
      </c>
      <c r="M978" t="s">
        <v>26</v>
      </c>
    </row>
    <row r="979" spans="1:13" x14ac:dyDescent="0.3">
      <c r="A979" t="str">
        <f>HYPERLINK("https://hsdes.intel.com/resource/14013176063","14013176063")</f>
        <v>14013176063</v>
      </c>
      <c r="B979" t="s">
        <v>2232</v>
      </c>
      <c r="C979" t="s">
        <v>12</v>
      </c>
      <c r="D979" t="s">
        <v>2233</v>
      </c>
      <c r="E979" t="s">
        <v>14</v>
      </c>
      <c r="G979" t="s">
        <v>111</v>
      </c>
      <c r="H979" s="2">
        <v>44784</v>
      </c>
      <c r="I979" t="s">
        <v>167</v>
      </c>
      <c r="J979" t="s">
        <v>168</v>
      </c>
      <c r="L979" t="s">
        <v>147</v>
      </c>
      <c r="M979" t="s">
        <v>26</v>
      </c>
    </row>
    <row r="980" spans="1:13" x14ac:dyDescent="0.3">
      <c r="A980" t="str">
        <f>HYPERLINK("https://hsdes.intel.com/resource/14013176068","14013176068")</f>
        <v>14013176068</v>
      </c>
      <c r="B980" s="8" t="s">
        <v>2234</v>
      </c>
      <c r="C980" t="s">
        <v>12</v>
      </c>
      <c r="D980" t="s">
        <v>2235</v>
      </c>
      <c r="E980" t="s">
        <v>14</v>
      </c>
      <c r="G980" t="s">
        <v>63</v>
      </c>
      <c r="H980" s="2">
        <v>44789</v>
      </c>
      <c r="I980" t="s">
        <v>64</v>
      </c>
      <c r="J980" t="s">
        <v>65</v>
      </c>
      <c r="L980" t="s">
        <v>66</v>
      </c>
      <c r="M980" t="s">
        <v>26</v>
      </c>
    </row>
    <row r="981" spans="1:13" x14ac:dyDescent="0.3">
      <c r="A981" t="str">
        <f>HYPERLINK("https://hsdes.intel.com/resource/14013176084","14013176084")</f>
        <v>14013176084</v>
      </c>
      <c r="B981" t="s">
        <v>2236</v>
      </c>
      <c r="C981" t="s">
        <v>12</v>
      </c>
      <c r="D981" t="s">
        <v>2237</v>
      </c>
      <c r="E981" t="s">
        <v>14</v>
      </c>
      <c r="F981" t="s">
        <v>2238</v>
      </c>
      <c r="G981" t="s">
        <v>111</v>
      </c>
      <c r="H981" s="2">
        <v>44785</v>
      </c>
      <c r="I981" t="s">
        <v>38</v>
      </c>
      <c r="J981" t="s">
        <v>106</v>
      </c>
      <c r="L981" t="s">
        <v>54</v>
      </c>
      <c r="M981" t="s">
        <v>26</v>
      </c>
    </row>
    <row r="982" spans="1:13" x14ac:dyDescent="0.3">
      <c r="A982" t="str">
        <f>HYPERLINK("https://hsdes.intel.com/resource/14013176088","14013176088")</f>
        <v>14013176088</v>
      </c>
      <c r="B982" t="s">
        <v>2239</v>
      </c>
      <c r="C982" t="s">
        <v>12</v>
      </c>
      <c r="D982" t="s">
        <v>2240</v>
      </c>
      <c r="E982" t="s">
        <v>14</v>
      </c>
      <c r="G982" t="s">
        <v>63</v>
      </c>
      <c r="H982" s="2">
        <v>44789</v>
      </c>
      <c r="I982" t="s">
        <v>64</v>
      </c>
      <c r="J982" t="s">
        <v>65</v>
      </c>
      <c r="L982" t="s">
        <v>66</v>
      </c>
      <c r="M982" t="s">
        <v>22</v>
      </c>
    </row>
    <row r="983" spans="1:13" x14ac:dyDescent="0.3">
      <c r="A983" t="str">
        <f>HYPERLINK("https://hsdes.intel.com/resource/14013176106","14013176106")</f>
        <v>14013176106</v>
      </c>
      <c r="B983" t="s">
        <v>2241</v>
      </c>
      <c r="C983" t="s">
        <v>12</v>
      </c>
      <c r="D983" t="s">
        <v>2242</v>
      </c>
      <c r="E983" t="s">
        <v>120</v>
      </c>
      <c r="F983" t="s">
        <v>2243</v>
      </c>
      <c r="G983" t="s">
        <v>111</v>
      </c>
      <c r="H983" s="2">
        <v>44789</v>
      </c>
      <c r="I983" t="s">
        <v>38</v>
      </c>
      <c r="J983" t="s">
        <v>77</v>
      </c>
      <c r="L983" t="s">
        <v>54</v>
      </c>
      <c r="M983" t="s">
        <v>22</v>
      </c>
    </row>
    <row r="984" spans="1:13" x14ac:dyDescent="0.3">
      <c r="A984" t="str">
        <f>HYPERLINK("https://hsdes.intel.com/resource/14013176145","14013176145")</f>
        <v>14013176145</v>
      </c>
      <c r="B984" t="s">
        <v>2244</v>
      </c>
      <c r="C984" t="s">
        <v>12</v>
      </c>
      <c r="D984" t="s">
        <v>2245</v>
      </c>
      <c r="E984" t="s">
        <v>14</v>
      </c>
      <c r="G984" t="s">
        <v>57</v>
      </c>
      <c r="H984" s="2">
        <v>44798</v>
      </c>
      <c r="I984" t="s">
        <v>167</v>
      </c>
      <c r="J984" t="s">
        <v>168</v>
      </c>
      <c r="L984" t="s">
        <v>147</v>
      </c>
      <c r="M984" t="s">
        <v>26</v>
      </c>
    </row>
    <row r="985" spans="1:13" x14ac:dyDescent="0.3">
      <c r="A985" t="str">
        <f>HYPERLINK("https://hsdes.intel.com/resource/14013176160","14013176160")</f>
        <v>14013176160</v>
      </c>
      <c r="B985" t="s">
        <v>2246</v>
      </c>
      <c r="C985" t="s">
        <v>12</v>
      </c>
      <c r="D985" t="s">
        <v>2247</v>
      </c>
      <c r="E985" t="s">
        <v>14</v>
      </c>
      <c r="G985" t="s">
        <v>57</v>
      </c>
      <c r="H985" s="2">
        <v>44798</v>
      </c>
      <c r="I985" t="s">
        <v>38</v>
      </c>
      <c r="J985" t="s">
        <v>106</v>
      </c>
      <c r="L985" t="s">
        <v>54</v>
      </c>
      <c r="M985" t="s">
        <v>26</v>
      </c>
    </row>
    <row r="986" spans="1:13" x14ac:dyDescent="0.3">
      <c r="A986" t="str">
        <f>HYPERLINK("https://hsdes.intel.com/resource/14013176205","14013176205")</f>
        <v>14013176205</v>
      </c>
      <c r="B986" t="s">
        <v>2248</v>
      </c>
      <c r="C986" t="s">
        <v>12</v>
      </c>
      <c r="D986" t="s">
        <v>2249</v>
      </c>
      <c r="E986" t="s">
        <v>14</v>
      </c>
      <c r="G986" t="s">
        <v>111</v>
      </c>
      <c r="H986" s="2">
        <v>44784</v>
      </c>
      <c r="I986" t="s">
        <v>167</v>
      </c>
      <c r="J986" t="s">
        <v>168</v>
      </c>
      <c r="L986" t="s">
        <v>147</v>
      </c>
      <c r="M986" t="s">
        <v>26</v>
      </c>
    </row>
    <row r="987" spans="1:13" x14ac:dyDescent="0.3">
      <c r="A987" t="str">
        <f>HYPERLINK("https://hsdes.intel.com/resource/14013176209","14013176209")</f>
        <v>14013176209</v>
      </c>
      <c r="B987" t="s">
        <v>2250</v>
      </c>
      <c r="C987" t="s">
        <v>12</v>
      </c>
      <c r="D987" t="s">
        <v>2251</v>
      </c>
      <c r="E987" t="s">
        <v>14</v>
      </c>
      <c r="F987" t="s">
        <v>2252</v>
      </c>
      <c r="G987" t="s">
        <v>111</v>
      </c>
      <c r="H987" s="2">
        <v>44785</v>
      </c>
      <c r="I987" t="s">
        <v>38</v>
      </c>
      <c r="J987" t="s">
        <v>106</v>
      </c>
      <c r="L987" t="s">
        <v>54</v>
      </c>
      <c r="M987" t="s">
        <v>26</v>
      </c>
    </row>
    <row r="988" spans="1:13" x14ac:dyDescent="0.3">
      <c r="A988" t="str">
        <f>HYPERLINK("https://hsdes.intel.com/resource/14013176227","14013176227")</f>
        <v>14013176227</v>
      </c>
      <c r="B988" t="s">
        <v>2253</v>
      </c>
      <c r="C988" t="s">
        <v>12</v>
      </c>
      <c r="D988" t="s">
        <v>2254</v>
      </c>
      <c r="E988" t="s">
        <v>14</v>
      </c>
      <c r="F988" t="s">
        <v>2255</v>
      </c>
      <c r="G988" t="s">
        <v>31</v>
      </c>
      <c r="H988" s="2">
        <v>44797</v>
      </c>
      <c r="I988" t="s">
        <v>48</v>
      </c>
      <c r="J988" t="s">
        <v>271</v>
      </c>
      <c r="L988" t="s">
        <v>272</v>
      </c>
      <c r="M988" t="s">
        <v>22</v>
      </c>
    </row>
    <row r="989" spans="1:13" x14ac:dyDescent="0.3">
      <c r="A989" t="str">
        <f>HYPERLINK("https://hsdes.intel.com/resource/14013176237","14013176237")</f>
        <v>14013176237</v>
      </c>
      <c r="B989" t="s">
        <v>2256</v>
      </c>
      <c r="C989" t="s">
        <v>12</v>
      </c>
      <c r="D989" t="s">
        <v>2257</v>
      </c>
      <c r="E989" t="s">
        <v>14</v>
      </c>
      <c r="F989" s="10"/>
      <c r="G989" t="s">
        <v>111</v>
      </c>
      <c r="H989" s="2">
        <v>44784</v>
      </c>
      <c r="I989" t="s">
        <v>167</v>
      </c>
      <c r="J989" t="s">
        <v>168</v>
      </c>
      <c r="L989" t="s">
        <v>147</v>
      </c>
      <c r="M989" t="s">
        <v>26</v>
      </c>
    </row>
    <row r="990" spans="1:13" x14ac:dyDescent="0.3">
      <c r="A990" t="str">
        <f>HYPERLINK("https://hsdes.intel.com/resource/14013176251","14013176251")</f>
        <v>14013176251</v>
      </c>
      <c r="B990" t="s">
        <v>2258</v>
      </c>
      <c r="C990" t="s">
        <v>12</v>
      </c>
      <c r="D990" t="s">
        <v>2259</v>
      </c>
      <c r="E990" t="s">
        <v>14</v>
      </c>
      <c r="G990" t="s">
        <v>111</v>
      </c>
      <c r="H990" s="2">
        <v>44784</v>
      </c>
      <c r="I990" t="s">
        <v>48</v>
      </c>
      <c r="J990" t="s">
        <v>271</v>
      </c>
      <c r="L990" t="s">
        <v>54</v>
      </c>
      <c r="M990" t="s">
        <v>26</v>
      </c>
    </row>
    <row r="991" spans="1:13" x14ac:dyDescent="0.3">
      <c r="A991" t="str">
        <f>HYPERLINK("https://hsdes.intel.com/resource/14013176259","14013176259")</f>
        <v>14013176259</v>
      </c>
      <c r="B991" t="s">
        <v>2260</v>
      </c>
      <c r="C991" t="s">
        <v>12</v>
      </c>
      <c r="D991" t="s">
        <v>2261</v>
      </c>
      <c r="E991" t="s">
        <v>14</v>
      </c>
      <c r="G991" t="s">
        <v>57</v>
      </c>
      <c r="H991" s="2">
        <v>44790</v>
      </c>
      <c r="I991" t="s">
        <v>38</v>
      </c>
      <c r="J991" t="s">
        <v>77</v>
      </c>
      <c r="L991" t="s">
        <v>78</v>
      </c>
      <c r="M991" t="s">
        <v>26</v>
      </c>
    </row>
    <row r="992" spans="1:13" x14ac:dyDescent="0.3">
      <c r="A992" t="str">
        <f>HYPERLINK("https://hsdes.intel.com/resource/14013176285","14013176285")</f>
        <v>14013176285</v>
      </c>
      <c r="B992" t="s">
        <v>2262</v>
      </c>
      <c r="C992" t="s">
        <v>12</v>
      </c>
      <c r="D992" t="s">
        <v>2263</v>
      </c>
      <c r="E992" t="s">
        <v>120</v>
      </c>
      <c r="F992" t="s">
        <v>2033</v>
      </c>
      <c r="G992" t="s">
        <v>111</v>
      </c>
      <c r="H992" s="2">
        <v>44784</v>
      </c>
      <c r="I992" t="s">
        <v>167</v>
      </c>
      <c r="J992" t="s">
        <v>168</v>
      </c>
      <c r="L992" t="s">
        <v>147</v>
      </c>
      <c r="M992" t="s">
        <v>22</v>
      </c>
    </row>
    <row r="993" spans="1:13" x14ac:dyDescent="0.3">
      <c r="A993" t="str">
        <f>HYPERLINK("https://hsdes.intel.com/resource/14013176305","14013176305")</f>
        <v>14013176305</v>
      </c>
      <c r="B993" t="s">
        <v>2264</v>
      </c>
      <c r="C993" t="s">
        <v>12</v>
      </c>
      <c r="D993" t="s">
        <v>2265</v>
      </c>
      <c r="E993" t="s">
        <v>14</v>
      </c>
      <c r="G993" t="s">
        <v>81</v>
      </c>
      <c r="H993" s="2">
        <v>44792</v>
      </c>
      <c r="I993" t="s">
        <v>32</v>
      </c>
      <c r="J993" t="s">
        <v>82</v>
      </c>
      <c r="L993" t="s">
        <v>34</v>
      </c>
      <c r="M993" t="s">
        <v>26</v>
      </c>
    </row>
    <row r="994" spans="1:13" x14ac:dyDescent="0.3">
      <c r="A994" t="str">
        <f>HYPERLINK("https://hsdes.intel.com/resource/14013176338","14013176338")</f>
        <v>14013176338</v>
      </c>
      <c r="B994" t="s">
        <v>2266</v>
      </c>
      <c r="C994" t="s">
        <v>12</v>
      </c>
      <c r="D994" t="s">
        <v>2267</v>
      </c>
      <c r="E994" t="s">
        <v>14</v>
      </c>
      <c r="F994" t="s">
        <v>2268</v>
      </c>
      <c r="G994" t="s">
        <v>57</v>
      </c>
      <c r="H994" s="2">
        <v>44799</v>
      </c>
      <c r="I994" t="s">
        <v>38</v>
      </c>
      <c r="J994" t="s">
        <v>106</v>
      </c>
      <c r="L994" t="s">
        <v>54</v>
      </c>
      <c r="M994" t="s">
        <v>26</v>
      </c>
    </row>
    <row r="995" spans="1:13" x14ac:dyDescent="0.3">
      <c r="A995" t="str">
        <f>HYPERLINK("https://hsdes.intel.com/resource/14013176353","14013176353")</f>
        <v>14013176353</v>
      </c>
      <c r="B995" t="s">
        <v>2269</v>
      </c>
      <c r="C995" t="s">
        <v>12</v>
      </c>
      <c r="D995" t="s">
        <v>2270</v>
      </c>
      <c r="E995" t="s">
        <v>14</v>
      </c>
      <c r="G995" t="s">
        <v>63</v>
      </c>
      <c r="H995" s="2">
        <v>44783</v>
      </c>
      <c r="I995" t="s">
        <v>16</v>
      </c>
      <c r="J995" t="s">
        <v>17</v>
      </c>
      <c r="L995" t="s">
        <v>18</v>
      </c>
      <c r="M995" t="s">
        <v>22</v>
      </c>
    </row>
    <row r="996" spans="1:13" x14ac:dyDescent="0.3">
      <c r="A996" t="str">
        <f>HYPERLINK("https://hsdes.intel.com/resource/14013176358","14013176358")</f>
        <v>14013176358</v>
      </c>
      <c r="B996" t="s">
        <v>2271</v>
      </c>
      <c r="C996" t="s">
        <v>12</v>
      </c>
      <c r="D996" t="s">
        <v>2272</v>
      </c>
      <c r="E996" t="s">
        <v>14</v>
      </c>
      <c r="G996" t="s">
        <v>43</v>
      </c>
      <c r="H996" s="2">
        <v>44785</v>
      </c>
      <c r="I996" t="s">
        <v>38</v>
      </c>
      <c r="J996" t="s">
        <v>39</v>
      </c>
      <c r="L996" t="s">
        <v>40</v>
      </c>
      <c r="M996" t="s">
        <v>26</v>
      </c>
    </row>
    <row r="997" spans="1:13" x14ac:dyDescent="0.3">
      <c r="A997" t="str">
        <f>HYPERLINK("https://hsdes.intel.com/resource/14013176373","14013176373")</f>
        <v>14013176373</v>
      </c>
      <c r="B997" t="s">
        <v>2273</v>
      </c>
      <c r="C997" t="s">
        <v>12</v>
      </c>
      <c r="D997" t="s">
        <v>2274</v>
      </c>
      <c r="E997" t="s">
        <v>14</v>
      </c>
      <c r="G997" t="s">
        <v>57</v>
      </c>
      <c r="H997" s="2">
        <v>44799</v>
      </c>
      <c r="I997" t="s">
        <v>38</v>
      </c>
      <c r="J997" t="s">
        <v>183</v>
      </c>
      <c r="L997" t="s">
        <v>54</v>
      </c>
      <c r="M997" t="s">
        <v>26</v>
      </c>
    </row>
    <row r="998" spans="1:13" x14ac:dyDescent="0.3">
      <c r="A998" t="str">
        <f>HYPERLINK("https://hsdes.intel.com/resource/14013176393","14013176393")</f>
        <v>14013176393</v>
      </c>
      <c r="B998" t="s">
        <v>2275</v>
      </c>
      <c r="C998" t="s">
        <v>12</v>
      </c>
      <c r="D998" t="s">
        <v>2276</v>
      </c>
      <c r="E998" t="s">
        <v>14</v>
      </c>
      <c r="F998" t="s">
        <v>2277</v>
      </c>
      <c r="G998" t="s">
        <v>57</v>
      </c>
      <c r="H998" s="2">
        <v>44792</v>
      </c>
      <c r="I998" t="s">
        <v>32</v>
      </c>
      <c r="J998" t="s">
        <v>46</v>
      </c>
      <c r="L998" t="s">
        <v>177</v>
      </c>
      <c r="M998" t="s">
        <v>22</v>
      </c>
    </row>
    <row r="999" spans="1:13" x14ac:dyDescent="0.3">
      <c r="A999" t="str">
        <f>HYPERLINK("https://hsdes.intel.com/resource/14013176417","14013176417")</f>
        <v>14013176417</v>
      </c>
      <c r="B999" t="s">
        <v>2278</v>
      </c>
      <c r="C999" t="s">
        <v>12</v>
      </c>
      <c r="D999" t="s">
        <v>2279</v>
      </c>
      <c r="E999" t="s">
        <v>14</v>
      </c>
      <c r="G999" t="s">
        <v>31</v>
      </c>
      <c r="H999" s="2">
        <v>44798</v>
      </c>
      <c r="I999" t="s">
        <v>32</v>
      </c>
      <c r="J999" t="s">
        <v>46</v>
      </c>
      <c r="L999" t="s">
        <v>177</v>
      </c>
      <c r="M999" t="s">
        <v>26</v>
      </c>
    </row>
    <row r="1000" spans="1:13" x14ac:dyDescent="0.3">
      <c r="A1000" t="str">
        <f>HYPERLINK("https://hsdes.intel.com/resource/14013176423","14013176423")</f>
        <v>14013176423</v>
      </c>
      <c r="B1000" t="s">
        <v>2280</v>
      </c>
      <c r="C1000" t="s">
        <v>12</v>
      </c>
      <c r="D1000" t="s">
        <v>2281</v>
      </c>
      <c r="E1000" t="s">
        <v>14</v>
      </c>
      <c r="G1000" t="s">
        <v>31</v>
      </c>
      <c r="H1000" s="2">
        <v>44798</v>
      </c>
      <c r="I1000" t="s">
        <v>32</v>
      </c>
      <c r="J1000" t="s">
        <v>46</v>
      </c>
      <c r="L1000" t="s">
        <v>177</v>
      </c>
      <c r="M1000" t="s">
        <v>26</v>
      </c>
    </row>
    <row r="1001" spans="1:13" x14ac:dyDescent="0.3">
      <c r="A1001" t="str">
        <f>HYPERLINK("https://hsdes.intel.com/resource/14013176439","14013176439")</f>
        <v>14013176439</v>
      </c>
      <c r="B1001" t="s">
        <v>2282</v>
      </c>
      <c r="C1001" t="s">
        <v>12</v>
      </c>
      <c r="D1001" t="s">
        <v>2283</v>
      </c>
      <c r="E1001" t="s">
        <v>14</v>
      </c>
      <c r="G1001" t="s">
        <v>69</v>
      </c>
      <c r="H1001" s="2">
        <v>44785</v>
      </c>
      <c r="I1001" t="s">
        <v>64</v>
      </c>
      <c r="J1001" t="s">
        <v>112</v>
      </c>
      <c r="L1001" t="s">
        <v>66</v>
      </c>
      <c r="M1001" t="s">
        <v>19</v>
      </c>
    </row>
    <row r="1002" spans="1:13" x14ac:dyDescent="0.3">
      <c r="A1002" t="str">
        <f>HYPERLINK("https://hsdes.intel.com/resource/14013176445","14013176445")</f>
        <v>14013176445</v>
      </c>
      <c r="B1002" t="s">
        <v>2284</v>
      </c>
      <c r="C1002" t="s">
        <v>12</v>
      </c>
      <c r="D1002" t="s">
        <v>2285</v>
      </c>
      <c r="E1002" t="s">
        <v>14</v>
      </c>
      <c r="G1002" t="s">
        <v>57</v>
      </c>
      <c r="H1002" s="2">
        <v>44799</v>
      </c>
      <c r="I1002" t="s">
        <v>38</v>
      </c>
      <c r="J1002" t="s">
        <v>115</v>
      </c>
      <c r="L1002" t="s">
        <v>54</v>
      </c>
      <c r="M1002" t="s">
        <v>26</v>
      </c>
    </row>
    <row r="1003" spans="1:13" x14ac:dyDescent="0.3">
      <c r="A1003" t="str">
        <f>HYPERLINK("https://hsdes.intel.com/resource/14013176448","14013176448")</f>
        <v>14013176448</v>
      </c>
      <c r="B1003" t="s">
        <v>2286</v>
      </c>
      <c r="C1003" t="s">
        <v>12</v>
      </c>
      <c r="D1003" t="s">
        <v>2287</v>
      </c>
      <c r="E1003" t="s">
        <v>14</v>
      </c>
      <c r="F1003" t="s">
        <v>2019</v>
      </c>
      <c r="G1003" t="s">
        <v>57</v>
      </c>
      <c r="H1003" s="2">
        <v>44799</v>
      </c>
      <c r="I1003" t="s">
        <v>167</v>
      </c>
      <c r="J1003" t="s">
        <v>168</v>
      </c>
      <c r="L1003" t="s">
        <v>147</v>
      </c>
      <c r="M1003" t="s">
        <v>26</v>
      </c>
    </row>
    <row r="1004" spans="1:13" x14ac:dyDescent="0.3">
      <c r="A1004" t="str">
        <f>HYPERLINK("https://hsdes.intel.com/resource/14013176487","14013176487")</f>
        <v>14013176487</v>
      </c>
      <c r="B1004" t="s">
        <v>2288</v>
      </c>
      <c r="C1004" t="s">
        <v>12</v>
      </c>
      <c r="D1004" t="s">
        <v>2289</v>
      </c>
      <c r="E1004" t="s">
        <v>14</v>
      </c>
      <c r="G1004" t="s">
        <v>1427</v>
      </c>
      <c r="H1004" s="2">
        <v>44791</v>
      </c>
      <c r="I1004" t="s">
        <v>64</v>
      </c>
      <c r="J1004" t="s">
        <v>112</v>
      </c>
      <c r="L1004" t="s">
        <v>66</v>
      </c>
      <c r="M1004" t="s">
        <v>19</v>
      </c>
    </row>
    <row r="1005" spans="1:13" x14ac:dyDescent="0.3">
      <c r="A1005" t="str">
        <f>HYPERLINK("https://hsdes.intel.com/resource/14013176503","14013176503")</f>
        <v>14013176503</v>
      </c>
      <c r="B1005" t="s">
        <v>2290</v>
      </c>
      <c r="C1005" t="s">
        <v>12</v>
      </c>
      <c r="D1005" t="s">
        <v>2291</v>
      </c>
      <c r="E1005" t="s">
        <v>14</v>
      </c>
      <c r="G1005" t="s">
        <v>1427</v>
      </c>
      <c r="H1005" s="2">
        <v>44791</v>
      </c>
      <c r="I1005" t="s">
        <v>64</v>
      </c>
      <c r="J1005" t="s">
        <v>112</v>
      </c>
      <c r="L1005" t="s">
        <v>66</v>
      </c>
      <c r="M1005" t="s">
        <v>26</v>
      </c>
    </row>
    <row r="1006" spans="1:13" x14ac:dyDescent="0.3">
      <c r="A1006" t="str">
        <f>HYPERLINK("https://hsdes.intel.com/resource/14013176544","14013176544")</f>
        <v>14013176544</v>
      </c>
      <c r="B1006" t="s">
        <v>2292</v>
      </c>
      <c r="C1006" t="s">
        <v>12</v>
      </c>
      <c r="D1006" t="s">
        <v>2293</v>
      </c>
      <c r="E1006" t="s">
        <v>14</v>
      </c>
      <c r="G1006" t="s">
        <v>63</v>
      </c>
      <c r="H1006" s="2">
        <v>44789</v>
      </c>
      <c r="I1006" t="s">
        <v>64</v>
      </c>
      <c r="J1006" t="s">
        <v>112</v>
      </c>
      <c r="L1006" t="s">
        <v>66</v>
      </c>
      <c r="M1006" t="s">
        <v>22</v>
      </c>
    </row>
    <row r="1007" spans="1:13" x14ac:dyDescent="0.3">
      <c r="A1007" t="str">
        <f>HYPERLINK("https://hsdes.intel.com/resource/14013176661","14013176661")</f>
        <v>14013176661</v>
      </c>
      <c r="B1007" t="s">
        <v>2294</v>
      </c>
      <c r="C1007" t="s">
        <v>12</v>
      </c>
      <c r="D1007" t="s">
        <v>2295</v>
      </c>
      <c r="E1007" t="s">
        <v>14</v>
      </c>
      <c r="G1007" t="s">
        <v>111</v>
      </c>
      <c r="H1007" s="2">
        <v>44789</v>
      </c>
      <c r="I1007" t="s">
        <v>38</v>
      </c>
      <c r="J1007" t="s">
        <v>115</v>
      </c>
      <c r="L1007" t="s">
        <v>54</v>
      </c>
      <c r="M1007" t="s">
        <v>26</v>
      </c>
    </row>
    <row r="1008" spans="1:13" x14ac:dyDescent="0.3">
      <c r="A1008" t="str">
        <f>HYPERLINK("https://hsdes.intel.com/resource/14013176669","14013176669")</f>
        <v>14013176669</v>
      </c>
      <c r="B1008" t="s">
        <v>2296</v>
      </c>
      <c r="C1008" t="s">
        <v>12</v>
      </c>
      <c r="D1008" t="s">
        <v>2297</v>
      </c>
      <c r="E1008" t="s">
        <v>14</v>
      </c>
      <c r="F1008" t="s">
        <v>2298</v>
      </c>
      <c r="G1008" t="s">
        <v>43</v>
      </c>
      <c r="H1008" s="2">
        <v>44799</v>
      </c>
      <c r="I1008" t="s">
        <v>32</v>
      </c>
      <c r="J1008" t="s">
        <v>46</v>
      </c>
      <c r="L1008" t="s">
        <v>177</v>
      </c>
      <c r="M1008" t="s">
        <v>19</v>
      </c>
    </row>
    <row r="1009" spans="1:13" x14ac:dyDescent="0.3">
      <c r="A1009" t="str">
        <f>HYPERLINK("https://hsdes.intel.com/resource/14013176706","14013176706")</f>
        <v>14013176706</v>
      </c>
      <c r="B1009" t="s">
        <v>2299</v>
      </c>
      <c r="C1009" t="s">
        <v>12</v>
      </c>
      <c r="D1009" t="s">
        <v>2300</v>
      </c>
      <c r="E1009" t="s">
        <v>779</v>
      </c>
      <c r="F1009" t="s">
        <v>3456</v>
      </c>
      <c r="G1009" t="s">
        <v>111</v>
      </c>
      <c r="H1009" s="2">
        <v>44802</v>
      </c>
      <c r="I1009" t="s">
        <v>38</v>
      </c>
      <c r="J1009" t="s">
        <v>106</v>
      </c>
      <c r="L1009" t="s">
        <v>54</v>
      </c>
      <c r="M1009" t="s">
        <v>26</v>
      </c>
    </row>
    <row r="1010" spans="1:13" x14ac:dyDescent="0.3">
      <c r="A1010" t="str">
        <f>HYPERLINK("https://hsdes.intel.com/resource/14013176721","14013176721")</f>
        <v>14013176721</v>
      </c>
      <c r="B1010" t="s">
        <v>2301</v>
      </c>
      <c r="C1010" t="s">
        <v>12</v>
      </c>
      <c r="D1010" t="s">
        <v>2302</v>
      </c>
      <c r="E1010" t="s">
        <v>14</v>
      </c>
      <c r="G1010" t="s">
        <v>81</v>
      </c>
      <c r="H1010" s="2">
        <v>44785</v>
      </c>
      <c r="I1010" t="s">
        <v>38</v>
      </c>
      <c r="J1010" t="s">
        <v>77</v>
      </c>
      <c r="L1010" t="s">
        <v>133</v>
      </c>
      <c r="M1010" t="s">
        <v>26</v>
      </c>
    </row>
    <row r="1011" spans="1:13" x14ac:dyDescent="0.3">
      <c r="A1011" t="str">
        <f>HYPERLINK("https://hsdes.intel.com/resource/14013176731","14013176731")</f>
        <v>14013176731</v>
      </c>
      <c r="B1011" t="s">
        <v>2303</v>
      </c>
      <c r="C1011" t="s">
        <v>12</v>
      </c>
      <c r="D1011" t="s">
        <v>2304</v>
      </c>
      <c r="E1011" t="s">
        <v>14</v>
      </c>
      <c r="G1011" t="s">
        <v>81</v>
      </c>
      <c r="H1011" s="2">
        <v>44785</v>
      </c>
      <c r="I1011" t="s">
        <v>38</v>
      </c>
      <c r="J1011" t="s">
        <v>77</v>
      </c>
      <c r="L1011" t="s">
        <v>133</v>
      </c>
      <c r="M1011" t="s">
        <v>26</v>
      </c>
    </row>
    <row r="1012" spans="1:13" x14ac:dyDescent="0.3">
      <c r="A1012" t="str">
        <f>HYPERLINK("https://hsdes.intel.com/resource/14013176752","14013176752")</f>
        <v>14013176752</v>
      </c>
      <c r="B1012" t="s">
        <v>2305</v>
      </c>
      <c r="C1012" t="s">
        <v>12</v>
      </c>
      <c r="D1012" t="s">
        <v>2306</v>
      </c>
      <c r="E1012" t="s">
        <v>14</v>
      </c>
      <c r="G1012" t="s">
        <v>81</v>
      </c>
      <c r="H1012" s="2">
        <v>44791</v>
      </c>
      <c r="I1012" t="s">
        <v>64</v>
      </c>
      <c r="J1012" t="s">
        <v>112</v>
      </c>
      <c r="L1012" t="s">
        <v>66</v>
      </c>
      <c r="M1012" t="s">
        <v>22</v>
      </c>
    </row>
    <row r="1013" spans="1:13" x14ac:dyDescent="0.3">
      <c r="A1013" t="str">
        <f>HYPERLINK("https://hsdes.intel.com/resource/14013176782","14013176782")</f>
        <v>14013176782</v>
      </c>
      <c r="B1013" t="s">
        <v>2307</v>
      </c>
      <c r="C1013" t="s">
        <v>12</v>
      </c>
      <c r="D1013" t="s">
        <v>2308</v>
      </c>
      <c r="E1013" t="s">
        <v>14</v>
      </c>
      <c r="G1013" t="s">
        <v>63</v>
      </c>
      <c r="H1013" s="2">
        <v>44789</v>
      </c>
      <c r="I1013" t="s">
        <v>64</v>
      </c>
      <c r="J1013" t="s">
        <v>112</v>
      </c>
      <c r="L1013" t="s">
        <v>66</v>
      </c>
      <c r="M1013" t="s">
        <v>26</v>
      </c>
    </row>
    <row r="1014" spans="1:13" x14ac:dyDescent="0.3">
      <c r="A1014" t="str">
        <f>HYPERLINK("https://hsdes.intel.com/resource/14013176807","14013176807")</f>
        <v>14013176807</v>
      </c>
      <c r="B1014" t="s">
        <v>2309</v>
      </c>
      <c r="C1014" t="s">
        <v>12</v>
      </c>
      <c r="D1014" t="s">
        <v>2310</v>
      </c>
      <c r="E1014" t="s">
        <v>14</v>
      </c>
      <c r="G1014" t="s">
        <v>57</v>
      </c>
      <c r="H1014" s="2">
        <v>44786</v>
      </c>
      <c r="I1014" t="s">
        <v>64</v>
      </c>
      <c r="J1014" t="s">
        <v>112</v>
      </c>
      <c r="L1014" t="s">
        <v>66</v>
      </c>
      <c r="M1014" t="s">
        <v>22</v>
      </c>
    </row>
    <row r="1015" spans="1:13" x14ac:dyDescent="0.3">
      <c r="A1015" t="str">
        <f>HYPERLINK("https://hsdes.intel.com/resource/14013176813","14013176813")</f>
        <v>14013176813</v>
      </c>
      <c r="B1015" t="s">
        <v>2311</v>
      </c>
      <c r="C1015" t="s">
        <v>12</v>
      </c>
      <c r="D1015" t="s">
        <v>2312</v>
      </c>
      <c r="E1015" t="s">
        <v>14</v>
      </c>
      <c r="G1015" t="s">
        <v>57</v>
      </c>
      <c r="H1015" s="2">
        <v>44786</v>
      </c>
      <c r="I1015" t="s">
        <v>64</v>
      </c>
      <c r="J1015" t="s">
        <v>112</v>
      </c>
      <c r="L1015" t="s">
        <v>66</v>
      </c>
      <c r="M1015" t="s">
        <v>19</v>
      </c>
    </row>
    <row r="1016" spans="1:13" x14ac:dyDescent="0.3">
      <c r="A1016" t="str">
        <f>HYPERLINK("https://hsdes.intel.com/resource/14013176879","14013176879")</f>
        <v>14013176879</v>
      </c>
      <c r="B1016" t="s">
        <v>2313</v>
      </c>
      <c r="C1016" t="s">
        <v>12</v>
      </c>
      <c r="D1016" t="s">
        <v>2314</v>
      </c>
      <c r="E1016" t="s">
        <v>97</v>
      </c>
      <c r="F1016" t="s">
        <v>2315</v>
      </c>
      <c r="G1016" t="s">
        <v>72</v>
      </c>
      <c r="H1016" s="2">
        <v>44802</v>
      </c>
      <c r="I1016" t="s">
        <v>32</v>
      </c>
      <c r="J1016" t="s">
        <v>46</v>
      </c>
      <c r="L1016" t="s">
        <v>177</v>
      </c>
      <c r="M1016" t="s">
        <v>22</v>
      </c>
    </row>
    <row r="1017" spans="1:13" x14ac:dyDescent="0.3">
      <c r="A1017" t="str">
        <f>HYPERLINK("https://hsdes.intel.com/resource/14013176882","14013176882")</f>
        <v>14013176882</v>
      </c>
      <c r="B1017" t="s">
        <v>2316</v>
      </c>
      <c r="C1017" t="s">
        <v>12</v>
      </c>
      <c r="D1017" t="s">
        <v>2317</v>
      </c>
      <c r="E1017" t="s">
        <v>14</v>
      </c>
      <c r="G1017" t="s">
        <v>111</v>
      </c>
      <c r="H1017" s="2">
        <v>44789</v>
      </c>
      <c r="I1017" t="s">
        <v>38</v>
      </c>
      <c r="J1017" t="s">
        <v>106</v>
      </c>
      <c r="L1017" t="s">
        <v>54</v>
      </c>
      <c r="M1017" t="s">
        <v>26</v>
      </c>
    </row>
    <row r="1018" spans="1:13" x14ac:dyDescent="0.3">
      <c r="A1018" t="str">
        <f>HYPERLINK("https://hsdes.intel.com/resource/14013176896","14013176896")</f>
        <v>14013176896</v>
      </c>
      <c r="B1018" t="s">
        <v>2318</v>
      </c>
      <c r="C1018" t="s">
        <v>12</v>
      </c>
      <c r="D1018" t="s">
        <v>2319</v>
      </c>
      <c r="E1018" t="s">
        <v>14</v>
      </c>
      <c r="F1018" t="s">
        <v>2320</v>
      </c>
      <c r="G1018" t="s">
        <v>31</v>
      </c>
      <c r="H1018" s="2">
        <v>44792</v>
      </c>
      <c r="I1018" t="s">
        <v>32</v>
      </c>
      <c r="J1018" t="s">
        <v>46</v>
      </c>
      <c r="L1018" t="s">
        <v>177</v>
      </c>
      <c r="M1018" t="s">
        <v>22</v>
      </c>
    </row>
    <row r="1019" spans="1:13" x14ac:dyDescent="0.3">
      <c r="A1019" t="str">
        <f>HYPERLINK("https://hsdes.intel.com/resource/14013176898","14013176898")</f>
        <v>14013176898</v>
      </c>
      <c r="B1019" t="s">
        <v>2321</v>
      </c>
      <c r="C1019" t="s">
        <v>12</v>
      </c>
      <c r="D1019" t="s">
        <v>2322</v>
      </c>
      <c r="E1019" t="s">
        <v>14</v>
      </c>
      <c r="G1019" t="s">
        <v>31</v>
      </c>
      <c r="H1019" s="2">
        <v>44792</v>
      </c>
      <c r="I1019" t="s">
        <v>32</v>
      </c>
      <c r="J1019" t="s">
        <v>46</v>
      </c>
      <c r="L1019" t="s">
        <v>177</v>
      </c>
      <c r="M1019" t="s">
        <v>22</v>
      </c>
    </row>
    <row r="1020" spans="1:13" x14ac:dyDescent="0.3">
      <c r="A1020" t="str">
        <f>HYPERLINK("https://hsdes.intel.com/resource/14013176901","14013176901")</f>
        <v>14013176901</v>
      </c>
      <c r="B1020" t="s">
        <v>2323</v>
      </c>
      <c r="C1020" t="s">
        <v>12</v>
      </c>
      <c r="D1020" t="s">
        <v>2324</v>
      </c>
      <c r="E1020" t="s">
        <v>14</v>
      </c>
      <c r="G1020" t="s">
        <v>57</v>
      </c>
      <c r="H1020" s="2">
        <v>44792</v>
      </c>
      <c r="I1020" t="s">
        <v>32</v>
      </c>
      <c r="J1020" t="s">
        <v>46</v>
      </c>
      <c r="L1020" t="s">
        <v>177</v>
      </c>
      <c r="M1020" t="s">
        <v>22</v>
      </c>
    </row>
    <row r="1021" spans="1:13" x14ac:dyDescent="0.3">
      <c r="A1021" t="str">
        <f>HYPERLINK("https://hsdes.intel.com/resource/14013176909","14013176909")</f>
        <v>14013176909</v>
      </c>
      <c r="B1021" t="s">
        <v>2325</v>
      </c>
      <c r="C1021" t="s">
        <v>12</v>
      </c>
      <c r="D1021" t="s">
        <v>2326</v>
      </c>
      <c r="E1021" t="s">
        <v>14</v>
      </c>
      <c r="F1021" t="s">
        <v>2327</v>
      </c>
      <c r="G1021" t="s">
        <v>43</v>
      </c>
      <c r="H1021" s="2">
        <v>44799</v>
      </c>
      <c r="I1021" t="s">
        <v>32</v>
      </c>
      <c r="J1021" t="s">
        <v>46</v>
      </c>
      <c r="L1021" t="s">
        <v>177</v>
      </c>
      <c r="M1021" t="s">
        <v>19</v>
      </c>
    </row>
    <row r="1022" spans="1:13" x14ac:dyDescent="0.3">
      <c r="A1022" t="str">
        <f>HYPERLINK("https://hsdes.intel.com/resource/14013176960","14013176960")</f>
        <v>14013176960</v>
      </c>
      <c r="B1022" t="s">
        <v>2328</v>
      </c>
      <c r="C1022" t="s">
        <v>12</v>
      </c>
      <c r="D1022" t="s">
        <v>2329</v>
      </c>
      <c r="E1022" t="s">
        <v>14</v>
      </c>
      <c r="F1022" t="s">
        <v>2330</v>
      </c>
      <c r="G1022" t="s">
        <v>111</v>
      </c>
      <c r="H1022" s="2">
        <v>44785</v>
      </c>
      <c r="I1022" t="s">
        <v>38</v>
      </c>
      <c r="J1022" t="s">
        <v>122</v>
      </c>
      <c r="L1022" t="s">
        <v>54</v>
      </c>
      <c r="M1022" t="s">
        <v>26</v>
      </c>
    </row>
    <row r="1023" spans="1:13" x14ac:dyDescent="0.3">
      <c r="A1023" t="str">
        <f>HYPERLINK("https://hsdes.intel.com/resource/14013176978","14013176978")</f>
        <v>14013176978</v>
      </c>
      <c r="B1023" t="s">
        <v>2331</v>
      </c>
      <c r="C1023" t="s">
        <v>12</v>
      </c>
      <c r="D1023" t="s">
        <v>2332</v>
      </c>
      <c r="E1023" t="s">
        <v>14</v>
      </c>
      <c r="G1023" t="s">
        <v>111</v>
      </c>
      <c r="H1023" s="2">
        <v>44789</v>
      </c>
      <c r="I1023" t="s">
        <v>38</v>
      </c>
      <c r="J1023" t="s">
        <v>106</v>
      </c>
      <c r="L1023" t="s">
        <v>54</v>
      </c>
      <c r="M1023" t="s">
        <v>26</v>
      </c>
    </row>
    <row r="1024" spans="1:13" x14ac:dyDescent="0.3">
      <c r="A1024" t="str">
        <f>HYPERLINK("https://hsdes.intel.com/resource/14013176987","14013176987")</f>
        <v>14013176987</v>
      </c>
      <c r="B1024" t="s">
        <v>2333</v>
      </c>
      <c r="C1024" t="s">
        <v>12</v>
      </c>
      <c r="D1024" t="s">
        <v>2334</v>
      </c>
      <c r="E1024" t="s">
        <v>120</v>
      </c>
      <c r="F1024" t="s">
        <v>2335</v>
      </c>
      <c r="G1024" t="s">
        <v>31</v>
      </c>
      <c r="I1024" t="s">
        <v>64</v>
      </c>
      <c r="J1024" t="s">
        <v>112</v>
      </c>
      <c r="L1024" t="s">
        <v>66</v>
      </c>
      <c r="M1024" t="s">
        <v>19</v>
      </c>
    </row>
    <row r="1025" spans="1:13" x14ac:dyDescent="0.3">
      <c r="A1025" t="str">
        <f>HYPERLINK("https://hsdes.intel.com/resource/14013177001","14013177001")</f>
        <v>14013177001</v>
      </c>
      <c r="B1025" t="s">
        <v>2336</v>
      </c>
      <c r="C1025" t="s">
        <v>12</v>
      </c>
      <c r="D1025" t="s">
        <v>2337</v>
      </c>
      <c r="E1025" t="s">
        <v>120</v>
      </c>
      <c r="F1025" t="s">
        <v>2050</v>
      </c>
      <c r="G1025" t="s">
        <v>111</v>
      </c>
      <c r="H1025" s="2">
        <v>44789</v>
      </c>
      <c r="I1025" t="s">
        <v>38</v>
      </c>
      <c r="J1025" t="s">
        <v>115</v>
      </c>
      <c r="L1025" t="s">
        <v>54</v>
      </c>
      <c r="M1025" t="s">
        <v>26</v>
      </c>
    </row>
    <row r="1026" spans="1:13" x14ac:dyDescent="0.3">
      <c r="A1026" t="str">
        <f>HYPERLINK("https://hsdes.intel.com/resource/14013177010","14013177010")</f>
        <v>14013177010</v>
      </c>
      <c r="B1026" t="s">
        <v>2338</v>
      </c>
      <c r="C1026" t="s">
        <v>12</v>
      </c>
      <c r="D1026" t="s">
        <v>2339</v>
      </c>
      <c r="E1026" t="s">
        <v>14</v>
      </c>
      <c r="G1026" t="s">
        <v>57</v>
      </c>
      <c r="H1026" s="2">
        <v>44790</v>
      </c>
      <c r="I1026" t="s">
        <v>16</v>
      </c>
      <c r="J1026" t="s">
        <v>483</v>
      </c>
      <c r="L1026" t="s">
        <v>78</v>
      </c>
      <c r="M1026" t="s">
        <v>26</v>
      </c>
    </row>
    <row r="1027" spans="1:13" x14ac:dyDescent="0.3">
      <c r="A1027" t="str">
        <f>HYPERLINK("https://hsdes.intel.com/resource/14013177012","14013177012")</f>
        <v>14013177012</v>
      </c>
      <c r="B1027" t="s">
        <v>2340</v>
      </c>
      <c r="C1027" t="s">
        <v>12</v>
      </c>
      <c r="D1027" t="s">
        <v>2341</v>
      </c>
      <c r="E1027" t="s">
        <v>14</v>
      </c>
      <c r="G1027" t="s">
        <v>31</v>
      </c>
      <c r="H1027" s="2">
        <v>44792</v>
      </c>
      <c r="I1027" t="s">
        <v>16</v>
      </c>
      <c r="J1027" t="s">
        <v>483</v>
      </c>
      <c r="L1027" t="s">
        <v>78</v>
      </c>
      <c r="M1027" t="s">
        <v>26</v>
      </c>
    </row>
    <row r="1028" spans="1:13" x14ac:dyDescent="0.3">
      <c r="A1028" t="str">
        <f>HYPERLINK("https://hsdes.intel.com/resource/14013177037","14013177037")</f>
        <v>14013177037</v>
      </c>
      <c r="B1028" t="s">
        <v>2342</v>
      </c>
      <c r="C1028" t="s">
        <v>12</v>
      </c>
      <c r="D1028" t="s">
        <v>2343</v>
      </c>
      <c r="E1028" t="s">
        <v>14</v>
      </c>
      <c r="G1028" t="s">
        <v>72</v>
      </c>
      <c r="H1028" s="2">
        <v>44785</v>
      </c>
      <c r="I1028" t="s">
        <v>64</v>
      </c>
      <c r="J1028" t="s">
        <v>112</v>
      </c>
      <c r="L1028" t="s">
        <v>66</v>
      </c>
      <c r="M1028" t="s">
        <v>26</v>
      </c>
    </row>
    <row r="1029" spans="1:13" x14ac:dyDescent="0.3">
      <c r="A1029" t="str">
        <f>HYPERLINK("https://hsdes.intel.com/resource/14013177044","14013177044")</f>
        <v>14013177044</v>
      </c>
      <c r="B1029" t="s">
        <v>2344</v>
      </c>
      <c r="C1029" t="s">
        <v>12</v>
      </c>
      <c r="D1029" t="s">
        <v>2345</v>
      </c>
      <c r="E1029" t="s">
        <v>14</v>
      </c>
      <c r="G1029" t="s">
        <v>72</v>
      </c>
      <c r="H1029" s="2">
        <v>44789</v>
      </c>
      <c r="I1029" t="s">
        <v>64</v>
      </c>
      <c r="J1029" t="s">
        <v>112</v>
      </c>
      <c r="L1029" t="s">
        <v>66</v>
      </c>
      <c r="M1029" t="s">
        <v>26</v>
      </c>
    </row>
    <row r="1030" spans="1:13" x14ac:dyDescent="0.3">
      <c r="A1030" t="str">
        <f>HYPERLINK("https://hsdes.intel.com/resource/14013177048","14013177048")</f>
        <v>14013177048</v>
      </c>
      <c r="B1030" t="s">
        <v>2346</v>
      </c>
      <c r="C1030" t="s">
        <v>12</v>
      </c>
      <c r="D1030" t="s">
        <v>2347</v>
      </c>
      <c r="E1030" t="s">
        <v>14</v>
      </c>
      <c r="G1030" t="s">
        <v>72</v>
      </c>
      <c r="H1030" s="2">
        <v>44789</v>
      </c>
      <c r="I1030" t="s">
        <v>64</v>
      </c>
      <c r="J1030" t="s">
        <v>112</v>
      </c>
      <c r="L1030" t="s">
        <v>66</v>
      </c>
      <c r="M1030" t="s">
        <v>26</v>
      </c>
    </row>
    <row r="1031" spans="1:13" x14ac:dyDescent="0.3">
      <c r="A1031" t="str">
        <f>HYPERLINK("https://hsdes.intel.com/resource/14013177055","14013177055")</f>
        <v>14013177055</v>
      </c>
      <c r="B1031" t="s">
        <v>2348</v>
      </c>
      <c r="C1031" t="s">
        <v>12</v>
      </c>
      <c r="D1031" t="s">
        <v>2349</v>
      </c>
      <c r="E1031" t="s">
        <v>14</v>
      </c>
      <c r="G1031" t="s">
        <v>43</v>
      </c>
      <c r="H1031" s="2">
        <v>44784</v>
      </c>
      <c r="I1031" t="s">
        <v>38</v>
      </c>
      <c r="J1031" t="s">
        <v>77</v>
      </c>
      <c r="L1031" t="s">
        <v>54</v>
      </c>
      <c r="M1031" t="s">
        <v>26</v>
      </c>
    </row>
    <row r="1032" spans="1:13" x14ac:dyDescent="0.3">
      <c r="A1032" t="str">
        <f>HYPERLINK("https://hsdes.intel.com/resource/14013177201","14013177201")</f>
        <v>14013177201</v>
      </c>
      <c r="B1032" t="s">
        <v>2350</v>
      </c>
      <c r="C1032" t="s">
        <v>12</v>
      </c>
      <c r="D1032" t="s">
        <v>2351</v>
      </c>
      <c r="E1032" t="s">
        <v>14</v>
      </c>
      <c r="G1032" t="s">
        <v>72</v>
      </c>
      <c r="H1032" s="2">
        <v>44785</v>
      </c>
      <c r="I1032" t="s">
        <v>64</v>
      </c>
      <c r="J1032" t="s">
        <v>112</v>
      </c>
      <c r="L1032" t="s">
        <v>66</v>
      </c>
      <c r="M1032" t="s">
        <v>26</v>
      </c>
    </row>
    <row r="1033" spans="1:13" x14ac:dyDescent="0.3">
      <c r="A1033" t="str">
        <f>HYPERLINK("https://hsdes.intel.com/resource/14013177323","14013177323")</f>
        <v>14013177323</v>
      </c>
      <c r="B1033" t="s">
        <v>2352</v>
      </c>
      <c r="C1033" t="s">
        <v>12</v>
      </c>
      <c r="D1033" t="s">
        <v>2353</v>
      </c>
      <c r="E1033" t="s">
        <v>14</v>
      </c>
      <c r="G1033" t="s">
        <v>72</v>
      </c>
      <c r="H1033" s="2">
        <v>44802</v>
      </c>
      <c r="I1033" t="s">
        <v>64</v>
      </c>
      <c r="J1033" t="s">
        <v>112</v>
      </c>
      <c r="L1033" t="s">
        <v>66</v>
      </c>
      <c r="M1033" t="s">
        <v>26</v>
      </c>
    </row>
    <row r="1034" spans="1:13" x14ac:dyDescent="0.3">
      <c r="A1034" t="str">
        <f>HYPERLINK("https://hsdes.intel.com/resource/14013177326","14013177326")</f>
        <v>14013177326</v>
      </c>
      <c r="B1034" t="s">
        <v>2354</v>
      </c>
      <c r="C1034" t="s">
        <v>12</v>
      </c>
      <c r="D1034" t="s">
        <v>2355</v>
      </c>
      <c r="E1034" t="s">
        <v>14</v>
      </c>
      <c r="G1034" t="s">
        <v>43</v>
      </c>
      <c r="H1034" s="2">
        <v>44802</v>
      </c>
      <c r="I1034" t="s">
        <v>38</v>
      </c>
      <c r="J1034" t="s">
        <v>2356</v>
      </c>
      <c r="L1034" t="s">
        <v>54</v>
      </c>
      <c r="M1034" t="s">
        <v>26</v>
      </c>
    </row>
    <row r="1035" spans="1:13" x14ac:dyDescent="0.3">
      <c r="A1035" t="str">
        <f>HYPERLINK("https://hsdes.intel.com/resource/14013177328","14013177328")</f>
        <v>14013177328</v>
      </c>
      <c r="B1035" t="s">
        <v>2357</v>
      </c>
      <c r="C1035" t="s">
        <v>12</v>
      </c>
      <c r="D1035" t="s">
        <v>2358</v>
      </c>
      <c r="E1035" t="s">
        <v>14</v>
      </c>
      <c r="G1035" t="s">
        <v>57</v>
      </c>
      <c r="H1035" s="2">
        <v>44799</v>
      </c>
      <c r="I1035" t="s">
        <v>38</v>
      </c>
      <c r="J1035" t="s">
        <v>2356</v>
      </c>
      <c r="L1035" t="s">
        <v>54</v>
      </c>
      <c r="M1035" t="s">
        <v>26</v>
      </c>
    </row>
    <row r="1036" spans="1:13" x14ac:dyDescent="0.3">
      <c r="A1036" t="str">
        <f>HYPERLINK("https://hsdes.intel.com/resource/14013177627","14013177627")</f>
        <v>14013177627</v>
      </c>
      <c r="B1036" t="s">
        <v>2359</v>
      </c>
      <c r="C1036" t="s">
        <v>12</v>
      </c>
      <c r="D1036" t="s">
        <v>2360</v>
      </c>
      <c r="E1036" t="s">
        <v>14</v>
      </c>
      <c r="G1036" t="s">
        <v>72</v>
      </c>
      <c r="H1036" s="2">
        <v>44785</v>
      </c>
      <c r="I1036" t="s">
        <v>64</v>
      </c>
      <c r="J1036" t="s">
        <v>112</v>
      </c>
      <c r="L1036" t="s">
        <v>66</v>
      </c>
      <c r="M1036" t="s">
        <v>26</v>
      </c>
    </row>
    <row r="1037" spans="1:13" x14ac:dyDescent="0.3">
      <c r="A1037" t="str">
        <f>HYPERLINK("https://hsdes.intel.com/resource/14013177730","14013177730")</f>
        <v>14013177730</v>
      </c>
      <c r="B1037" t="s">
        <v>2361</v>
      </c>
      <c r="C1037" t="s">
        <v>12</v>
      </c>
      <c r="D1037" t="s">
        <v>2362</v>
      </c>
      <c r="E1037" t="s">
        <v>14</v>
      </c>
      <c r="G1037" t="s">
        <v>31</v>
      </c>
      <c r="H1037" s="2">
        <v>44792</v>
      </c>
      <c r="I1037" t="s">
        <v>38</v>
      </c>
      <c r="J1037" t="s">
        <v>77</v>
      </c>
      <c r="L1037" t="s">
        <v>78</v>
      </c>
      <c r="M1037" t="s">
        <v>26</v>
      </c>
    </row>
    <row r="1038" spans="1:13" x14ac:dyDescent="0.3">
      <c r="A1038" t="str">
        <f>HYPERLINK("https://hsdes.intel.com/resource/14013177771","14013177771")</f>
        <v>14013177771</v>
      </c>
      <c r="B1038" t="s">
        <v>2363</v>
      </c>
      <c r="C1038" t="s">
        <v>12</v>
      </c>
      <c r="D1038" t="s">
        <v>2364</v>
      </c>
      <c r="E1038" t="s">
        <v>14</v>
      </c>
      <c r="G1038" t="s">
        <v>81</v>
      </c>
      <c r="H1038" s="2">
        <v>44792</v>
      </c>
      <c r="I1038" t="s">
        <v>38</v>
      </c>
      <c r="J1038" t="s">
        <v>77</v>
      </c>
      <c r="L1038" t="s">
        <v>78</v>
      </c>
      <c r="M1038" t="s">
        <v>26</v>
      </c>
    </row>
    <row r="1039" spans="1:13" x14ac:dyDescent="0.3">
      <c r="A1039" t="str">
        <f>HYPERLINK("https://hsdes.intel.com/resource/14013177780","14013177780")</f>
        <v>14013177780</v>
      </c>
      <c r="B1039" t="s">
        <v>2365</v>
      </c>
      <c r="C1039" t="s">
        <v>12</v>
      </c>
      <c r="D1039" t="s">
        <v>2366</v>
      </c>
      <c r="E1039" t="s">
        <v>14</v>
      </c>
      <c r="G1039" t="s">
        <v>72</v>
      </c>
      <c r="H1039" s="2">
        <v>44785</v>
      </c>
      <c r="I1039" t="s">
        <v>64</v>
      </c>
      <c r="J1039" t="s">
        <v>112</v>
      </c>
      <c r="L1039" t="s">
        <v>66</v>
      </c>
      <c r="M1039" t="s">
        <v>26</v>
      </c>
    </row>
    <row r="1040" spans="1:13" x14ac:dyDescent="0.3">
      <c r="A1040" t="str">
        <f>HYPERLINK("https://hsdes.intel.com/resource/14013177783","14013177783")</f>
        <v>14013177783</v>
      </c>
      <c r="B1040" t="s">
        <v>2367</v>
      </c>
      <c r="C1040" t="s">
        <v>12</v>
      </c>
      <c r="D1040" t="s">
        <v>2368</v>
      </c>
      <c r="E1040" t="s">
        <v>14</v>
      </c>
      <c r="F1040" t="s">
        <v>2369</v>
      </c>
      <c r="G1040" t="s">
        <v>99</v>
      </c>
      <c r="H1040" s="2">
        <v>44802</v>
      </c>
      <c r="I1040" t="s">
        <v>64</v>
      </c>
      <c r="J1040" t="s">
        <v>112</v>
      </c>
      <c r="L1040" t="s">
        <v>66</v>
      </c>
      <c r="M1040" t="s">
        <v>22</v>
      </c>
    </row>
    <row r="1041" spans="1:13" x14ac:dyDescent="0.3">
      <c r="A1041" t="str">
        <f>HYPERLINK("https://hsdes.intel.com/resource/14013177862","14013177862")</f>
        <v>14013177862</v>
      </c>
      <c r="B1041" t="s">
        <v>2370</v>
      </c>
      <c r="C1041" t="s">
        <v>12</v>
      </c>
      <c r="D1041" t="s">
        <v>2371</v>
      </c>
      <c r="E1041" t="s">
        <v>14</v>
      </c>
      <c r="G1041" t="s">
        <v>81</v>
      </c>
      <c r="H1041" s="2">
        <v>44792</v>
      </c>
      <c r="I1041" t="s">
        <v>38</v>
      </c>
      <c r="J1041" t="s">
        <v>77</v>
      </c>
      <c r="L1041" t="s">
        <v>78</v>
      </c>
      <c r="M1041" t="s">
        <v>26</v>
      </c>
    </row>
    <row r="1042" spans="1:13" x14ac:dyDescent="0.3">
      <c r="A1042" t="str">
        <f>HYPERLINK("https://hsdes.intel.com/resource/14013177873","14013177873")</f>
        <v>14013177873</v>
      </c>
      <c r="B1042" t="s">
        <v>2372</v>
      </c>
      <c r="C1042" t="s">
        <v>12</v>
      </c>
      <c r="D1042" t="s">
        <v>2373</v>
      </c>
      <c r="E1042" t="s">
        <v>14</v>
      </c>
      <c r="G1042" t="s">
        <v>81</v>
      </c>
      <c r="H1042" s="2">
        <v>44792</v>
      </c>
      <c r="I1042" t="s">
        <v>38</v>
      </c>
      <c r="J1042" t="s">
        <v>77</v>
      </c>
      <c r="L1042" t="s">
        <v>78</v>
      </c>
      <c r="M1042" t="s">
        <v>26</v>
      </c>
    </row>
    <row r="1043" spans="1:13" x14ac:dyDescent="0.3">
      <c r="A1043" t="str">
        <f>HYPERLINK("https://hsdes.intel.com/resource/14013177895","14013177895")</f>
        <v>14013177895</v>
      </c>
      <c r="B1043" t="s">
        <v>2374</v>
      </c>
      <c r="C1043" t="s">
        <v>12</v>
      </c>
      <c r="D1043" t="s">
        <v>2375</v>
      </c>
      <c r="E1043" t="s">
        <v>14</v>
      </c>
      <c r="G1043" t="s">
        <v>57</v>
      </c>
      <c r="H1043" s="2">
        <v>44799</v>
      </c>
      <c r="I1043" t="s">
        <v>38</v>
      </c>
      <c r="J1043" t="s">
        <v>106</v>
      </c>
      <c r="L1043" t="s">
        <v>54</v>
      </c>
      <c r="M1043" t="s">
        <v>26</v>
      </c>
    </row>
    <row r="1044" spans="1:13" x14ac:dyDescent="0.3">
      <c r="A1044" t="str">
        <f>HYPERLINK("https://hsdes.intel.com/resource/14013177905","14013177905")</f>
        <v>14013177905</v>
      </c>
      <c r="B1044" t="s">
        <v>2376</v>
      </c>
      <c r="C1044" t="s">
        <v>12</v>
      </c>
      <c r="D1044" t="s">
        <v>2377</v>
      </c>
      <c r="E1044" t="s">
        <v>14</v>
      </c>
      <c r="G1044" t="s">
        <v>72</v>
      </c>
      <c r="H1044" s="2">
        <v>44785</v>
      </c>
      <c r="I1044" t="s">
        <v>64</v>
      </c>
      <c r="J1044" t="s">
        <v>112</v>
      </c>
      <c r="L1044" t="s">
        <v>66</v>
      </c>
      <c r="M1044" t="s">
        <v>26</v>
      </c>
    </row>
    <row r="1045" spans="1:13" x14ac:dyDescent="0.3">
      <c r="A1045" t="str">
        <f>HYPERLINK("https://hsdes.intel.com/resource/14013177912","14013177912")</f>
        <v>14013177912</v>
      </c>
      <c r="B1045" t="s">
        <v>2378</v>
      </c>
      <c r="C1045" t="s">
        <v>12</v>
      </c>
      <c r="D1045" t="s">
        <v>2379</v>
      </c>
      <c r="E1045" t="s">
        <v>14</v>
      </c>
      <c r="G1045" t="s">
        <v>43</v>
      </c>
      <c r="H1045" s="2">
        <v>44785</v>
      </c>
      <c r="I1045" t="s">
        <v>38</v>
      </c>
      <c r="J1045" t="s">
        <v>106</v>
      </c>
      <c r="L1045" t="s">
        <v>54</v>
      </c>
      <c r="M1045" t="s">
        <v>26</v>
      </c>
    </row>
    <row r="1046" spans="1:13" x14ac:dyDescent="0.3">
      <c r="A1046" t="str">
        <f>HYPERLINK("https://hsdes.intel.com/resource/14013177951","14013177951")</f>
        <v>14013177951</v>
      </c>
      <c r="B1046" t="s">
        <v>2380</v>
      </c>
      <c r="C1046" t="s">
        <v>12</v>
      </c>
      <c r="D1046" t="s">
        <v>2381</v>
      </c>
      <c r="E1046" t="s">
        <v>14</v>
      </c>
      <c r="F1046" t="s">
        <v>2298</v>
      </c>
      <c r="G1046" t="s">
        <v>43</v>
      </c>
      <c r="H1046" s="2">
        <v>44799</v>
      </c>
      <c r="I1046" t="s">
        <v>32</v>
      </c>
      <c r="J1046" t="s">
        <v>46</v>
      </c>
      <c r="L1046" t="s">
        <v>177</v>
      </c>
      <c r="M1046" t="s">
        <v>19</v>
      </c>
    </row>
    <row r="1047" spans="1:13" x14ac:dyDescent="0.3">
      <c r="A1047" t="str">
        <f>HYPERLINK("https://hsdes.intel.com/resource/14013177956","14013177956")</f>
        <v>14013177956</v>
      </c>
      <c r="B1047" t="s">
        <v>2382</v>
      </c>
      <c r="C1047" t="s">
        <v>12</v>
      </c>
      <c r="D1047" t="s">
        <v>2383</v>
      </c>
      <c r="E1047" t="s">
        <v>2384</v>
      </c>
      <c r="F1047" t="s">
        <v>2385</v>
      </c>
      <c r="G1047" t="s">
        <v>31</v>
      </c>
      <c r="I1047" t="s">
        <v>38</v>
      </c>
      <c r="J1047" t="s">
        <v>77</v>
      </c>
      <c r="L1047" t="s">
        <v>78</v>
      </c>
      <c r="M1047" t="s">
        <v>22</v>
      </c>
    </row>
    <row r="1048" spans="1:13" x14ac:dyDescent="0.3">
      <c r="A1048" t="str">
        <f>HYPERLINK("https://hsdes.intel.com/resource/14013177997","14013177997")</f>
        <v>14013177997</v>
      </c>
      <c r="B1048" t="s">
        <v>2386</v>
      </c>
      <c r="C1048" t="s">
        <v>12</v>
      </c>
      <c r="D1048" t="s">
        <v>2387</v>
      </c>
      <c r="E1048" t="s">
        <v>14</v>
      </c>
      <c r="G1048" t="s">
        <v>43</v>
      </c>
      <c r="H1048" s="2">
        <v>44785</v>
      </c>
      <c r="I1048" t="s">
        <v>38</v>
      </c>
      <c r="J1048" t="s">
        <v>33</v>
      </c>
      <c r="L1048" t="s">
        <v>54</v>
      </c>
      <c r="M1048" t="s">
        <v>26</v>
      </c>
    </row>
    <row r="1049" spans="1:13" x14ac:dyDescent="0.3">
      <c r="A1049" t="str">
        <f>HYPERLINK("https://hsdes.intel.com/resource/14013178034","14013178034")</f>
        <v>14013178034</v>
      </c>
      <c r="B1049" t="s">
        <v>2388</v>
      </c>
      <c r="C1049" t="s">
        <v>12</v>
      </c>
      <c r="D1049" t="s">
        <v>2389</v>
      </c>
      <c r="E1049" t="s">
        <v>14</v>
      </c>
      <c r="G1049" t="s">
        <v>31</v>
      </c>
      <c r="H1049" s="2">
        <v>44792</v>
      </c>
      <c r="I1049" t="s">
        <v>16</v>
      </c>
      <c r="J1049" t="s">
        <v>483</v>
      </c>
      <c r="L1049" t="s">
        <v>78</v>
      </c>
      <c r="M1049" t="s">
        <v>26</v>
      </c>
    </row>
    <row r="1050" spans="1:13" x14ac:dyDescent="0.3">
      <c r="A1050" t="str">
        <f>HYPERLINK("https://hsdes.intel.com/resource/14013178035","14013178035")</f>
        <v>14013178035</v>
      </c>
      <c r="B1050" t="s">
        <v>2390</v>
      </c>
      <c r="C1050" t="s">
        <v>12</v>
      </c>
      <c r="D1050" t="s">
        <v>2391</v>
      </c>
      <c r="E1050" t="s">
        <v>14</v>
      </c>
      <c r="G1050" t="s">
        <v>31</v>
      </c>
      <c r="H1050" s="2">
        <v>44792</v>
      </c>
      <c r="I1050" t="s">
        <v>16</v>
      </c>
      <c r="J1050" t="s">
        <v>483</v>
      </c>
      <c r="L1050" t="s">
        <v>78</v>
      </c>
      <c r="M1050" t="s">
        <v>26</v>
      </c>
    </row>
    <row r="1051" spans="1:13" x14ac:dyDescent="0.3">
      <c r="A1051" t="str">
        <f>HYPERLINK("https://hsdes.intel.com/resource/14013178072","14013178072")</f>
        <v>14013178072</v>
      </c>
      <c r="B1051" t="s">
        <v>2392</v>
      </c>
      <c r="C1051" t="s">
        <v>12</v>
      </c>
      <c r="D1051" t="s">
        <v>2393</v>
      </c>
      <c r="E1051" t="s">
        <v>14</v>
      </c>
      <c r="F1051" t="s">
        <v>2394</v>
      </c>
      <c r="G1051" t="s">
        <v>111</v>
      </c>
      <c r="H1051" s="2">
        <v>44784</v>
      </c>
      <c r="I1051" t="s">
        <v>167</v>
      </c>
      <c r="J1051" t="s">
        <v>168</v>
      </c>
      <c r="L1051" t="s">
        <v>147</v>
      </c>
      <c r="M1051" t="s">
        <v>22</v>
      </c>
    </row>
    <row r="1052" spans="1:13" x14ac:dyDescent="0.3">
      <c r="A1052" t="str">
        <f>HYPERLINK("https://hsdes.intel.com/resource/14013178162","14013178162")</f>
        <v>14013178162</v>
      </c>
      <c r="B1052" t="s">
        <v>2395</v>
      </c>
      <c r="C1052" t="s">
        <v>12</v>
      </c>
      <c r="D1052" t="s">
        <v>2396</v>
      </c>
      <c r="E1052" t="s">
        <v>120</v>
      </c>
      <c r="F1052" t="s">
        <v>1657</v>
      </c>
      <c r="G1052" t="s">
        <v>111</v>
      </c>
      <c r="H1052" s="2">
        <v>44784</v>
      </c>
      <c r="I1052" t="s">
        <v>167</v>
      </c>
      <c r="J1052" t="s">
        <v>168</v>
      </c>
      <c r="L1052" t="s">
        <v>147</v>
      </c>
      <c r="M1052" t="s">
        <v>26</v>
      </c>
    </row>
    <row r="1053" spans="1:13" x14ac:dyDescent="0.3">
      <c r="A1053" t="str">
        <f>HYPERLINK("https://hsdes.intel.com/resource/14013178197","14013178197")</f>
        <v>14013178197</v>
      </c>
      <c r="B1053" t="s">
        <v>2397</v>
      </c>
      <c r="C1053" t="s">
        <v>12</v>
      </c>
      <c r="D1053" t="s">
        <v>2398</v>
      </c>
      <c r="E1053" t="s">
        <v>120</v>
      </c>
      <c r="F1053" t="s">
        <v>2385</v>
      </c>
      <c r="G1053" t="s">
        <v>31</v>
      </c>
      <c r="H1053" s="2">
        <v>44795</v>
      </c>
      <c r="I1053" t="s">
        <v>38</v>
      </c>
      <c r="J1053" t="s">
        <v>77</v>
      </c>
      <c r="L1053" t="s">
        <v>54</v>
      </c>
      <c r="M1053" t="s">
        <v>26</v>
      </c>
    </row>
    <row r="1054" spans="1:13" x14ac:dyDescent="0.3">
      <c r="A1054" t="str">
        <f>HYPERLINK("https://hsdes.intel.com/resource/14013178206","14013178206")</f>
        <v>14013178206</v>
      </c>
      <c r="B1054" t="s">
        <v>2399</v>
      </c>
      <c r="C1054" t="s">
        <v>12</v>
      </c>
      <c r="D1054" t="s">
        <v>2400</v>
      </c>
      <c r="E1054" t="s">
        <v>14</v>
      </c>
      <c r="G1054" t="s">
        <v>43</v>
      </c>
      <c r="H1054" s="2">
        <v>44785</v>
      </c>
      <c r="I1054" t="s">
        <v>38</v>
      </c>
      <c r="J1054" t="s">
        <v>77</v>
      </c>
      <c r="L1054" t="s">
        <v>54</v>
      </c>
      <c r="M1054" t="s">
        <v>26</v>
      </c>
    </row>
    <row r="1055" spans="1:13" x14ac:dyDescent="0.3">
      <c r="A1055" t="str">
        <f>HYPERLINK("https://hsdes.intel.com/resource/14013178209","14013178209")</f>
        <v>14013178209</v>
      </c>
      <c r="B1055" t="s">
        <v>2401</v>
      </c>
      <c r="C1055" t="s">
        <v>12</v>
      </c>
      <c r="D1055" t="s">
        <v>2402</v>
      </c>
      <c r="E1055" t="s">
        <v>14</v>
      </c>
      <c r="G1055" t="s">
        <v>43</v>
      </c>
      <c r="H1055" s="2">
        <v>44785</v>
      </c>
      <c r="I1055" t="s">
        <v>38</v>
      </c>
      <c r="J1055" t="s">
        <v>77</v>
      </c>
      <c r="L1055" t="s">
        <v>54</v>
      </c>
      <c r="M1055" t="s">
        <v>26</v>
      </c>
    </row>
    <row r="1056" spans="1:13" x14ac:dyDescent="0.3">
      <c r="A1056" t="str">
        <f>HYPERLINK("https://hsdes.intel.com/resource/14013178217","14013178217")</f>
        <v>14013178217</v>
      </c>
      <c r="B1056" t="s">
        <v>2403</v>
      </c>
      <c r="C1056" t="s">
        <v>12</v>
      </c>
      <c r="D1056" t="s">
        <v>2404</v>
      </c>
      <c r="E1056" t="s">
        <v>14</v>
      </c>
      <c r="F1056" t="s">
        <v>2405</v>
      </c>
      <c r="G1056" t="s">
        <v>72</v>
      </c>
      <c r="H1056" s="2">
        <v>44801</v>
      </c>
      <c r="I1056" t="s">
        <v>64</v>
      </c>
      <c r="J1056" t="s">
        <v>112</v>
      </c>
      <c r="L1056" t="s">
        <v>54</v>
      </c>
      <c r="M1056" t="s">
        <v>22</v>
      </c>
    </row>
    <row r="1057" spans="1:13" x14ac:dyDescent="0.3">
      <c r="A1057" t="str">
        <f>HYPERLINK("https://hsdes.intel.com/resource/14013178238","14013178238")</f>
        <v>14013178238</v>
      </c>
      <c r="B1057" t="s">
        <v>2406</v>
      </c>
      <c r="C1057" t="s">
        <v>12</v>
      </c>
      <c r="D1057" t="s">
        <v>2407</v>
      </c>
      <c r="E1057" t="s">
        <v>14</v>
      </c>
      <c r="F1057" t="s">
        <v>2408</v>
      </c>
      <c r="G1057" t="s">
        <v>31</v>
      </c>
      <c r="H1057" s="2">
        <v>44796</v>
      </c>
      <c r="I1057" t="s">
        <v>38</v>
      </c>
      <c r="J1057" t="s">
        <v>77</v>
      </c>
      <c r="L1057" t="s">
        <v>54</v>
      </c>
      <c r="M1057" t="s">
        <v>22</v>
      </c>
    </row>
    <row r="1058" spans="1:13" x14ac:dyDescent="0.3">
      <c r="A1058" t="str">
        <f>HYPERLINK("https://hsdes.intel.com/resource/14013178242","14013178242")</f>
        <v>14013178242</v>
      </c>
      <c r="B1058" t="s">
        <v>2409</v>
      </c>
      <c r="C1058" t="s">
        <v>12</v>
      </c>
      <c r="D1058" t="s">
        <v>2410</v>
      </c>
      <c r="E1058" t="s">
        <v>14</v>
      </c>
      <c r="G1058" t="s">
        <v>31</v>
      </c>
      <c r="H1058" s="2">
        <v>44795</v>
      </c>
      <c r="I1058" t="s">
        <v>38</v>
      </c>
      <c r="J1058" t="s">
        <v>2411</v>
      </c>
      <c r="L1058" t="s">
        <v>54</v>
      </c>
      <c r="M1058" t="s">
        <v>22</v>
      </c>
    </row>
    <row r="1059" spans="1:13" x14ac:dyDescent="0.3">
      <c r="A1059" t="str">
        <f>HYPERLINK("https://hsdes.intel.com/resource/14013178267","14013178267")</f>
        <v>14013178267</v>
      </c>
      <c r="B1059" t="s">
        <v>2412</v>
      </c>
      <c r="C1059" t="s">
        <v>12</v>
      </c>
      <c r="D1059" t="s">
        <v>2413</v>
      </c>
      <c r="E1059" t="s">
        <v>14</v>
      </c>
      <c r="G1059" t="s">
        <v>72</v>
      </c>
      <c r="H1059" s="2">
        <v>44789</v>
      </c>
      <c r="I1059" t="s">
        <v>38</v>
      </c>
      <c r="J1059" t="s">
        <v>106</v>
      </c>
      <c r="L1059" t="s">
        <v>66</v>
      </c>
      <c r="M1059" t="s">
        <v>26</v>
      </c>
    </row>
    <row r="1060" spans="1:13" x14ac:dyDescent="0.3">
      <c r="A1060" t="str">
        <f>HYPERLINK("https://hsdes.intel.com/resource/14013178278","14013178278")</f>
        <v>14013178278</v>
      </c>
      <c r="B1060" t="s">
        <v>2414</v>
      </c>
      <c r="C1060" t="s">
        <v>12</v>
      </c>
      <c r="D1060" t="s">
        <v>2415</v>
      </c>
      <c r="E1060" t="s">
        <v>97</v>
      </c>
      <c r="F1060" t="s">
        <v>2416</v>
      </c>
      <c r="G1060" t="s">
        <v>72</v>
      </c>
      <c r="H1060" s="2">
        <v>44801</v>
      </c>
      <c r="I1060" t="s">
        <v>38</v>
      </c>
      <c r="J1060" t="s">
        <v>106</v>
      </c>
      <c r="L1060" t="s">
        <v>54</v>
      </c>
      <c r="M1060" t="s">
        <v>26</v>
      </c>
    </row>
    <row r="1061" spans="1:13" x14ac:dyDescent="0.3">
      <c r="A1061" t="str">
        <f>HYPERLINK("https://hsdes.intel.com/resource/14013178282","14013178282")</f>
        <v>14013178282</v>
      </c>
      <c r="B1061" t="s">
        <v>2417</v>
      </c>
      <c r="C1061" t="s">
        <v>12</v>
      </c>
      <c r="D1061" t="s">
        <v>2418</v>
      </c>
      <c r="E1061" t="s">
        <v>14</v>
      </c>
      <c r="G1061" t="s">
        <v>57</v>
      </c>
      <c r="H1061" s="2">
        <v>44798</v>
      </c>
      <c r="I1061" t="s">
        <v>38</v>
      </c>
      <c r="J1061" t="s">
        <v>115</v>
      </c>
      <c r="L1061" t="s">
        <v>54</v>
      </c>
      <c r="M1061" t="s">
        <v>26</v>
      </c>
    </row>
    <row r="1062" spans="1:13" x14ac:dyDescent="0.3">
      <c r="A1062" t="str">
        <f>HYPERLINK("https://hsdes.intel.com/resource/14013178302","14013178302")</f>
        <v>14013178302</v>
      </c>
      <c r="B1062" t="s">
        <v>2419</v>
      </c>
      <c r="C1062" t="s">
        <v>12</v>
      </c>
      <c r="D1062" t="s">
        <v>2420</v>
      </c>
      <c r="E1062" t="s">
        <v>14</v>
      </c>
      <c r="G1062" t="s">
        <v>43</v>
      </c>
      <c r="H1062" s="2">
        <v>44785</v>
      </c>
      <c r="I1062" t="s">
        <v>38</v>
      </c>
      <c r="J1062" t="s">
        <v>106</v>
      </c>
      <c r="L1062" t="s">
        <v>54</v>
      </c>
      <c r="M1062" t="s">
        <v>26</v>
      </c>
    </row>
    <row r="1063" spans="1:13" x14ac:dyDescent="0.3">
      <c r="A1063" t="str">
        <f>HYPERLINK("https://hsdes.intel.com/resource/14013178315","14013178315")</f>
        <v>14013178315</v>
      </c>
      <c r="B1063" t="s">
        <v>2421</v>
      </c>
      <c r="C1063" t="s">
        <v>12</v>
      </c>
      <c r="D1063" t="s">
        <v>2422</v>
      </c>
      <c r="E1063" t="s">
        <v>14</v>
      </c>
      <c r="G1063" t="s">
        <v>31</v>
      </c>
      <c r="H1063" s="2">
        <v>44792</v>
      </c>
      <c r="I1063" t="s">
        <v>132</v>
      </c>
      <c r="J1063" t="s">
        <v>33</v>
      </c>
      <c r="L1063" t="s">
        <v>133</v>
      </c>
      <c r="M1063" t="s">
        <v>26</v>
      </c>
    </row>
    <row r="1064" spans="1:13" x14ac:dyDescent="0.3">
      <c r="A1064" t="str">
        <f>HYPERLINK("https://hsdes.intel.com/resource/14013178333","14013178333")</f>
        <v>14013178333</v>
      </c>
      <c r="B1064" t="s">
        <v>2423</v>
      </c>
      <c r="C1064" t="s">
        <v>12</v>
      </c>
      <c r="D1064" t="s">
        <v>2424</v>
      </c>
      <c r="E1064" t="s">
        <v>14</v>
      </c>
      <c r="G1064" t="s">
        <v>57</v>
      </c>
      <c r="H1064" s="2">
        <v>44799</v>
      </c>
      <c r="I1064" t="s">
        <v>132</v>
      </c>
      <c r="J1064" t="s">
        <v>115</v>
      </c>
      <c r="L1064" t="s">
        <v>133</v>
      </c>
      <c r="M1064" t="s">
        <v>26</v>
      </c>
    </row>
    <row r="1065" spans="1:13" x14ac:dyDescent="0.3">
      <c r="A1065" t="str">
        <f>HYPERLINK("https://hsdes.intel.com/resource/14013178335","14013178335")</f>
        <v>14013178335</v>
      </c>
      <c r="B1065" t="s">
        <v>2425</v>
      </c>
      <c r="C1065" t="s">
        <v>12</v>
      </c>
      <c r="D1065" t="s">
        <v>2426</v>
      </c>
      <c r="E1065" t="s">
        <v>14</v>
      </c>
      <c r="G1065" t="s">
        <v>72</v>
      </c>
      <c r="H1065" s="2">
        <v>44801</v>
      </c>
      <c r="I1065" t="s">
        <v>132</v>
      </c>
      <c r="J1065" t="s">
        <v>115</v>
      </c>
      <c r="L1065" t="s">
        <v>133</v>
      </c>
      <c r="M1065" t="s">
        <v>26</v>
      </c>
    </row>
    <row r="1066" spans="1:13" x14ac:dyDescent="0.3">
      <c r="A1066" t="str">
        <f>HYPERLINK("https://hsdes.intel.com/resource/14013178349","14013178349")</f>
        <v>14013178349</v>
      </c>
      <c r="B1066" t="s">
        <v>2427</v>
      </c>
      <c r="C1066" t="s">
        <v>12</v>
      </c>
      <c r="D1066" t="s">
        <v>2428</v>
      </c>
      <c r="E1066" t="s">
        <v>14</v>
      </c>
      <c r="G1066" t="s">
        <v>31</v>
      </c>
      <c r="H1066" s="2">
        <v>44792</v>
      </c>
      <c r="I1066" t="s">
        <v>132</v>
      </c>
      <c r="J1066" t="s">
        <v>115</v>
      </c>
      <c r="L1066" t="s">
        <v>133</v>
      </c>
      <c r="M1066" t="s">
        <v>22</v>
      </c>
    </row>
    <row r="1067" spans="1:13" x14ac:dyDescent="0.3">
      <c r="A1067" t="str">
        <f>HYPERLINK("https://hsdes.intel.com/resource/14013178351","14013178351")</f>
        <v>14013178351</v>
      </c>
      <c r="B1067" t="s">
        <v>2429</v>
      </c>
      <c r="C1067" t="s">
        <v>12</v>
      </c>
      <c r="D1067" t="s">
        <v>2430</v>
      </c>
      <c r="E1067" t="s">
        <v>14</v>
      </c>
      <c r="G1067" t="s">
        <v>31</v>
      </c>
      <c r="H1067" s="2">
        <v>44792</v>
      </c>
      <c r="I1067" t="s">
        <v>132</v>
      </c>
      <c r="J1067" t="s">
        <v>115</v>
      </c>
      <c r="L1067" t="s">
        <v>133</v>
      </c>
      <c r="M1067" t="s">
        <v>22</v>
      </c>
    </row>
    <row r="1068" spans="1:13" x14ac:dyDescent="0.3">
      <c r="A1068" t="str">
        <f>HYPERLINK("https://hsdes.intel.com/resource/14013178354","14013178354")</f>
        <v>14013178354</v>
      </c>
      <c r="B1068" t="s">
        <v>2431</v>
      </c>
      <c r="C1068" t="s">
        <v>12</v>
      </c>
      <c r="D1068" t="s">
        <v>2432</v>
      </c>
      <c r="E1068" t="s">
        <v>14</v>
      </c>
      <c r="F1068" t="s">
        <v>2433</v>
      </c>
      <c r="G1068" t="s">
        <v>86</v>
      </c>
      <c r="H1068" s="2">
        <v>44802</v>
      </c>
      <c r="I1068" t="s">
        <v>38</v>
      </c>
      <c r="J1068" t="s">
        <v>115</v>
      </c>
      <c r="L1068" t="s">
        <v>54</v>
      </c>
      <c r="M1068" t="s">
        <v>26</v>
      </c>
    </row>
    <row r="1069" spans="1:13" x14ac:dyDescent="0.3">
      <c r="A1069" t="str">
        <f>HYPERLINK("https://hsdes.intel.com/resource/14013178355","14013178355")</f>
        <v>14013178355</v>
      </c>
      <c r="B1069" t="s">
        <v>2434</v>
      </c>
      <c r="C1069" t="s">
        <v>12</v>
      </c>
      <c r="D1069" t="s">
        <v>2435</v>
      </c>
      <c r="E1069" t="s">
        <v>14</v>
      </c>
      <c r="G1069" t="s">
        <v>31</v>
      </c>
      <c r="H1069" s="2">
        <v>44792</v>
      </c>
      <c r="I1069" t="s">
        <v>132</v>
      </c>
      <c r="J1069" t="s">
        <v>115</v>
      </c>
      <c r="L1069" t="s">
        <v>133</v>
      </c>
      <c r="M1069" t="s">
        <v>22</v>
      </c>
    </row>
    <row r="1070" spans="1:13" x14ac:dyDescent="0.3">
      <c r="A1070" t="str">
        <f>HYPERLINK("https://hsdes.intel.com/resource/14013178356","14013178356")</f>
        <v>14013178356</v>
      </c>
      <c r="B1070" t="s">
        <v>2436</v>
      </c>
      <c r="C1070" t="s">
        <v>12</v>
      </c>
      <c r="D1070" t="s">
        <v>2437</v>
      </c>
      <c r="E1070" t="s">
        <v>14</v>
      </c>
      <c r="G1070" t="s">
        <v>72</v>
      </c>
      <c r="H1070" s="2">
        <v>44801</v>
      </c>
      <c r="I1070" t="s">
        <v>132</v>
      </c>
      <c r="J1070" t="s">
        <v>115</v>
      </c>
      <c r="L1070" t="s">
        <v>133</v>
      </c>
      <c r="M1070" t="s">
        <v>22</v>
      </c>
    </row>
    <row r="1071" spans="1:13" x14ac:dyDescent="0.3">
      <c r="A1071" t="str">
        <f>HYPERLINK("https://hsdes.intel.com/resource/14013178358","14013178358")</f>
        <v>14013178358</v>
      </c>
      <c r="B1071" t="s">
        <v>2438</v>
      </c>
      <c r="C1071" t="s">
        <v>12</v>
      </c>
      <c r="D1071" t="s">
        <v>2439</v>
      </c>
      <c r="E1071" t="s">
        <v>14</v>
      </c>
      <c r="G1071" t="s">
        <v>31</v>
      </c>
      <c r="H1071" s="2">
        <v>44792</v>
      </c>
      <c r="I1071" t="s">
        <v>132</v>
      </c>
      <c r="J1071" t="s">
        <v>115</v>
      </c>
      <c r="L1071" t="s">
        <v>133</v>
      </c>
      <c r="M1071" t="s">
        <v>22</v>
      </c>
    </row>
    <row r="1072" spans="1:13" x14ac:dyDescent="0.3">
      <c r="A1072" t="str">
        <f>HYPERLINK("https://hsdes.intel.com/resource/14013178359","14013178359")</f>
        <v>14013178359</v>
      </c>
      <c r="B1072" t="s">
        <v>2440</v>
      </c>
      <c r="C1072" t="s">
        <v>12</v>
      </c>
      <c r="D1072" t="s">
        <v>2441</v>
      </c>
      <c r="E1072" t="s">
        <v>14</v>
      </c>
      <c r="G1072" t="s">
        <v>72</v>
      </c>
      <c r="H1072" s="2">
        <v>44801</v>
      </c>
      <c r="I1072" t="s">
        <v>132</v>
      </c>
      <c r="J1072" t="s">
        <v>115</v>
      </c>
      <c r="L1072" t="s">
        <v>133</v>
      </c>
      <c r="M1072" t="s">
        <v>22</v>
      </c>
    </row>
    <row r="1073" spans="1:13" x14ac:dyDescent="0.3">
      <c r="A1073" t="str">
        <f>HYPERLINK("https://hsdes.intel.com/resource/14013178394","14013178394")</f>
        <v>14013178394</v>
      </c>
      <c r="B1073" t="s">
        <v>2442</v>
      </c>
      <c r="C1073" t="s">
        <v>12</v>
      </c>
      <c r="D1073" t="s">
        <v>2443</v>
      </c>
      <c r="E1073" t="s">
        <v>14</v>
      </c>
      <c r="G1073" t="s">
        <v>57</v>
      </c>
      <c r="H1073" s="2">
        <v>44799</v>
      </c>
      <c r="I1073" t="s">
        <v>38</v>
      </c>
      <c r="J1073" t="s">
        <v>115</v>
      </c>
      <c r="L1073" t="s">
        <v>54</v>
      </c>
      <c r="M1073" t="s">
        <v>26</v>
      </c>
    </row>
    <row r="1074" spans="1:13" x14ac:dyDescent="0.3">
      <c r="A1074" t="str">
        <f>HYPERLINK("https://hsdes.intel.com/resource/14013178404","14013178404")</f>
        <v>14013178404</v>
      </c>
      <c r="B1074" t="s">
        <v>2444</v>
      </c>
      <c r="C1074" t="s">
        <v>12</v>
      </c>
      <c r="D1074" t="s">
        <v>2445</v>
      </c>
      <c r="E1074" t="s">
        <v>14</v>
      </c>
      <c r="G1074" t="s">
        <v>43</v>
      </c>
      <c r="H1074" s="2">
        <v>44790</v>
      </c>
      <c r="I1074" t="s">
        <v>38</v>
      </c>
      <c r="J1074" t="s">
        <v>115</v>
      </c>
      <c r="L1074" t="s">
        <v>54</v>
      </c>
      <c r="M1074" t="s">
        <v>26</v>
      </c>
    </row>
    <row r="1075" spans="1:13" x14ac:dyDescent="0.3">
      <c r="A1075" t="str">
        <f>HYPERLINK("https://hsdes.intel.com/resource/14013178491","14013178491")</f>
        <v>14013178491</v>
      </c>
      <c r="B1075" t="s">
        <v>2446</v>
      </c>
      <c r="C1075" t="s">
        <v>12</v>
      </c>
      <c r="D1075" t="s">
        <v>2447</v>
      </c>
      <c r="E1075" t="s">
        <v>14</v>
      </c>
      <c r="G1075" t="s">
        <v>72</v>
      </c>
      <c r="H1075" s="2">
        <v>44785</v>
      </c>
      <c r="I1075" t="s">
        <v>64</v>
      </c>
      <c r="J1075" t="s">
        <v>112</v>
      </c>
      <c r="L1075" t="s">
        <v>66</v>
      </c>
      <c r="M1075" t="s">
        <v>26</v>
      </c>
    </row>
    <row r="1076" spans="1:13" x14ac:dyDescent="0.3">
      <c r="A1076" t="str">
        <f>HYPERLINK("https://hsdes.intel.com/resource/14013178891","14013178891")</f>
        <v>14013178891</v>
      </c>
      <c r="B1076" t="s">
        <v>2448</v>
      </c>
      <c r="C1076" t="s">
        <v>12</v>
      </c>
      <c r="D1076" t="s">
        <v>2449</v>
      </c>
      <c r="E1076" t="s">
        <v>14</v>
      </c>
      <c r="G1076" t="s">
        <v>43</v>
      </c>
      <c r="H1076" s="2">
        <v>44790</v>
      </c>
      <c r="I1076" t="s">
        <v>38</v>
      </c>
      <c r="J1076" t="s">
        <v>106</v>
      </c>
      <c r="L1076" t="s">
        <v>54</v>
      </c>
      <c r="M1076" t="s">
        <v>26</v>
      </c>
    </row>
    <row r="1077" spans="1:13" x14ac:dyDescent="0.3">
      <c r="A1077" t="str">
        <f>HYPERLINK("https://hsdes.intel.com/resource/14013178897","14013178897")</f>
        <v>14013178897</v>
      </c>
      <c r="B1077" t="s">
        <v>2450</v>
      </c>
      <c r="C1077" t="s">
        <v>12</v>
      </c>
      <c r="D1077" t="s">
        <v>2451</v>
      </c>
      <c r="E1077" t="s">
        <v>14</v>
      </c>
      <c r="G1077" t="s">
        <v>111</v>
      </c>
      <c r="H1077" s="2">
        <v>44789</v>
      </c>
      <c r="I1077" t="s">
        <v>167</v>
      </c>
      <c r="J1077" t="s">
        <v>168</v>
      </c>
      <c r="L1077" t="s">
        <v>147</v>
      </c>
      <c r="M1077" t="s">
        <v>22</v>
      </c>
    </row>
    <row r="1078" spans="1:13" x14ac:dyDescent="0.3">
      <c r="A1078" t="str">
        <f>HYPERLINK("https://hsdes.intel.com/resource/14013178922","14013178922")</f>
        <v>14013178922</v>
      </c>
      <c r="B1078" t="s">
        <v>2452</v>
      </c>
      <c r="C1078" t="s">
        <v>12</v>
      </c>
      <c r="D1078" t="s">
        <v>2453</v>
      </c>
      <c r="E1078" t="s">
        <v>14</v>
      </c>
      <c r="F1078" t="s">
        <v>46</v>
      </c>
      <c r="G1078" t="s">
        <v>47</v>
      </c>
      <c r="H1078" s="2">
        <v>44802</v>
      </c>
      <c r="I1078" t="s">
        <v>32</v>
      </c>
      <c r="J1078" t="s">
        <v>46</v>
      </c>
      <c r="L1078" t="s">
        <v>177</v>
      </c>
      <c r="M1078" t="s">
        <v>22</v>
      </c>
    </row>
    <row r="1079" spans="1:13" x14ac:dyDescent="0.3">
      <c r="A1079" t="str">
        <f>HYPERLINK("https://hsdes.intel.com/resource/14013178949","14013178949")</f>
        <v>14013178949</v>
      </c>
      <c r="B1079" t="s">
        <v>2454</v>
      </c>
      <c r="C1079" t="s">
        <v>12</v>
      </c>
      <c r="D1079" t="s">
        <v>2455</v>
      </c>
      <c r="E1079" t="s">
        <v>14</v>
      </c>
      <c r="G1079" t="s">
        <v>111</v>
      </c>
      <c r="H1079" s="2">
        <v>44784</v>
      </c>
      <c r="I1079" t="s">
        <v>167</v>
      </c>
      <c r="J1079" t="s">
        <v>168</v>
      </c>
      <c r="L1079" t="s">
        <v>147</v>
      </c>
      <c r="M1079" t="s">
        <v>26</v>
      </c>
    </row>
    <row r="1080" spans="1:13" x14ac:dyDescent="0.3">
      <c r="A1080" t="str">
        <f>HYPERLINK("https://hsdes.intel.com/resource/14013178954","14013178954")</f>
        <v>14013178954</v>
      </c>
      <c r="B1080" t="s">
        <v>2456</v>
      </c>
      <c r="C1080" t="s">
        <v>12</v>
      </c>
      <c r="D1080" t="s">
        <v>2457</v>
      </c>
      <c r="E1080" t="s">
        <v>14</v>
      </c>
      <c r="G1080" t="s">
        <v>111</v>
      </c>
      <c r="H1080" s="2">
        <v>44784</v>
      </c>
      <c r="I1080" t="s">
        <v>167</v>
      </c>
      <c r="J1080" t="s">
        <v>168</v>
      </c>
      <c r="L1080" t="s">
        <v>147</v>
      </c>
      <c r="M1080" t="s">
        <v>26</v>
      </c>
    </row>
    <row r="1081" spans="1:13" x14ac:dyDescent="0.3">
      <c r="A1081" t="str">
        <f>HYPERLINK("https://hsdes.intel.com/resource/14013178960","14013178960")</f>
        <v>14013178960</v>
      </c>
      <c r="B1081" t="s">
        <v>2458</v>
      </c>
      <c r="C1081" t="s">
        <v>12</v>
      </c>
      <c r="D1081" t="s">
        <v>2459</v>
      </c>
      <c r="E1081" t="s">
        <v>120</v>
      </c>
      <c r="F1081" t="s">
        <v>2460</v>
      </c>
      <c r="G1081" t="s">
        <v>43</v>
      </c>
      <c r="H1081" s="2">
        <v>44790</v>
      </c>
      <c r="I1081" t="s">
        <v>38</v>
      </c>
      <c r="J1081" t="s">
        <v>2411</v>
      </c>
      <c r="L1081" t="s">
        <v>54</v>
      </c>
      <c r="M1081" t="s">
        <v>19</v>
      </c>
    </row>
    <row r="1082" spans="1:13" x14ac:dyDescent="0.3">
      <c r="A1082" t="str">
        <f>HYPERLINK("https://hsdes.intel.com/resource/14013179007","14013179007")</f>
        <v>14013179007</v>
      </c>
      <c r="B1082" t="s">
        <v>2461</v>
      </c>
      <c r="C1082" t="s">
        <v>12</v>
      </c>
      <c r="D1082" t="s">
        <v>2462</v>
      </c>
      <c r="E1082" t="s">
        <v>120</v>
      </c>
      <c r="F1082" t="s">
        <v>2463</v>
      </c>
      <c r="G1082" t="s">
        <v>72</v>
      </c>
      <c r="H1082" s="2">
        <v>44789</v>
      </c>
      <c r="I1082" t="s">
        <v>64</v>
      </c>
      <c r="J1082" t="s">
        <v>112</v>
      </c>
      <c r="L1082" t="s">
        <v>66</v>
      </c>
      <c r="M1082" t="s">
        <v>19</v>
      </c>
    </row>
    <row r="1083" spans="1:13" x14ac:dyDescent="0.3">
      <c r="A1083" t="str">
        <f>HYPERLINK("https://hsdes.intel.com/resource/14013179011","14013179011")</f>
        <v>14013179011</v>
      </c>
      <c r="B1083" t="s">
        <v>2464</v>
      </c>
      <c r="C1083" t="s">
        <v>12</v>
      </c>
      <c r="D1083" t="s">
        <v>2465</v>
      </c>
      <c r="E1083" t="s">
        <v>120</v>
      </c>
      <c r="F1083" s="13" t="s">
        <v>2466</v>
      </c>
      <c r="G1083" t="s">
        <v>72</v>
      </c>
      <c r="H1083" s="2">
        <v>44785</v>
      </c>
      <c r="I1083" t="s">
        <v>64</v>
      </c>
      <c r="J1083" t="s">
        <v>112</v>
      </c>
      <c r="L1083" t="s">
        <v>66</v>
      </c>
      <c r="M1083" t="s">
        <v>22</v>
      </c>
    </row>
    <row r="1084" spans="1:13" x14ac:dyDescent="0.3">
      <c r="A1084" t="str">
        <f>HYPERLINK("https://hsdes.intel.com/resource/14013179046","14013179046")</f>
        <v>14013179046</v>
      </c>
      <c r="B1084" t="s">
        <v>2467</v>
      </c>
      <c r="C1084" t="s">
        <v>12</v>
      </c>
      <c r="D1084" t="s">
        <v>2468</v>
      </c>
      <c r="E1084" t="s">
        <v>14</v>
      </c>
      <c r="G1084" t="s">
        <v>111</v>
      </c>
      <c r="H1084" s="2">
        <v>44784</v>
      </c>
      <c r="I1084" t="s">
        <v>167</v>
      </c>
      <c r="J1084" t="s">
        <v>168</v>
      </c>
      <c r="L1084" t="s">
        <v>147</v>
      </c>
      <c r="M1084" t="s">
        <v>22</v>
      </c>
    </row>
    <row r="1085" spans="1:13" x14ac:dyDescent="0.3">
      <c r="A1085" t="str">
        <f>HYPERLINK("https://hsdes.intel.com/resource/14013179076","14013179076")</f>
        <v>14013179076</v>
      </c>
      <c r="B1085" t="s">
        <v>2469</v>
      </c>
      <c r="C1085" t="s">
        <v>12</v>
      </c>
      <c r="D1085" t="s">
        <v>2470</v>
      </c>
      <c r="E1085" t="s">
        <v>14</v>
      </c>
      <c r="G1085" t="s">
        <v>57</v>
      </c>
      <c r="H1085" s="2">
        <v>44786</v>
      </c>
      <c r="I1085" t="s">
        <v>132</v>
      </c>
      <c r="J1085" t="s">
        <v>614</v>
      </c>
      <c r="L1085" t="s">
        <v>615</v>
      </c>
      <c r="M1085" t="s">
        <v>26</v>
      </c>
    </row>
    <row r="1086" spans="1:13" x14ac:dyDescent="0.3">
      <c r="A1086" t="str">
        <f>HYPERLINK("https://hsdes.intel.com/resource/14013179078","14013179078")</f>
        <v>14013179078</v>
      </c>
      <c r="B1086" t="s">
        <v>2471</v>
      </c>
      <c r="C1086" t="s">
        <v>12</v>
      </c>
      <c r="D1086" t="s">
        <v>2472</v>
      </c>
      <c r="E1086" t="s">
        <v>14</v>
      </c>
      <c r="G1086" t="s">
        <v>81</v>
      </c>
      <c r="H1086" s="2">
        <v>44791</v>
      </c>
      <c r="I1086" t="s">
        <v>167</v>
      </c>
      <c r="J1086" t="s">
        <v>186</v>
      </c>
      <c r="L1086" t="s">
        <v>147</v>
      </c>
      <c r="M1086" t="s">
        <v>26</v>
      </c>
    </row>
    <row r="1087" spans="1:13" x14ac:dyDescent="0.3">
      <c r="A1087" t="str">
        <f>HYPERLINK("https://hsdes.intel.com/resource/14013179082","14013179082")</f>
        <v>14013179082</v>
      </c>
      <c r="B1087" t="s">
        <v>2473</v>
      </c>
      <c r="C1087" t="s">
        <v>12</v>
      </c>
      <c r="D1087" t="s">
        <v>2474</v>
      </c>
      <c r="E1087" t="s">
        <v>14</v>
      </c>
      <c r="G1087" t="s">
        <v>57</v>
      </c>
      <c r="H1087" s="2">
        <v>44786</v>
      </c>
      <c r="I1087" t="s">
        <v>132</v>
      </c>
      <c r="J1087" t="s">
        <v>614</v>
      </c>
      <c r="L1087" t="s">
        <v>615</v>
      </c>
      <c r="M1087" t="s">
        <v>19</v>
      </c>
    </row>
    <row r="1088" spans="1:13" x14ac:dyDescent="0.3">
      <c r="A1088" t="str">
        <f>HYPERLINK("https://hsdes.intel.com/resource/14013179126","14013179126")</f>
        <v>14013179126</v>
      </c>
      <c r="B1088" t="s">
        <v>2475</v>
      </c>
      <c r="C1088" t="s">
        <v>12</v>
      </c>
      <c r="D1088" t="s">
        <v>2476</v>
      </c>
      <c r="E1088" t="s">
        <v>14</v>
      </c>
      <c r="I1088" t="s">
        <v>64</v>
      </c>
      <c r="J1088" t="s">
        <v>112</v>
      </c>
      <c r="L1088" t="s">
        <v>66</v>
      </c>
      <c r="M1088" t="s">
        <v>26</v>
      </c>
    </row>
    <row r="1089" spans="1:13" x14ac:dyDescent="0.3">
      <c r="A1089" t="str">
        <f>HYPERLINK("https://hsdes.intel.com/resource/14013179154","14013179154")</f>
        <v>14013179154</v>
      </c>
      <c r="B1089" t="s">
        <v>2477</v>
      </c>
      <c r="C1089" t="s">
        <v>12</v>
      </c>
      <c r="D1089" t="s">
        <v>2478</v>
      </c>
      <c r="E1089" t="s">
        <v>14</v>
      </c>
      <c r="G1089" t="s">
        <v>111</v>
      </c>
      <c r="H1089" s="2">
        <v>44789</v>
      </c>
      <c r="I1089" t="s">
        <v>167</v>
      </c>
      <c r="J1089" t="s">
        <v>168</v>
      </c>
      <c r="L1089" t="s">
        <v>147</v>
      </c>
      <c r="M1089" t="s">
        <v>22</v>
      </c>
    </row>
    <row r="1090" spans="1:13" x14ac:dyDescent="0.3">
      <c r="A1090" t="str">
        <f>HYPERLINK("https://hsdes.intel.com/resource/14013179158","14013179158")</f>
        <v>14013179158</v>
      </c>
      <c r="B1090" t="s">
        <v>2479</v>
      </c>
      <c r="C1090" t="s">
        <v>12</v>
      </c>
      <c r="D1090" t="s">
        <v>2480</v>
      </c>
      <c r="E1090" t="s">
        <v>14</v>
      </c>
      <c r="F1090" t="s">
        <v>2481</v>
      </c>
      <c r="G1090" t="s">
        <v>72</v>
      </c>
      <c r="H1090" s="2">
        <v>44789</v>
      </c>
      <c r="I1090" t="s">
        <v>64</v>
      </c>
      <c r="J1090" t="s">
        <v>65</v>
      </c>
      <c r="L1090" t="s">
        <v>66</v>
      </c>
      <c r="M1090" t="s">
        <v>19</v>
      </c>
    </row>
    <row r="1091" spans="1:13" x14ac:dyDescent="0.3">
      <c r="A1091" t="str">
        <f>HYPERLINK("https://hsdes.intel.com/resource/14013179160","14013179160")</f>
        <v>14013179160</v>
      </c>
      <c r="B1091" t="s">
        <v>2482</v>
      </c>
      <c r="C1091" t="s">
        <v>12</v>
      </c>
      <c r="D1091" t="s">
        <v>2483</v>
      </c>
      <c r="E1091" t="s">
        <v>14</v>
      </c>
      <c r="G1091" t="s">
        <v>111</v>
      </c>
      <c r="H1091" s="2">
        <v>44801</v>
      </c>
      <c r="I1091" t="s">
        <v>167</v>
      </c>
      <c r="J1091" t="s">
        <v>168</v>
      </c>
      <c r="L1091" t="s">
        <v>147</v>
      </c>
      <c r="M1091" t="s">
        <v>19</v>
      </c>
    </row>
    <row r="1092" spans="1:13" x14ac:dyDescent="0.3">
      <c r="A1092" t="str">
        <f>HYPERLINK("https://hsdes.intel.com/resource/14013179182","14013179182")</f>
        <v>14013179182</v>
      </c>
      <c r="B1092" t="s">
        <v>2484</v>
      </c>
      <c r="C1092" t="s">
        <v>12</v>
      </c>
      <c r="D1092" t="s">
        <v>2485</v>
      </c>
      <c r="E1092" t="s">
        <v>14</v>
      </c>
      <c r="G1092" t="s">
        <v>63</v>
      </c>
      <c r="H1092" s="2">
        <v>44783</v>
      </c>
      <c r="I1092" t="s">
        <v>16</v>
      </c>
      <c r="J1092" t="s">
        <v>17</v>
      </c>
      <c r="L1092" t="s">
        <v>18</v>
      </c>
      <c r="M1092" t="s">
        <v>19</v>
      </c>
    </row>
    <row r="1093" spans="1:13" x14ac:dyDescent="0.3">
      <c r="A1093" t="str">
        <f>HYPERLINK("https://hsdes.intel.com/resource/14013179188","14013179188")</f>
        <v>14013179188</v>
      </c>
      <c r="B1093" t="s">
        <v>2486</v>
      </c>
      <c r="C1093" t="s">
        <v>12</v>
      </c>
      <c r="D1093" t="s">
        <v>2487</v>
      </c>
      <c r="E1093" t="s">
        <v>14</v>
      </c>
      <c r="G1093" t="s">
        <v>63</v>
      </c>
      <c r="H1093" s="2">
        <v>44789</v>
      </c>
      <c r="I1093" t="s">
        <v>16</v>
      </c>
      <c r="J1093" t="s">
        <v>17</v>
      </c>
      <c r="L1093" t="s">
        <v>18</v>
      </c>
      <c r="M1093" t="s">
        <v>22</v>
      </c>
    </row>
    <row r="1094" spans="1:13" x14ac:dyDescent="0.3">
      <c r="A1094" t="str">
        <f>HYPERLINK("https://hsdes.intel.com/resource/14013179194","14013179194")</f>
        <v>14013179194</v>
      </c>
      <c r="B1094" t="s">
        <v>2488</v>
      </c>
      <c r="C1094" t="s">
        <v>12</v>
      </c>
      <c r="D1094" t="s">
        <v>2489</v>
      </c>
      <c r="E1094" t="s">
        <v>14</v>
      </c>
      <c r="F1094" t="s">
        <v>2490</v>
      </c>
      <c r="G1094" t="s">
        <v>72</v>
      </c>
      <c r="H1094" s="2">
        <v>44789</v>
      </c>
      <c r="I1094" t="s">
        <v>64</v>
      </c>
      <c r="J1094" t="s">
        <v>65</v>
      </c>
      <c r="L1094" t="s">
        <v>66</v>
      </c>
      <c r="M1094" t="s">
        <v>26</v>
      </c>
    </row>
    <row r="1095" spans="1:13" x14ac:dyDescent="0.3">
      <c r="A1095" t="str">
        <f>HYPERLINK("https://hsdes.intel.com/resource/14013179201","14013179201")</f>
        <v>14013179201</v>
      </c>
      <c r="B1095" t="s">
        <v>2491</v>
      </c>
      <c r="C1095" t="s">
        <v>12</v>
      </c>
      <c r="D1095" t="s">
        <v>2492</v>
      </c>
      <c r="E1095" t="s">
        <v>14</v>
      </c>
      <c r="G1095" t="s">
        <v>43</v>
      </c>
      <c r="H1095" s="2">
        <v>44785</v>
      </c>
      <c r="I1095" t="s">
        <v>38</v>
      </c>
      <c r="J1095" t="s">
        <v>115</v>
      </c>
      <c r="L1095" t="s">
        <v>54</v>
      </c>
      <c r="M1095" t="s">
        <v>26</v>
      </c>
    </row>
    <row r="1096" spans="1:13" x14ac:dyDescent="0.3">
      <c r="A1096" t="str">
        <f>HYPERLINK("https://hsdes.intel.com/resource/14013179352","14013179352")</f>
        <v>14013179352</v>
      </c>
      <c r="B1096" t="s">
        <v>2493</v>
      </c>
      <c r="C1096" t="s">
        <v>12</v>
      </c>
      <c r="D1096" t="s">
        <v>2494</v>
      </c>
      <c r="E1096" t="s">
        <v>14</v>
      </c>
      <c r="F1096" t="s">
        <v>2495</v>
      </c>
      <c r="G1096" t="s">
        <v>111</v>
      </c>
      <c r="H1096" s="2">
        <v>44802</v>
      </c>
      <c r="I1096" t="s">
        <v>32</v>
      </c>
      <c r="J1096" t="s">
        <v>46</v>
      </c>
      <c r="L1096" t="s">
        <v>177</v>
      </c>
      <c r="M1096" t="s">
        <v>19</v>
      </c>
    </row>
    <row r="1097" spans="1:13" x14ac:dyDescent="0.3">
      <c r="A1097" t="str">
        <f>HYPERLINK("https://hsdes.intel.com/resource/14013179362","14013179362")</f>
        <v>14013179362</v>
      </c>
      <c r="B1097" t="s">
        <v>2496</v>
      </c>
      <c r="C1097" t="s">
        <v>12</v>
      </c>
      <c r="D1097" t="s">
        <v>2497</v>
      </c>
      <c r="E1097" t="s">
        <v>97</v>
      </c>
      <c r="F1097" t="s">
        <v>2498</v>
      </c>
      <c r="G1097" t="s">
        <v>111</v>
      </c>
      <c r="H1097" s="2">
        <v>44802</v>
      </c>
      <c r="I1097" t="s">
        <v>32</v>
      </c>
      <c r="J1097" t="s">
        <v>46</v>
      </c>
      <c r="L1097" t="s">
        <v>177</v>
      </c>
      <c r="M1097" t="s">
        <v>22</v>
      </c>
    </row>
    <row r="1098" spans="1:13" x14ac:dyDescent="0.3">
      <c r="A1098" t="str">
        <f>HYPERLINK("https://hsdes.intel.com/resource/14013179366","14013179366")</f>
        <v>14013179366</v>
      </c>
      <c r="B1098" t="s">
        <v>2499</v>
      </c>
      <c r="C1098" t="s">
        <v>12</v>
      </c>
      <c r="D1098" t="s">
        <v>2500</v>
      </c>
      <c r="E1098" t="s">
        <v>97</v>
      </c>
      <c r="F1098" t="s">
        <v>2498</v>
      </c>
      <c r="G1098" t="s">
        <v>111</v>
      </c>
      <c r="H1098" s="2">
        <v>44802</v>
      </c>
      <c r="I1098" t="s">
        <v>32</v>
      </c>
      <c r="J1098" t="s">
        <v>46</v>
      </c>
      <c r="L1098" t="s">
        <v>177</v>
      </c>
      <c r="M1098" t="s">
        <v>22</v>
      </c>
    </row>
    <row r="1099" spans="1:13" x14ac:dyDescent="0.3">
      <c r="A1099" t="str">
        <f>HYPERLINK("https://hsdes.intel.com/resource/14013179370","14013179370")</f>
        <v>14013179370</v>
      </c>
      <c r="B1099" t="s">
        <v>2501</v>
      </c>
      <c r="C1099" t="s">
        <v>12</v>
      </c>
      <c r="D1099" t="s">
        <v>2502</v>
      </c>
      <c r="E1099" t="s">
        <v>97</v>
      </c>
      <c r="F1099" t="s">
        <v>2498</v>
      </c>
      <c r="G1099" t="s">
        <v>111</v>
      </c>
      <c r="H1099" s="2">
        <v>44802</v>
      </c>
      <c r="I1099" t="s">
        <v>32</v>
      </c>
      <c r="J1099" t="s">
        <v>46</v>
      </c>
      <c r="L1099" t="s">
        <v>177</v>
      </c>
      <c r="M1099" t="s">
        <v>22</v>
      </c>
    </row>
    <row r="1100" spans="1:13" x14ac:dyDescent="0.3">
      <c r="A1100" t="str">
        <f>HYPERLINK("https://hsdes.intel.com/resource/14013179385","14013179385")</f>
        <v>14013179385</v>
      </c>
      <c r="B1100" t="s">
        <v>2503</v>
      </c>
      <c r="C1100" t="s">
        <v>12</v>
      </c>
      <c r="D1100" t="s">
        <v>2504</v>
      </c>
      <c r="E1100" t="s">
        <v>14</v>
      </c>
      <c r="G1100" t="s">
        <v>72</v>
      </c>
      <c r="H1100" s="2">
        <v>44784</v>
      </c>
      <c r="I1100" t="s">
        <v>64</v>
      </c>
      <c r="J1100" t="s">
        <v>65</v>
      </c>
      <c r="L1100" t="s">
        <v>66</v>
      </c>
      <c r="M1100" t="s">
        <v>22</v>
      </c>
    </row>
    <row r="1101" spans="1:13" x14ac:dyDescent="0.3">
      <c r="A1101" t="str">
        <f>HYPERLINK("https://hsdes.intel.com/resource/14013179407","14013179407")</f>
        <v>14013179407</v>
      </c>
      <c r="B1101" t="s">
        <v>2505</v>
      </c>
      <c r="C1101" t="s">
        <v>12</v>
      </c>
      <c r="D1101" t="s">
        <v>2506</v>
      </c>
      <c r="E1101" t="s">
        <v>14</v>
      </c>
      <c r="G1101" t="s">
        <v>69</v>
      </c>
      <c r="H1101" s="2">
        <v>44785</v>
      </c>
      <c r="I1101" t="s">
        <v>132</v>
      </c>
      <c r="J1101" t="s">
        <v>614</v>
      </c>
      <c r="L1101" t="s">
        <v>615</v>
      </c>
      <c r="M1101" t="s">
        <v>26</v>
      </c>
    </row>
    <row r="1102" spans="1:13" x14ac:dyDescent="0.3">
      <c r="A1102" t="str">
        <f>HYPERLINK("https://hsdes.intel.com/resource/14013179427","14013179427")</f>
        <v>14013179427</v>
      </c>
      <c r="B1102" t="s">
        <v>2507</v>
      </c>
      <c r="C1102" t="s">
        <v>12</v>
      </c>
      <c r="D1102" t="s">
        <v>2508</v>
      </c>
      <c r="E1102" t="s">
        <v>97</v>
      </c>
      <c r="F1102" t="s">
        <v>2509</v>
      </c>
      <c r="G1102" t="s">
        <v>72</v>
      </c>
      <c r="H1102" s="2">
        <v>44802</v>
      </c>
      <c r="I1102" t="s">
        <v>132</v>
      </c>
      <c r="J1102" t="s">
        <v>614</v>
      </c>
      <c r="L1102" t="s">
        <v>615</v>
      </c>
      <c r="M1102" t="s">
        <v>26</v>
      </c>
    </row>
    <row r="1103" spans="1:13" x14ac:dyDescent="0.3">
      <c r="A1103" t="str">
        <f>HYPERLINK("https://hsdes.intel.com/resource/14013179515","14013179515")</f>
        <v>14013179515</v>
      </c>
      <c r="B1103" t="s">
        <v>2510</v>
      </c>
      <c r="C1103" t="s">
        <v>12</v>
      </c>
      <c r="D1103" t="s">
        <v>2511</v>
      </c>
      <c r="E1103" t="s">
        <v>97</v>
      </c>
      <c r="F1103" t="s">
        <v>2512</v>
      </c>
      <c r="G1103" t="s">
        <v>31</v>
      </c>
      <c r="I1103" t="s">
        <v>132</v>
      </c>
      <c r="J1103" t="s">
        <v>614</v>
      </c>
      <c r="L1103" t="s">
        <v>615</v>
      </c>
      <c r="M1103" t="s">
        <v>22</v>
      </c>
    </row>
    <row r="1104" spans="1:13" x14ac:dyDescent="0.3">
      <c r="A1104" t="str">
        <f>HYPERLINK("https://hsdes.intel.com/resource/14013179580","14013179580")</f>
        <v>14013179580</v>
      </c>
      <c r="B1104" t="s">
        <v>2513</v>
      </c>
      <c r="C1104" t="s">
        <v>12</v>
      </c>
      <c r="D1104" t="s">
        <v>2514</v>
      </c>
      <c r="E1104" t="s">
        <v>14</v>
      </c>
      <c r="G1104" t="s">
        <v>111</v>
      </c>
      <c r="H1104" s="2">
        <v>44791</v>
      </c>
      <c r="I1104" t="s">
        <v>48</v>
      </c>
      <c r="J1104" t="s">
        <v>1251</v>
      </c>
      <c r="L1104" t="s">
        <v>152</v>
      </c>
      <c r="M1104" t="s">
        <v>26</v>
      </c>
    </row>
    <row r="1105" spans="1:13" x14ac:dyDescent="0.3">
      <c r="A1105" t="str">
        <f>HYPERLINK("https://hsdes.intel.com/resource/14013179689","14013179689")</f>
        <v>14013179689</v>
      </c>
      <c r="B1105" t="s">
        <v>2515</v>
      </c>
      <c r="C1105" t="s">
        <v>12</v>
      </c>
      <c r="D1105" t="s">
        <v>2516</v>
      </c>
      <c r="E1105" t="s">
        <v>14</v>
      </c>
      <c r="G1105" t="s">
        <v>111</v>
      </c>
      <c r="H1105" s="2">
        <v>44783</v>
      </c>
      <c r="I1105" t="s">
        <v>16</v>
      </c>
      <c r="J1105" t="s">
        <v>39</v>
      </c>
      <c r="L1105" t="s">
        <v>40</v>
      </c>
      <c r="M1105" t="s">
        <v>22</v>
      </c>
    </row>
    <row r="1106" spans="1:13" x14ac:dyDescent="0.3">
      <c r="A1106" t="str">
        <f>HYPERLINK("https://hsdes.intel.com/resource/14013179691","14013179691")</f>
        <v>14013179691</v>
      </c>
      <c r="B1106" t="s">
        <v>2517</v>
      </c>
      <c r="C1106" t="s">
        <v>12</v>
      </c>
      <c r="D1106" t="s">
        <v>2518</v>
      </c>
      <c r="E1106" t="s">
        <v>14</v>
      </c>
      <c r="G1106" t="s">
        <v>43</v>
      </c>
      <c r="H1106" s="2">
        <v>44784</v>
      </c>
      <c r="I1106" t="s">
        <v>16</v>
      </c>
      <c r="J1106" t="s">
        <v>39</v>
      </c>
      <c r="L1106" t="s">
        <v>40</v>
      </c>
      <c r="M1106" t="s">
        <v>26</v>
      </c>
    </row>
    <row r="1107" spans="1:13" x14ac:dyDescent="0.3">
      <c r="A1107" t="str">
        <f>HYPERLINK("https://hsdes.intel.com/resource/14013179692","14013179692")</f>
        <v>14013179692</v>
      </c>
      <c r="B1107" t="s">
        <v>2519</v>
      </c>
      <c r="C1107" t="s">
        <v>12</v>
      </c>
      <c r="D1107" t="s">
        <v>2520</v>
      </c>
      <c r="E1107" t="s">
        <v>14</v>
      </c>
      <c r="G1107" t="s">
        <v>43</v>
      </c>
      <c r="H1107" s="2">
        <v>44784</v>
      </c>
      <c r="I1107" t="s">
        <v>16</v>
      </c>
      <c r="J1107" t="s">
        <v>39</v>
      </c>
      <c r="L1107" t="s">
        <v>40</v>
      </c>
      <c r="M1107" t="s">
        <v>26</v>
      </c>
    </row>
    <row r="1108" spans="1:13" x14ac:dyDescent="0.3">
      <c r="A1108" t="str">
        <f>HYPERLINK("https://hsdes.intel.com/resource/14013179698","14013179698")</f>
        <v>14013179698</v>
      </c>
      <c r="B1108" t="s">
        <v>2521</v>
      </c>
      <c r="C1108" t="s">
        <v>12</v>
      </c>
      <c r="D1108" t="s">
        <v>2522</v>
      </c>
      <c r="E1108" t="s">
        <v>14</v>
      </c>
      <c r="G1108" t="s">
        <v>81</v>
      </c>
      <c r="H1108" s="2">
        <v>44791</v>
      </c>
      <c r="I1108" t="s">
        <v>38</v>
      </c>
      <c r="J1108" t="s">
        <v>77</v>
      </c>
      <c r="L1108" t="s">
        <v>78</v>
      </c>
      <c r="M1108" t="s">
        <v>26</v>
      </c>
    </row>
    <row r="1109" spans="1:13" x14ac:dyDescent="0.3">
      <c r="A1109" t="str">
        <f>HYPERLINK("https://hsdes.intel.com/resource/14013179861","14013179861")</f>
        <v>14013179861</v>
      </c>
      <c r="B1109" t="s">
        <v>2523</v>
      </c>
      <c r="C1109" t="s">
        <v>12</v>
      </c>
      <c r="D1109" t="s">
        <v>2524</v>
      </c>
      <c r="E1109" t="s">
        <v>14</v>
      </c>
      <c r="G1109" t="s">
        <v>81</v>
      </c>
      <c r="H1109" s="2">
        <v>44792</v>
      </c>
      <c r="I1109" t="s">
        <v>38</v>
      </c>
      <c r="J1109" t="s">
        <v>77</v>
      </c>
      <c r="L1109" t="s">
        <v>78</v>
      </c>
      <c r="M1109" t="s">
        <v>22</v>
      </c>
    </row>
    <row r="1110" spans="1:13" x14ac:dyDescent="0.3">
      <c r="A1110" t="str">
        <f>HYPERLINK("https://hsdes.intel.com/resource/14013179900","14013179900")</f>
        <v>14013179900</v>
      </c>
      <c r="B1110" t="s">
        <v>2525</v>
      </c>
      <c r="C1110" t="s">
        <v>12</v>
      </c>
      <c r="D1110" t="s">
        <v>2526</v>
      </c>
      <c r="E1110" t="s">
        <v>14</v>
      </c>
      <c r="G1110" t="s">
        <v>31</v>
      </c>
      <c r="H1110" s="2">
        <v>44792</v>
      </c>
      <c r="I1110" t="s">
        <v>167</v>
      </c>
      <c r="J1110" t="s">
        <v>168</v>
      </c>
      <c r="L1110" t="s">
        <v>133</v>
      </c>
      <c r="M1110" t="s">
        <v>26</v>
      </c>
    </row>
    <row r="1111" spans="1:13" x14ac:dyDescent="0.3">
      <c r="A1111" t="str">
        <f>HYPERLINK("https://hsdes.intel.com/resource/14013179902","14013179902")</f>
        <v>14013179902</v>
      </c>
      <c r="B1111" t="s">
        <v>2527</v>
      </c>
      <c r="C1111" t="s">
        <v>12</v>
      </c>
      <c r="D1111" t="s">
        <v>2528</v>
      </c>
      <c r="E1111" t="s">
        <v>14</v>
      </c>
      <c r="G1111" t="s">
        <v>72</v>
      </c>
      <c r="H1111" s="2">
        <v>44785</v>
      </c>
      <c r="I1111" t="s">
        <v>16</v>
      </c>
      <c r="J1111" t="s">
        <v>77</v>
      </c>
      <c r="L1111" t="s">
        <v>157</v>
      </c>
      <c r="M1111" t="s">
        <v>26</v>
      </c>
    </row>
    <row r="1112" spans="1:13" x14ac:dyDescent="0.3">
      <c r="A1112" t="str">
        <f>HYPERLINK("https://hsdes.intel.com/resource/14013179993","14013179993")</f>
        <v>14013179993</v>
      </c>
      <c r="B1112" t="s">
        <v>2529</v>
      </c>
      <c r="C1112" t="s">
        <v>12</v>
      </c>
      <c r="D1112" t="s">
        <v>2530</v>
      </c>
      <c r="E1112" t="s">
        <v>14</v>
      </c>
      <c r="F1112" t="s">
        <v>46</v>
      </c>
      <c r="G1112" t="s">
        <v>31</v>
      </c>
      <c r="H1112" s="2">
        <v>44799</v>
      </c>
      <c r="I1112" t="s">
        <v>32</v>
      </c>
      <c r="J1112" t="s">
        <v>46</v>
      </c>
      <c r="L1112" t="s">
        <v>177</v>
      </c>
      <c r="M1112" t="s">
        <v>22</v>
      </c>
    </row>
    <row r="1113" spans="1:13" x14ac:dyDescent="0.3">
      <c r="A1113" t="str">
        <f>HYPERLINK("https://hsdes.intel.com/resource/14013179998","14013179998")</f>
        <v>14013179998</v>
      </c>
      <c r="B1113" t="s">
        <v>2531</v>
      </c>
      <c r="C1113" t="s">
        <v>12</v>
      </c>
      <c r="D1113" t="s">
        <v>2532</v>
      </c>
      <c r="E1113" t="s">
        <v>14</v>
      </c>
      <c r="G1113" t="s">
        <v>31</v>
      </c>
      <c r="H1113" s="2">
        <v>44798</v>
      </c>
      <c r="I1113" t="s">
        <v>167</v>
      </c>
      <c r="J1113" t="s">
        <v>33</v>
      </c>
      <c r="L1113" t="s">
        <v>34</v>
      </c>
      <c r="M1113" t="s">
        <v>26</v>
      </c>
    </row>
    <row r="1114" spans="1:13" x14ac:dyDescent="0.3">
      <c r="A1114" t="str">
        <f>HYPERLINK("https://hsdes.intel.com/resource/14013180032","14013180032")</f>
        <v>14013180032</v>
      </c>
      <c r="B1114" t="s">
        <v>2533</v>
      </c>
      <c r="C1114" t="s">
        <v>12</v>
      </c>
      <c r="D1114" t="s">
        <v>2534</v>
      </c>
      <c r="E1114" t="s">
        <v>14</v>
      </c>
      <c r="G1114" t="s">
        <v>15</v>
      </c>
      <c r="H1114" s="2">
        <v>44784</v>
      </c>
      <c r="I1114" t="s">
        <v>48</v>
      </c>
      <c r="J1114" t="s">
        <v>271</v>
      </c>
      <c r="L1114" t="s">
        <v>272</v>
      </c>
      <c r="M1114" t="s">
        <v>19</v>
      </c>
    </row>
    <row r="1115" spans="1:13" x14ac:dyDescent="0.3">
      <c r="A1115" t="str">
        <f>HYPERLINK("https://hsdes.intel.com/resource/14013180090","14013180090")</f>
        <v>14013180090</v>
      </c>
      <c r="B1115" t="s">
        <v>2535</v>
      </c>
      <c r="C1115" t="s">
        <v>12</v>
      </c>
      <c r="D1115" t="s">
        <v>2536</v>
      </c>
      <c r="E1115" t="s">
        <v>14</v>
      </c>
      <c r="G1115" t="s">
        <v>15</v>
      </c>
      <c r="H1115" s="2">
        <v>44784</v>
      </c>
      <c r="I1115" t="s">
        <v>48</v>
      </c>
      <c r="J1115" t="s">
        <v>271</v>
      </c>
      <c r="L1115" t="s">
        <v>272</v>
      </c>
      <c r="M1115" t="s">
        <v>22</v>
      </c>
    </row>
    <row r="1116" spans="1:13" x14ac:dyDescent="0.3">
      <c r="A1116" t="str">
        <f>HYPERLINK("https://hsdes.intel.com/resource/14013180134","14013180134")</f>
        <v>14013180134</v>
      </c>
      <c r="B1116" t="s">
        <v>2537</v>
      </c>
      <c r="C1116" t="s">
        <v>12</v>
      </c>
      <c r="D1116" t="s">
        <v>2538</v>
      </c>
      <c r="E1116" t="s">
        <v>14</v>
      </c>
      <c r="G1116" t="s">
        <v>15</v>
      </c>
      <c r="H1116" s="2">
        <v>44784</v>
      </c>
      <c r="I1116" t="s">
        <v>48</v>
      </c>
      <c r="J1116" t="s">
        <v>271</v>
      </c>
      <c r="L1116" t="s">
        <v>272</v>
      </c>
      <c r="M1116" t="s">
        <v>19</v>
      </c>
    </row>
    <row r="1117" spans="1:13" x14ac:dyDescent="0.3">
      <c r="A1117" t="str">
        <f>HYPERLINK("https://hsdes.intel.com/resource/14013180149","14013180149")</f>
        <v>14013180149</v>
      </c>
      <c r="B1117" t="s">
        <v>2539</v>
      </c>
      <c r="C1117" t="s">
        <v>12</v>
      </c>
      <c r="D1117" t="s">
        <v>2540</v>
      </c>
      <c r="E1117" t="s">
        <v>14</v>
      </c>
      <c r="G1117" t="s">
        <v>15</v>
      </c>
      <c r="H1117" s="2">
        <v>44789</v>
      </c>
      <c r="I1117" t="s">
        <v>48</v>
      </c>
      <c r="J1117" t="s">
        <v>271</v>
      </c>
      <c r="L1117" t="s">
        <v>272</v>
      </c>
      <c r="M1117" t="s">
        <v>26</v>
      </c>
    </row>
    <row r="1118" spans="1:13" x14ac:dyDescent="0.3">
      <c r="A1118" t="str">
        <f>HYPERLINK("https://hsdes.intel.com/resource/14013180187","14013180187")</f>
        <v>14013180187</v>
      </c>
      <c r="B1118" t="s">
        <v>2541</v>
      </c>
      <c r="C1118" t="s">
        <v>12</v>
      </c>
      <c r="D1118" t="s">
        <v>2542</v>
      </c>
      <c r="E1118" t="s">
        <v>14</v>
      </c>
      <c r="G1118" t="s">
        <v>31</v>
      </c>
      <c r="H1118" s="2">
        <v>44792</v>
      </c>
      <c r="I1118" t="s">
        <v>48</v>
      </c>
      <c r="J1118" t="s">
        <v>271</v>
      </c>
      <c r="L1118" t="s">
        <v>133</v>
      </c>
      <c r="M1118" t="s">
        <v>26</v>
      </c>
    </row>
    <row r="1119" spans="1:13" x14ac:dyDescent="0.3">
      <c r="A1119" t="str">
        <f>HYPERLINK("https://hsdes.intel.com/resource/14013180190","14013180190")</f>
        <v>14013180190</v>
      </c>
      <c r="B1119" t="s">
        <v>2543</v>
      </c>
      <c r="C1119" t="s">
        <v>12</v>
      </c>
      <c r="D1119" t="s">
        <v>2544</v>
      </c>
      <c r="E1119" t="s">
        <v>14</v>
      </c>
      <c r="G1119" t="s">
        <v>57</v>
      </c>
      <c r="H1119" s="2">
        <v>44799</v>
      </c>
      <c r="I1119" t="s">
        <v>132</v>
      </c>
      <c r="J1119" t="s">
        <v>271</v>
      </c>
      <c r="L1119" t="s">
        <v>133</v>
      </c>
      <c r="M1119" t="s">
        <v>26</v>
      </c>
    </row>
    <row r="1120" spans="1:13" x14ac:dyDescent="0.3">
      <c r="A1120" t="str">
        <f>HYPERLINK("https://hsdes.intel.com/resource/14013180191","14013180191")</f>
        <v>14013180191</v>
      </c>
      <c r="B1120" t="s">
        <v>2545</v>
      </c>
      <c r="C1120" t="s">
        <v>12</v>
      </c>
      <c r="D1120" t="s">
        <v>2546</v>
      </c>
      <c r="E1120" t="s">
        <v>14</v>
      </c>
      <c r="G1120" t="s">
        <v>57</v>
      </c>
      <c r="H1120" s="2">
        <v>44799</v>
      </c>
      <c r="I1120" t="s">
        <v>132</v>
      </c>
      <c r="J1120" t="s">
        <v>271</v>
      </c>
      <c r="L1120" t="s">
        <v>133</v>
      </c>
      <c r="M1120" t="s">
        <v>26</v>
      </c>
    </row>
    <row r="1121" spans="1:13" x14ac:dyDescent="0.3">
      <c r="A1121" t="str">
        <f>HYPERLINK("https://hsdes.intel.com/resource/14013180193","14013180193")</f>
        <v>14013180193</v>
      </c>
      <c r="B1121" t="s">
        <v>2547</v>
      </c>
      <c r="C1121" t="s">
        <v>12</v>
      </c>
      <c r="D1121" t="s">
        <v>2548</v>
      </c>
      <c r="E1121" t="s">
        <v>14</v>
      </c>
      <c r="F1121" t="s">
        <v>2549</v>
      </c>
      <c r="G1121" t="s">
        <v>72</v>
      </c>
      <c r="H1121" s="2">
        <v>44800</v>
      </c>
      <c r="I1121" t="s">
        <v>32</v>
      </c>
      <c r="J1121" t="s">
        <v>46</v>
      </c>
      <c r="L1121" t="s">
        <v>177</v>
      </c>
      <c r="M1121" t="s">
        <v>26</v>
      </c>
    </row>
    <row r="1122" spans="1:13" x14ac:dyDescent="0.3">
      <c r="A1122" t="str">
        <f>HYPERLINK("https://hsdes.intel.com/resource/14013180197","14013180197")</f>
        <v>14013180197</v>
      </c>
      <c r="B1122" t="s">
        <v>2550</v>
      </c>
      <c r="C1122" t="s">
        <v>12</v>
      </c>
      <c r="D1122" t="s">
        <v>2551</v>
      </c>
      <c r="E1122" t="s">
        <v>14</v>
      </c>
      <c r="F1122" t="s">
        <v>2552</v>
      </c>
      <c r="G1122" t="s">
        <v>31</v>
      </c>
      <c r="H1122" s="2">
        <v>44791</v>
      </c>
      <c r="I1122" t="s">
        <v>48</v>
      </c>
      <c r="J1122" t="s">
        <v>271</v>
      </c>
      <c r="L1122" t="s">
        <v>272</v>
      </c>
      <c r="M1122" t="s">
        <v>26</v>
      </c>
    </row>
    <row r="1123" spans="1:13" x14ac:dyDescent="0.3">
      <c r="A1123" t="str">
        <f>HYPERLINK("https://hsdes.intel.com/resource/14013180208","14013180208")</f>
        <v>14013180208</v>
      </c>
      <c r="B1123" t="s">
        <v>2553</v>
      </c>
      <c r="C1123" t="s">
        <v>12</v>
      </c>
      <c r="D1123" t="s">
        <v>2554</v>
      </c>
      <c r="E1123" t="s">
        <v>14</v>
      </c>
      <c r="G1123" t="s">
        <v>31</v>
      </c>
      <c r="H1123" s="2">
        <v>44791</v>
      </c>
      <c r="I1123" t="s">
        <v>48</v>
      </c>
      <c r="J1123" t="s">
        <v>271</v>
      </c>
      <c r="L1123" t="s">
        <v>272</v>
      </c>
      <c r="M1123" t="s">
        <v>26</v>
      </c>
    </row>
    <row r="1124" spans="1:13" x14ac:dyDescent="0.3">
      <c r="A1124" t="str">
        <f>HYPERLINK("https://hsdes.intel.com/resource/14013180214","14013180214")</f>
        <v>14013180214</v>
      </c>
      <c r="B1124" t="s">
        <v>2555</v>
      </c>
      <c r="C1124" t="s">
        <v>12</v>
      </c>
      <c r="D1124" t="s">
        <v>2556</v>
      </c>
      <c r="E1124" t="s">
        <v>14</v>
      </c>
      <c r="G1124" t="s">
        <v>31</v>
      </c>
      <c r="H1124" s="2">
        <v>44791</v>
      </c>
      <c r="I1124" t="s">
        <v>48</v>
      </c>
      <c r="J1124" t="s">
        <v>271</v>
      </c>
      <c r="L1124" t="s">
        <v>272</v>
      </c>
      <c r="M1124" t="s">
        <v>26</v>
      </c>
    </row>
    <row r="1125" spans="1:13" x14ac:dyDescent="0.3">
      <c r="A1125" t="str">
        <f>HYPERLINK("https://hsdes.intel.com/resource/14013180217","14013180217")</f>
        <v>14013180217</v>
      </c>
      <c r="B1125" t="s">
        <v>2557</v>
      </c>
      <c r="C1125" t="s">
        <v>12</v>
      </c>
      <c r="D1125" t="s">
        <v>2558</v>
      </c>
      <c r="E1125" t="s">
        <v>14</v>
      </c>
      <c r="G1125" t="s">
        <v>31</v>
      </c>
      <c r="H1125" s="2">
        <v>44792</v>
      </c>
      <c r="I1125" t="s">
        <v>132</v>
      </c>
      <c r="J1125" t="s">
        <v>271</v>
      </c>
      <c r="L1125" t="s">
        <v>133</v>
      </c>
      <c r="M1125" t="s">
        <v>26</v>
      </c>
    </row>
    <row r="1126" spans="1:13" x14ac:dyDescent="0.3">
      <c r="A1126" t="str">
        <f>HYPERLINK("https://hsdes.intel.com/resource/14013180228","14013180228")</f>
        <v>14013180228</v>
      </c>
      <c r="B1126" t="s">
        <v>2559</v>
      </c>
      <c r="C1126" t="s">
        <v>12</v>
      </c>
      <c r="D1126" t="s">
        <v>2560</v>
      </c>
      <c r="E1126" t="s">
        <v>97</v>
      </c>
      <c r="F1126" t="s">
        <v>2561</v>
      </c>
      <c r="G1126" t="s">
        <v>111</v>
      </c>
      <c r="H1126" s="2">
        <v>44802</v>
      </c>
      <c r="I1126" t="s">
        <v>132</v>
      </c>
      <c r="J1126" t="s">
        <v>115</v>
      </c>
      <c r="L1126" t="s">
        <v>133</v>
      </c>
      <c r="M1126" t="s">
        <v>22</v>
      </c>
    </row>
    <row r="1127" spans="1:13" x14ac:dyDescent="0.3">
      <c r="A1127" t="str">
        <f>HYPERLINK("https://hsdes.intel.com/resource/14013180236","14013180236")</f>
        <v>14013180236</v>
      </c>
      <c r="B1127" t="s">
        <v>2562</v>
      </c>
      <c r="C1127" t="s">
        <v>12</v>
      </c>
      <c r="D1127" t="s">
        <v>2563</v>
      </c>
      <c r="E1127" t="s">
        <v>14</v>
      </c>
      <c r="G1127" t="s">
        <v>31</v>
      </c>
      <c r="H1127" s="2">
        <v>44792</v>
      </c>
      <c r="I1127" t="s">
        <v>132</v>
      </c>
      <c r="J1127" t="s">
        <v>115</v>
      </c>
      <c r="L1127" t="s">
        <v>133</v>
      </c>
      <c r="M1127" t="s">
        <v>22</v>
      </c>
    </row>
    <row r="1128" spans="1:13" x14ac:dyDescent="0.3">
      <c r="A1128" t="str">
        <f>HYPERLINK("https://hsdes.intel.com/resource/14013180239","14013180239")</f>
        <v>14013180239</v>
      </c>
      <c r="B1128" t="s">
        <v>2564</v>
      </c>
      <c r="C1128" t="s">
        <v>12</v>
      </c>
      <c r="D1128" t="s">
        <v>2565</v>
      </c>
      <c r="E1128" t="s">
        <v>14</v>
      </c>
      <c r="G1128" t="s">
        <v>81</v>
      </c>
      <c r="H1128" s="2">
        <v>44792</v>
      </c>
      <c r="I1128" t="s">
        <v>132</v>
      </c>
      <c r="J1128" t="s">
        <v>115</v>
      </c>
      <c r="L1128" t="s">
        <v>133</v>
      </c>
      <c r="M1128" t="s">
        <v>22</v>
      </c>
    </row>
    <row r="1129" spans="1:13" x14ac:dyDescent="0.3">
      <c r="A1129" t="str">
        <f>HYPERLINK("https://hsdes.intel.com/resource/14013180247","14013180247")</f>
        <v>14013180247</v>
      </c>
      <c r="B1129" t="s">
        <v>2566</v>
      </c>
      <c r="C1129" t="s">
        <v>12</v>
      </c>
      <c r="D1129" t="s">
        <v>2567</v>
      </c>
      <c r="E1129" t="s">
        <v>14</v>
      </c>
      <c r="G1129" t="s">
        <v>31</v>
      </c>
      <c r="H1129" s="2">
        <v>44792</v>
      </c>
      <c r="I1129" t="s">
        <v>132</v>
      </c>
      <c r="J1129" t="s">
        <v>115</v>
      </c>
      <c r="L1129" t="s">
        <v>133</v>
      </c>
      <c r="M1129" t="s">
        <v>22</v>
      </c>
    </row>
    <row r="1130" spans="1:13" x14ac:dyDescent="0.3">
      <c r="A1130" t="str">
        <f>HYPERLINK("https://hsdes.intel.com/resource/14013180248","14013180248")</f>
        <v>14013180248</v>
      </c>
      <c r="B1130" t="s">
        <v>2568</v>
      </c>
      <c r="C1130" t="s">
        <v>12</v>
      </c>
      <c r="D1130" t="s">
        <v>2569</v>
      </c>
      <c r="E1130" t="s">
        <v>14</v>
      </c>
      <c r="G1130" t="s">
        <v>31</v>
      </c>
      <c r="H1130" s="2">
        <v>44792</v>
      </c>
      <c r="I1130" t="s">
        <v>132</v>
      </c>
      <c r="J1130" t="s">
        <v>115</v>
      </c>
      <c r="L1130" t="s">
        <v>133</v>
      </c>
      <c r="M1130" t="s">
        <v>22</v>
      </c>
    </row>
    <row r="1131" spans="1:13" x14ac:dyDescent="0.3">
      <c r="A1131" t="str">
        <f>HYPERLINK("https://hsdes.intel.com/resource/14013180276","14013180276")</f>
        <v>14013180276</v>
      </c>
      <c r="B1131" t="s">
        <v>2570</v>
      </c>
      <c r="C1131" t="s">
        <v>12</v>
      </c>
      <c r="D1131" t="s">
        <v>2571</v>
      </c>
      <c r="E1131" t="s">
        <v>14</v>
      </c>
      <c r="F1131" t="s">
        <v>2572</v>
      </c>
      <c r="G1131" t="s">
        <v>31</v>
      </c>
      <c r="H1131" s="2">
        <v>44791</v>
      </c>
      <c r="I1131" t="s">
        <v>48</v>
      </c>
      <c r="J1131" t="s">
        <v>271</v>
      </c>
      <c r="L1131" t="s">
        <v>272</v>
      </c>
      <c r="M1131" t="s">
        <v>26</v>
      </c>
    </row>
    <row r="1132" spans="1:13" x14ac:dyDescent="0.3">
      <c r="A1132">
        <v>14013180283</v>
      </c>
      <c r="B1132" t="s">
        <v>2573</v>
      </c>
      <c r="C1132" t="s">
        <v>12</v>
      </c>
      <c r="D1132" t="s">
        <v>2574</v>
      </c>
      <c r="E1132" t="s">
        <v>14</v>
      </c>
      <c r="F1132" t="s">
        <v>2575</v>
      </c>
      <c r="G1132" t="s">
        <v>1506</v>
      </c>
      <c r="H1132" s="2">
        <v>44802</v>
      </c>
      <c r="I1132" t="s">
        <v>48</v>
      </c>
      <c r="J1132" t="s">
        <v>271</v>
      </c>
      <c r="L1132" t="s">
        <v>272</v>
      </c>
      <c r="M1132" t="s">
        <v>26</v>
      </c>
    </row>
    <row r="1133" spans="1:13" x14ac:dyDescent="0.3">
      <c r="A1133" t="str">
        <f>HYPERLINK("https://hsdes.intel.com/resource/14013180286","14013180286")</f>
        <v>14013180286</v>
      </c>
      <c r="B1133" t="s">
        <v>2576</v>
      </c>
      <c r="C1133" t="s">
        <v>12</v>
      </c>
      <c r="D1133" t="s">
        <v>2577</v>
      </c>
      <c r="E1133" t="s">
        <v>14</v>
      </c>
      <c r="G1133" t="s">
        <v>57</v>
      </c>
      <c r="H1133" s="2">
        <v>44799</v>
      </c>
      <c r="I1133" t="s">
        <v>132</v>
      </c>
      <c r="J1133" t="s">
        <v>271</v>
      </c>
      <c r="L1133" t="s">
        <v>133</v>
      </c>
      <c r="M1133" t="s">
        <v>26</v>
      </c>
    </row>
    <row r="1134" spans="1:13" x14ac:dyDescent="0.3">
      <c r="A1134" t="str">
        <f>HYPERLINK("https://hsdes.intel.com/resource/14013180355","14013180355")</f>
        <v>14013180355</v>
      </c>
      <c r="B1134" t="s">
        <v>2578</v>
      </c>
      <c r="C1134" t="s">
        <v>12</v>
      </c>
      <c r="D1134" t="s">
        <v>2579</v>
      </c>
      <c r="E1134" t="s">
        <v>14</v>
      </c>
      <c r="G1134" t="s">
        <v>57</v>
      </c>
      <c r="H1134" s="2">
        <v>44799</v>
      </c>
      <c r="I1134" t="s">
        <v>132</v>
      </c>
      <c r="J1134" t="s">
        <v>191</v>
      </c>
      <c r="L1134" t="s">
        <v>133</v>
      </c>
      <c r="M1134" t="s">
        <v>22</v>
      </c>
    </row>
    <row r="1135" spans="1:13" x14ac:dyDescent="0.3">
      <c r="A1135" t="str">
        <f>HYPERLINK("https://hsdes.intel.com/resource/14013180397","14013180397")</f>
        <v>14013180397</v>
      </c>
      <c r="B1135" t="s">
        <v>2580</v>
      </c>
      <c r="C1135" t="s">
        <v>12</v>
      </c>
      <c r="D1135" t="s">
        <v>2581</v>
      </c>
      <c r="E1135" t="s">
        <v>14</v>
      </c>
      <c r="G1135" t="s">
        <v>15</v>
      </c>
      <c r="H1135" s="2">
        <v>44784</v>
      </c>
      <c r="I1135" t="s">
        <v>48</v>
      </c>
      <c r="J1135" t="s">
        <v>271</v>
      </c>
      <c r="L1135" t="s">
        <v>272</v>
      </c>
      <c r="M1135" t="s">
        <v>22</v>
      </c>
    </row>
    <row r="1136" spans="1:13" x14ac:dyDescent="0.3">
      <c r="A1136" t="str">
        <f>HYPERLINK("https://hsdes.intel.com/resource/14013180445","14013180445")</f>
        <v>14013180445</v>
      </c>
      <c r="B1136" t="s">
        <v>2582</v>
      </c>
      <c r="C1136" t="s">
        <v>12</v>
      </c>
      <c r="D1136" t="s">
        <v>2583</v>
      </c>
      <c r="E1136" t="s">
        <v>14</v>
      </c>
      <c r="G1136" t="s">
        <v>15</v>
      </c>
      <c r="H1136" s="2">
        <v>44783</v>
      </c>
      <c r="I1136" t="s">
        <v>48</v>
      </c>
      <c r="J1136" t="s">
        <v>271</v>
      </c>
      <c r="L1136" t="s">
        <v>272</v>
      </c>
      <c r="M1136" t="s">
        <v>26</v>
      </c>
    </row>
    <row r="1137" spans="1:13" x14ac:dyDescent="0.3">
      <c r="A1137" t="str">
        <f>HYPERLINK("https://hsdes.intel.com/resource/14013180617","14013180617")</f>
        <v>14013180617</v>
      </c>
      <c r="B1137" t="s">
        <v>2584</v>
      </c>
      <c r="C1137" t="s">
        <v>12</v>
      </c>
      <c r="D1137" t="s">
        <v>2585</v>
      </c>
      <c r="E1137" t="s">
        <v>14</v>
      </c>
      <c r="G1137" t="s">
        <v>31</v>
      </c>
      <c r="H1137" s="2">
        <v>44791</v>
      </c>
      <c r="I1137" t="s">
        <v>48</v>
      </c>
      <c r="J1137" t="s">
        <v>271</v>
      </c>
      <c r="L1137" t="s">
        <v>272</v>
      </c>
      <c r="M1137" t="s">
        <v>26</v>
      </c>
    </row>
    <row r="1138" spans="1:13" x14ac:dyDescent="0.3">
      <c r="A1138" t="str">
        <f>HYPERLINK("https://hsdes.intel.com/resource/14013184048","14013184048")</f>
        <v>14013184048</v>
      </c>
      <c r="B1138" t="s">
        <v>2586</v>
      </c>
      <c r="C1138" t="s">
        <v>12</v>
      </c>
      <c r="D1138" t="s">
        <v>2587</v>
      </c>
      <c r="E1138" t="s">
        <v>14</v>
      </c>
      <c r="G1138" t="s">
        <v>69</v>
      </c>
      <c r="H1138" s="2">
        <v>44785</v>
      </c>
      <c r="I1138" t="s">
        <v>16</v>
      </c>
      <c r="J1138" t="s">
        <v>17</v>
      </c>
      <c r="L1138" t="s">
        <v>18</v>
      </c>
      <c r="M1138" t="s">
        <v>22</v>
      </c>
    </row>
    <row r="1139" spans="1:13" x14ac:dyDescent="0.3">
      <c r="A1139" t="str">
        <f>HYPERLINK("https://hsdes.intel.com/resource/14013184052","14013184052")</f>
        <v>14013184052</v>
      </c>
      <c r="B1139" t="s">
        <v>2588</v>
      </c>
      <c r="C1139" t="s">
        <v>12</v>
      </c>
      <c r="D1139" t="s">
        <v>2589</v>
      </c>
      <c r="E1139" t="s">
        <v>14</v>
      </c>
      <c r="G1139" t="s">
        <v>69</v>
      </c>
      <c r="H1139" s="2">
        <v>44785</v>
      </c>
      <c r="I1139" t="s">
        <v>16</v>
      </c>
      <c r="J1139" t="s">
        <v>17</v>
      </c>
      <c r="L1139" t="s">
        <v>18</v>
      </c>
      <c r="M1139" t="s">
        <v>22</v>
      </c>
    </row>
    <row r="1140" spans="1:13" x14ac:dyDescent="0.3">
      <c r="A1140" t="str">
        <f>HYPERLINK("https://hsdes.intel.com/resource/14013184070","14013184070")</f>
        <v>14013184070</v>
      </c>
      <c r="B1140" t="s">
        <v>2590</v>
      </c>
      <c r="C1140" t="s">
        <v>12</v>
      </c>
      <c r="D1140" t="s">
        <v>2591</v>
      </c>
      <c r="E1140" t="s">
        <v>14</v>
      </c>
      <c r="G1140" t="s">
        <v>69</v>
      </c>
      <c r="H1140" s="2">
        <v>44785</v>
      </c>
      <c r="I1140" t="s">
        <v>16</v>
      </c>
      <c r="J1140" t="s">
        <v>17</v>
      </c>
      <c r="L1140" t="s">
        <v>18</v>
      </c>
      <c r="M1140" t="s">
        <v>22</v>
      </c>
    </row>
    <row r="1141" spans="1:13" x14ac:dyDescent="0.3">
      <c r="A1141" t="str">
        <f>HYPERLINK("https://hsdes.intel.com/resource/14013184074","14013184074")</f>
        <v>14013184074</v>
      </c>
      <c r="B1141" t="s">
        <v>2592</v>
      </c>
      <c r="C1141" t="s">
        <v>12</v>
      </c>
      <c r="D1141" t="s">
        <v>2593</v>
      </c>
      <c r="E1141" t="s">
        <v>14</v>
      </c>
      <c r="G1141" t="s">
        <v>69</v>
      </c>
      <c r="H1141" s="2">
        <v>44785</v>
      </c>
      <c r="I1141" t="s">
        <v>16</v>
      </c>
      <c r="J1141" t="s">
        <v>17</v>
      </c>
      <c r="L1141" t="s">
        <v>18</v>
      </c>
      <c r="M1141" t="s">
        <v>22</v>
      </c>
    </row>
    <row r="1142" spans="1:13" x14ac:dyDescent="0.3">
      <c r="A1142" t="str">
        <f>HYPERLINK("https://hsdes.intel.com/resource/14013184079","14013184079")</f>
        <v>14013184079</v>
      </c>
      <c r="B1142" t="s">
        <v>2594</v>
      </c>
      <c r="C1142" t="s">
        <v>12</v>
      </c>
      <c r="D1142" t="s">
        <v>2595</v>
      </c>
      <c r="E1142" t="s">
        <v>14</v>
      </c>
      <c r="G1142" t="s">
        <v>63</v>
      </c>
      <c r="H1142" s="2">
        <v>44785</v>
      </c>
      <c r="I1142" t="s">
        <v>16</v>
      </c>
      <c r="J1142" t="s">
        <v>17</v>
      </c>
      <c r="L1142" t="s">
        <v>18</v>
      </c>
      <c r="M1142" t="s">
        <v>22</v>
      </c>
    </row>
    <row r="1143" spans="1:13" x14ac:dyDescent="0.3">
      <c r="A1143" t="str">
        <f>HYPERLINK("https://hsdes.intel.com/resource/14013184081","14013184081")</f>
        <v>14013184081</v>
      </c>
      <c r="B1143" t="s">
        <v>2596</v>
      </c>
      <c r="C1143" t="s">
        <v>12</v>
      </c>
      <c r="D1143" t="s">
        <v>2597</v>
      </c>
      <c r="E1143" t="s">
        <v>14</v>
      </c>
      <c r="G1143" t="s">
        <v>69</v>
      </c>
      <c r="H1143" s="2">
        <v>44785</v>
      </c>
      <c r="I1143" t="s">
        <v>16</v>
      </c>
      <c r="J1143" t="s">
        <v>17</v>
      </c>
      <c r="L1143" t="s">
        <v>18</v>
      </c>
      <c r="M1143" t="s">
        <v>22</v>
      </c>
    </row>
    <row r="1144" spans="1:13" x14ac:dyDescent="0.3">
      <c r="A1144" t="str">
        <f>HYPERLINK("https://hsdes.intel.com/resource/14013184549","14013184549")</f>
        <v>14013184549</v>
      </c>
      <c r="B1144" t="s">
        <v>2598</v>
      </c>
      <c r="C1144" t="s">
        <v>12</v>
      </c>
      <c r="D1144" t="s">
        <v>2599</v>
      </c>
      <c r="E1144" t="s">
        <v>14</v>
      </c>
      <c r="G1144" t="s">
        <v>81</v>
      </c>
      <c r="H1144" s="2">
        <v>44791</v>
      </c>
      <c r="I1144" t="s">
        <v>167</v>
      </c>
      <c r="J1144" t="s">
        <v>186</v>
      </c>
      <c r="L1144" t="s">
        <v>147</v>
      </c>
      <c r="M1144" t="s">
        <v>26</v>
      </c>
    </row>
    <row r="1145" spans="1:13" x14ac:dyDescent="0.3">
      <c r="A1145" t="str">
        <f>HYPERLINK("https://hsdes.intel.com/resource/14013184882","14013184882")</f>
        <v>14013184882</v>
      </c>
      <c r="B1145" t="s">
        <v>2600</v>
      </c>
      <c r="C1145" t="s">
        <v>12</v>
      </c>
      <c r="D1145" t="s">
        <v>2601</v>
      </c>
      <c r="E1145" t="s">
        <v>14</v>
      </c>
      <c r="G1145" t="s">
        <v>111</v>
      </c>
      <c r="H1145" s="2">
        <v>44784</v>
      </c>
      <c r="I1145" t="s">
        <v>167</v>
      </c>
      <c r="J1145" t="s">
        <v>2063</v>
      </c>
      <c r="L1145" t="s">
        <v>147</v>
      </c>
      <c r="M1145" t="s">
        <v>26</v>
      </c>
    </row>
    <row r="1146" spans="1:13" x14ac:dyDescent="0.3">
      <c r="A1146" t="str">
        <f>HYPERLINK("https://hsdes.intel.com/resource/14013184884","14013184884")</f>
        <v>14013184884</v>
      </c>
      <c r="B1146" t="s">
        <v>2602</v>
      </c>
      <c r="C1146" t="s">
        <v>12</v>
      </c>
      <c r="D1146" t="s">
        <v>2603</v>
      </c>
      <c r="E1146" t="s">
        <v>14</v>
      </c>
      <c r="G1146" t="s">
        <v>111</v>
      </c>
      <c r="H1146" s="2">
        <v>44784</v>
      </c>
      <c r="I1146" t="s">
        <v>167</v>
      </c>
      <c r="J1146" t="s">
        <v>2063</v>
      </c>
      <c r="L1146" t="s">
        <v>147</v>
      </c>
      <c r="M1146" t="s">
        <v>22</v>
      </c>
    </row>
    <row r="1147" spans="1:13" x14ac:dyDescent="0.3">
      <c r="A1147" t="str">
        <f>HYPERLINK("https://hsdes.intel.com/resource/14013184886","14013184886")</f>
        <v>14013184886</v>
      </c>
      <c r="B1147" t="s">
        <v>2604</v>
      </c>
      <c r="C1147" t="s">
        <v>12</v>
      </c>
      <c r="D1147" t="s">
        <v>2605</v>
      </c>
      <c r="E1147" t="s">
        <v>14</v>
      </c>
      <c r="G1147" t="s">
        <v>111</v>
      </c>
      <c r="H1147" s="2">
        <v>44784</v>
      </c>
      <c r="I1147" t="s">
        <v>167</v>
      </c>
      <c r="J1147" t="s">
        <v>2063</v>
      </c>
      <c r="L1147" t="s">
        <v>147</v>
      </c>
      <c r="M1147" t="s">
        <v>19</v>
      </c>
    </row>
    <row r="1148" spans="1:13" x14ac:dyDescent="0.3">
      <c r="A1148" t="str">
        <f>HYPERLINK("https://hsdes.intel.com/resource/14013185088","14013185088")</f>
        <v>14013185088</v>
      </c>
      <c r="B1148" t="s">
        <v>2606</v>
      </c>
      <c r="C1148" t="s">
        <v>12</v>
      </c>
      <c r="D1148" t="s">
        <v>2607</v>
      </c>
      <c r="E1148" t="s">
        <v>14</v>
      </c>
      <c r="F1148" t="s">
        <v>2394</v>
      </c>
      <c r="G1148" t="s">
        <v>111</v>
      </c>
      <c r="H1148" s="2">
        <v>44784</v>
      </c>
      <c r="I1148" t="s">
        <v>167</v>
      </c>
      <c r="J1148" t="s">
        <v>2063</v>
      </c>
      <c r="L1148" t="s">
        <v>147</v>
      </c>
      <c r="M1148" t="s">
        <v>22</v>
      </c>
    </row>
    <row r="1149" spans="1:13" x14ac:dyDescent="0.3">
      <c r="A1149" t="str">
        <f>HYPERLINK("https://hsdes.intel.com/resource/14013185094","14013185094")</f>
        <v>14013185094</v>
      </c>
      <c r="B1149" t="s">
        <v>2608</v>
      </c>
      <c r="C1149" t="s">
        <v>12</v>
      </c>
      <c r="D1149" t="s">
        <v>2609</v>
      </c>
      <c r="E1149" t="s">
        <v>14</v>
      </c>
      <c r="F1149" t="s">
        <v>2394</v>
      </c>
      <c r="G1149" t="s">
        <v>111</v>
      </c>
      <c r="H1149" s="2">
        <v>44784</v>
      </c>
      <c r="I1149" t="s">
        <v>167</v>
      </c>
      <c r="J1149" t="s">
        <v>2063</v>
      </c>
      <c r="L1149" t="s">
        <v>147</v>
      </c>
      <c r="M1149" t="s">
        <v>22</v>
      </c>
    </row>
    <row r="1150" spans="1:13" x14ac:dyDescent="0.3">
      <c r="A1150" t="str">
        <f>HYPERLINK("https://hsdes.intel.com/resource/14013185096","14013185096")</f>
        <v>14013185096</v>
      </c>
      <c r="B1150" t="s">
        <v>2610</v>
      </c>
      <c r="C1150" t="s">
        <v>12</v>
      </c>
      <c r="D1150" t="s">
        <v>2611</v>
      </c>
      <c r="E1150" t="s">
        <v>14</v>
      </c>
      <c r="F1150" t="s">
        <v>2394</v>
      </c>
      <c r="G1150" t="s">
        <v>111</v>
      </c>
      <c r="H1150" s="2">
        <v>44784</v>
      </c>
      <c r="I1150" t="s">
        <v>167</v>
      </c>
      <c r="J1150" t="s">
        <v>2063</v>
      </c>
      <c r="L1150" t="s">
        <v>147</v>
      </c>
      <c r="M1150" t="s">
        <v>22</v>
      </c>
    </row>
    <row r="1151" spans="1:13" x14ac:dyDescent="0.3">
      <c r="A1151" t="str">
        <f>HYPERLINK("https://hsdes.intel.com/resource/14013185098","14013185098")</f>
        <v>14013185098</v>
      </c>
      <c r="B1151" t="s">
        <v>2612</v>
      </c>
      <c r="C1151" t="s">
        <v>12</v>
      </c>
      <c r="D1151" t="s">
        <v>2613</v>
      </c>
      <c r="E1151" t="s">
        <v>14</v>
      </c>
      <c r="F1151" t="s">
        <v>2394</v>
      </c>
      <c r="G1151" t="s">
        <v>111</v>
      </c>
      <c r="H1151" s="2">
        <v>44784</v>
      </c>
      <c r="I1151" t="s">
        <v>167</v>
      </c>
      <c r="J1151" t="s">
        <v>2063</v>
      </c>
      <c r="L1151" t="s">
        <v>147</v>
      </c>
      <c r="M1151" t="s">
        <v>22</v>
      </c>
    </row>
    <row r="1152" spans="1:13" x14ac:dyDescent="0.3">
      <c r="A1152" t="str">
        <f>HYPERLINK("https://hsdes.intel.com/resource/14013185100","14013185100")</f>
        <v>14013185100</v>
      </c>
      <c r="B1152" t="s">
        <v>2614</v>
      </c>
      <c r="C1152" t="s">
        <v>12</v>
      </c>
      <c r="D1152" t="s">
        <v>2615</v>
      </c>
      <c r="E1152" t="s">
        <v>14</v>
      </c>
      <c r="G1152" t="s">
        <v>111</v>
      </c>
      <c r="H1152" s="2">
        <v>44785</v>
      </c>
      <c r="I1152" t="s">
        <v>167</v>
      </c>
      <c r="J1152" t="s">
        <v>2063</v>
      </c>
      <c r="L1152" t="s">
        <v>147</v>
      </c>
      <c r="M1152" t="s">
        <v>22</v>
      </c>
    </row>
    <row r="1153" spans="1:13" x14ac:dyDescent="0.3">
      <c r="A1153" t="str">
        <f>HYPERLINK("https://hsdes.intel.com/resource/14013185127","14013185127")</f>
        <v>14013185127</v>
      </c>
      <c r="B1153" t="s">
        <v>2616</v>
      </c>
      <c r="C1153" t="s">
        <v>12</v>
      </c>
      <c r="D1153" t="s">
        <v>2617</v>
      </c>
      <c r="E1153" t="s">
        <v>612</v>
      </c>
      <c r="F1153" t="s">
        <v>1394</v>
      </c>
      <c r="G1153" t="s">
        <v>57</v>
      </c>
      <c r="I1153" t="s">
        <v>132</v>
      </c>
      <c r="J1153" t="s">
        <v>614</v>
      </c>
      <c r="L1153" t="s">
        <v>615</v>
      </c>
      <c r="M1153" t="s">
        <v>22</v>
      </c>
    </row>
    <row r="1154" spans="1:13" x14ac:dyDescent="0.3">
      <c r="A1154" t="str">
        <f>HYPERLINK("https://hsdes.intel.com/resource/14013185192","14013185192")</f>
        <v>14013185192</v>
      </c>
      <c r="B1154" t="s">
        <v>2618</v>
      </c>
      <c r="C1154" t="s">
        <v>12</v>
      </c>
      <c r="D1154" t="s">
        <v>2619</v>
      </c>
      <c r="E1154" t="s">
        <v>612</v>
      </c>
      <c r="F1154" t="s">
        <v>1394</v>
      </c>
      <c r="G1154" t="s">
        <v>57</v>
      </c>
      <c r="I1154" t="s">
        <v>132</v>
      </c>
      <c r="J1154" t="s">
        <v>614</v>
      </c>
      <c r="L1154" t="s">
        <v>615</v>
      </c>
      <c r="M1154" t="s">
        <v>22</v>
      </c>
    </row>
    <row r="1155" spans="1:13" x14ac:dyDescent="0.3">
      <c r="A1155" t="str">
        <f>HYPERLINK("https://hsdes.intel.com/resource/14013185197","14013185197")</f>
        <v>14013185197</v>
      </c>
      <c r="B1155" t="s">
        <v>2620</v>
      </c>
      <c r="C1155" t="s">
        <v>12</v>
      </c>
      <c r="D1155" t="s">
        <v>2621</v>
      </c>
      <c r="E1155" t="s">
        <v>14</v>
      </c>
      <c r="F1155" t="s">
        <v>2394</v>
      </c>
      <c r="G1155" t="s">
        <v>111</v>
      </c>
      <c r="H1155" s="2">
        <v>44784</v>
      </c>
      <c r="I1155" t="s">
        <v>167</v>
      </c>
      <c r="J1155" t="s">
        <v>2063</v>
      </c>
      <c r="L1155" t="s">
        <v>147</v>
      </c>
      <c r="M1155" t="s">
        <v>22</v>
      </c>
    </row>
    <row r="1156" spans="1:13" x14ac:dyDescent="0.3">
      <c r="A1156" t="str">
        <f>HYPERLINK("https://hsdes.intel.com/resource/14013185512","14013185512")</f>
        <v>14013185512</v>
      </c>
      <c r="B1156" t="s">
        <v>2622</v>
      </c>
      <c r="C1156" t="s">
        <v>12</v>
      </c>
      <c r="D1156" t="s">
        <v>2623</v>
      </c>
      <c r="E1156" t="s">
        <v>14</v>
      </c>
      <c r="G1156" t="s">
        <v>111</v>
      </c>
      <c r="H1156" s="2">
        <v>44784</v>
      </c>
      <c r="I1156" t="s">
        <v>167</v>
      </c>
      <c r="J1156" t="s">
        <v>2063</v>
      </c>
      <c r="L1156" t="s">
        <v>147</v>
      </c>
      <c r="M1156" t="s">
        <v>26</v>
      </c>
    </row>
    <row r="1157" spans="1:13" x14ac:dyDescent="0.3">
      <c r="A1157" t="str">
        <f>HYPERLINK("https://hsdes.intel.com/resource/14013185636","14013185636")</f>
        <v>14013185636</v>
      </c>
      <c r="B1157" t="s">
        <v>2624</v>
      </c>
      <c r="C1157" t="s">
        <v>12</v>
      </c>
      <c r="D1157" t="s">
        <v>2625</v>
      </c>
      <c r="E1157" t="s">
        <v>14</v>
      </c>
      <c r="G1157" t="s">
        <v>69</v>
      </c>
      <c r="H1157" s="2">
        <v>44785</v>
      </c>
      <c r="I1157" t="s">
        <v>16</v>
      </c>
      <c r="J1157" t="s">
        <v>17</v>
      </c>
      <c r="L1157" t="s">
        <v>18</v>
      </c>
      <c r="M1157" t="s">
        <v>22</v>
      </c>
    </row>
    <row r="1158" spans="1:13" x14ac:dyDescent="0.3">
      <c r="A1158" t="str">
        <f>HYPERLINK("https://hsdes.intel.com/resource/14013185659","14013185659")</f>
        <v>14013185659</v>
      </c>
      <c r="B1158" t="s">
        <v>2626</v>
      </c>
      <c r="C1158" t="s">
        <v>12</v>
      </c>
      <c r="D1158" t="s">
        <v>2627</v>
      </c>
      <c r="E1158" t="s">
        <v>14</v>
      </c>
      <c r="F1158" t="s">
        <v>2628</v>
      </c>
      <c r="G1158" t="s">
        <v>57</v>
      </c>
      <c r="H1158" s="2">
        <v>44792</v>
      </c>
      <c r="I1158" t="s">
        <v>132</v>
      </c>
      <c r="J1158" t="s">
        <v>614</v>
      </c>
      <c r="L1158" t="s">
        <v>615</v>
      </c>
      <c r="M1158" t="s">
        <v>26</v>
      </c>
    </row>
    <row r="1159" spans="1:13" x14ac:dyDescent="0.3">
      <c r="A1159" t="str">
        <f>HYPERLINK("https://hsdes.intel.com/resource/14013185672","14013185672")</f>
        <v>14013185672</v>
      </c>
      <c r="B1159" t="s">
        <v>2629</v>
      </c>
      <c r="C1159" t="s">
        <v>12</v>
      </c>
      <c r="D1159" t="s">
        <v>2630</v>
      </c>
      <c r="E1159" t="s">
        <v>14</v>
      </c>
      <c r="F1159" t="s">
        <v>2628</v>
      </c>
      <c r="G1159" t="s">
        <v>57</v>
      </c>
      <c r="H1159" s="2">
        <v>44792</v>
      </c>
      <c r="I1159" t="s">
        <v>132</v>
      </c>
      <c r="J1159" t="s">
        <v>614</v>
      </c>
      <c r="L1159" t="s">
        <v>615</v>
      </c>
      <c r="M1159" t="s">
        <v>26</v>
      </c>
    </row>
    <row r="1160" spans="1:13" x14ac:dyDescent="0.3">
      <c r="A1160" t="str">
        <f>HYPERLINK("https://hsdes.intel.com/resource/14013185693","14013185693")</f>
        <v>14013185693</v>
      </c>
      <c r="B1160" t="s">
        <v>2631</v>
      </c>
      <c r="C1160" t="s">
        <v>12</v>
      </c>
      <c r="D1160" t="s">
        <v>2632</v>
      </c>
      <c r="E1160" t="s">
        <v>14</v>
      </c>
      <c r="F1160" t="s">
        <v>2633</v>
      </c>
      <c r="G1160" t="s">
        <v>86</v>
      </c>
      <c r="H1160" s="2">
        <v>44799</v>
      </c>
      <c r="I1160" t="s">
        <v>132</v>
      </c>
      <c r="J1160" t="s">
        <v>614</v>
      </c>
      <c r="L1160" t="s">
        <v>615</v>
      </c>
      <c r="M1160" t="s">
        <v>26</v>
      </c>
    </row>
    <row r="1161" spans="1:13" x14ac:dyDescent="0.3">
      <c r="A1161" t="str">
        <f>HYPERLINK("https://hsdes.intel.com/resource/14013185716","14013185716")</f>
        <v>14013185716</v>
      </c>
      <c r="B1161" t="s">
        <v>2634</v>
      </c>
      <c r="C1161" t="s">
        <v>12</v>
      </c>
      <c r="D1161" t="s">
        <v>2635</v>
      </c>
      <c r="E1161" t="s">
        <v>14</v>
      </c>
      <c r="F1161" t="s">
        <v>2019</v>
      </c>
      <c r="G1161" t="s">
        <v>111</v>
      </c>
      <c r="H1161" s="2">
        <v>44789</v>
      </c>
      <c r="I1161" t="s">
        <v>32</v>
      </c>
      <c r="J1161" t="s">
        <v>82</v>
      </c>
      <c r="L1161" t="s">
        <v>125</v>
      </c>
      <c r="M1161" t="s">
        <v>26</v>
      </c>
    </row>
    <row r="1162" spans="1:13" x14ac:dyDescent="0.3">
      <c r="A1162" t="str">
        <f>HYPERLINK("https://hsdes.intel.com/resource/14013185802","14013185802")</f>
        <v>14013185802</v>
      </c>
      <c r="B1162" t="s">
        <v>2636</v>
      </c>
      <c r="C1162" t="s">
        <v>12</v>
      </c>
      <c r="D1162" t="s">
        <v>2637</v>
      </c>
      <c r="E1162" t="s">
        <v>14</v>
      </c>
      <c r="F1162" t="s">
        <v>2549</v>
      </c>
      <c r="G1162" t="s">
        <v>111</v>
      </c>
      <c r="H1162" s="2">
        <v>44799</v>
      </c>
      <c r="I1162" t="s">
        <v>16</v>
      </c>
      <c r="J1162" t="s">
        <v>17</v>
      </c>
      <c r="L1162" t="s">
        <v>18</v>
      </c>
      <c r="M1162" t="s">
        <v>22</v>
      </c>
    </row>
    <row r="1163" spans="1:13" x14ac:dyDescent="0.3">
      <c r="A1163" t="str">
        <f>HYPERLINK("https://hsdes.intel.com/resource/14013186099","14013186099")</f>
        <v>14013186099</v>
      </c>
      <c r="B1163" t="s">
        <v>2638</v>
      </c>
      <c r="C1163" t="s">
        <v>12</v>
      </c>
      <c r="D1163" t="s">
        <v>2639</v>
      </c>
      <c r="E1163" t="s">
        <v>14</v>
      </c>
      <c r="F1163" t="s">
        <v>2640</v>
      </c>
      <c r="G1163" t="s">
        <v>31</v>
      </c>
      <c r="H1163" s="2">
        <v>44797</v>
      </c>
      <c r="I1163" t="s">
        <v>48</v>
      </c>
      <c r="J1163" t="s">
        <v>271</v>
      </c>
      <c r="L1163" t="s">
        <v>272</v>
      </c>
      <c r="M1163" t="s">
        <v>22</v>
      </c>
    </row>
    <row r="1164" spans="1:13" x14ac:dyDescent="0.3">
      <c r="A1164" t="str">
        <f>HYPERLINK("https://hsdes.intel.com/resource/14013186245","14013186245")</f>
        <v>14013186245</v>
      </c>
      <c r="B1164" t="s">
        <v>148</v>
      </c>
      <c r="C1164" t="s">
        <v>12</v>
      </c>
      <c r="D1164" t="s">
        <v>2641</v>
      </c>
      <c r="E1164" t="s">
        <v>120</v>
      </c>
      <c r="F1164" t="s">
        <v>150</v>
      </c>
      <c r="G1164" t="s">
        <v>111</v>
      </c>
      <c r="H1164" s="2">
        <v>44791</v>
      </c>
      <c r="I1164" t="s">
        <v>48</v>
      </c>
      <c r="J1164" t="s">
        <v>151</v>
      </c>
      <c r="L1164" t="s">
        <v>152</v>
      </c>
      <c r="M1164" t="s">
        <v>22</v>
      </c>
    </row>
    <row r="1165" spans="1:13" x14ac:dyDescent="0.3">
      <c r="A1165" t="str">
        <f>HYPERLINK("https://hsdes.intel.com/resource/14013186411","14013186411")</f>
        <v>14013186411</v>
      </c>
      <c r="B1165" t="s">
        <v>2642</v>
      </c>
      <c r="C1165" t="s">
        <v>12</v>
      </c>
      <c r="D1165" t="s">
        <v>2643</v>
      </c>
      <c r="E1165" t="s">
        <v>14</v>
      </c>
      <c r="G1165" t="s">
        <v>15</v>
      </c>
      <c r="H1165" s="2">
        <v>44789</v>
      </c>
      <c r="I1165" t="s">
        <v>48</v>
      </c>
      <c r="J1165" t="s">
        <v>271</v>
      </c>
      <c r="L1165" t="s">
        <v>272</v>
      </c>
      <c r="M1165" t="s">
        <v>26</v>
      </c>
    </row>
    <row r="1166" spans="1:13" x14ac:dyDescent="0.3">
      <c r="A1166" t="str">
        <f>HYPERLINK("https://hsdes.intel.com/resource/14013186567","14013186567")</f>
        <v>14013186567</v>
      </c>
      <c r="B1166" t="s">
        <v>2644</v>
      </c>
      <c r="C1166" t="s">
        <v>12</v>
      </c>
      <c r="D1166" t="s">
        <v>2645</v>
      </c>
      <c r="E1166" t="s">
        <v>14</v>
      </c>
      <c r="G1166" t="s">
        <v>15</v>
      </c>
      <c r="H1166" s="2">
        <v>44789</v>
      </c>
      <c r="I1166" t="s">
        <v>48</v>
      </c>
      <c r="J1166" t="s">
        <v>271</v>
      </c>
      <c r="L1166" t="s">
        <v>272</v>
      </c>
      <c r="M1166" t="s">
        <v>26</v>
      </c>
    </row>
    <row r="1167" spans="1:13" x14ac:dyDescent="0.3">
      <c r="A1167" t="str">
        <f>HYPERLINK("https://hsdes.intel.com/resource/14013186568","14013186568")</f>
        <v>14013186568</v>
      </c>
      <c r="B1167" t="s">
        <v>1347</v>
      </c>
      <c r="C1167" t="s">
        <v>12</v>
      </c>
      <c r="D1167" t="s">
        <v>2646</v>
      </c>
      <c r="E1167" t="s">
        <v>14</v>
      </c>
      <c r="G1167" t="s">
        <v>15</v>
      </c>
      <c r="H1167" s="2">
        <v>44789</v>
      </c>
      <c r="I1167" t="s">
        <v>48</v>
      </c>
      <c r="J1167" t="s">
        <v>271</v>
      </c>
      <c r="L1167" t="s">
        <v>272</v>
      </c>
      <c r="M1167" t="s">
        <v>26</v>
      </c>
    </row>
    <row r="1168" spans="1:13" x14ac:dyDescent="0.3">
      <c r="A1168" t="str">
        <f>HYPERLINK("https://hsdes.intel.com/resource/14013186578","14013186578")</f>
        <v>14013186578</v>
      </c>
      <c r="B1168" t="s">
        <v>2647</v>
      </c>
      <c r="C1168" t="s">
        <v>12</v>
      </c>
      <c r="D1168" t="s">
        <v>2648</v>
      </c>
      <c r="E1168" t="s">
        <v>14</v>
      </c>
      <c r="G1168" t="s">
        <v>57</v>
      </c>
      <c r="H1168" s="2">
        <v>44799</v>
      </c>
      <c r="I1168" t="s">
        <v>48</v>
      </c>
      <c r="J1168" t="s">
        <v>271</v>
      </c>
      <c r="L1168" t="s">
        <v>272</v>
      </c>
      <c r="M1168" t="s">
        <v>22</v>
      </c>
    </row>
    <row r="1169" spans="1:13" x14ac:dyDescent="0.3">
      <c r="A1169" t="str">
        <f>HYPERLINK("https://hsdes.intel.com/resource/14013186641","14013186641")</f>
        <v>14013186641</v>
      </c>
      <c r="B1169" t="s">
        <v>2649</v>
      </c>
      <c r="C1169" t="s">
        <v>12</v>
      </c>
      <c r="D1169" t="s">
        <v>2650</v>
      </c>
      <c r="E1169" t="s">
        <v>14</v>
      </c>
      <c r="G1169" t="s">
        <v>31</v>
      </c>
      <c r="H1169" s="2">
        <v>44791</v>
      </c>
      <c r="I1169" t="s">
        <v>48</v>
      </c>
      <c r="J1169" t="s">
        <v>271</v>
      </c>
      <c r="L1169" t="s">
        <v>272</v>
      </c>
      <c r="M1169" t="s">
        <v>26</v>
      </c>
    </row>
    <row r="1170" spans="1:13" x14ac:dyDescent="0.3">
      <c r="A1170" t="str">
        <f>HYPERLINK("https://hsdes.intel.com/resource/14013186872","14013186872")</f>
        <v>14013186872</v>
      </c>
      <c r="B1170" t="s">
        <v>2651</v>
      </c>
      <c r="C1170" t="s">
        <v>12</v>
      </c>
      <c r="D1170" t="s">
        <v>2652</v>
      </c>
      <c r="E1170" t="s">
        <v>14</v>
      </c>
      <c r="G1170" t="s">
        <v>15</v>
      </c>
      <c r="H1170" s="2">
        <v>44785</v>
      </c>
      <c r="I1170" t="s">
        <v>48</v>
      </c>
      <c r="J1170" t="s">
        <v>271</v>
      </c>
      <c r="L1170" t="s">
        <v>272</v>
      </c>
      <c r="M1170" t="s">
        <v>26</v>
      </c>
    </row>
    <row r="1171" spans="1:13" x14ac:dyDescent="0.3">
      <c r="A1171" t="str">
        <f>HYPERLINK("https://hsdes.intel.com/resource/14013186916","14013186916")</f>
        <v>14013186916</v>
      </c>
      <c r="B1171" t="s">
        <v>2537</v>
      </c>
      <c r="C1171" t="s">
        <v>12</v>
      </c>
      <c r="D1171" t="s">
        <v>2653</v>
      </c>
      <c r="E1171" t="s">
        <v>14</v>
      </c>
      <c r="G1171" t="s">
        <v>15</v>
      </c>
      <c r="H1171" s="2">
        <v>44789</v>
      </c>
      <c r="I1171" t="s">
        <v>48</v>
      </c>
      <c r="J1171" t="s">
        <v>271</v>
      </c>
      <c r="L1171" t="s">
        <v>272</v>
      </c>
      <c r="M1171" t="s">
        <v>26</v>
      </c>
    </row>
    <row r="1172" spans="1:13" x14ac:dyDescent="0.3">
      <c r="A1172" t="str">
        <f>HYPERLINK("https://hsdes.intel.com/resource/14013186917","14013186917")</f>
        <v>14013186917</v>
      </c>
      <c r="B1172" t="s">
        <v>2654</v>
      </c>
      <c r="C1172" t="s">
        <v>12</v>
      </c>
      <c r="D1172" t="s">
        <v>2655</v>
      </c>
      <c r="E1172" t="s">
        <v>14</v>
      </c>
      <c r="G1172" t="s">
        <v>15</v>
      </c>
      <c r="H1172" s="2">
        <v>44789</v>
      </c>
      <c r="I1172" t="s">
        <v>48</v>
      </c>
      <c r="J1172" t="s">
        <v>271</v>
      </c>
      <c r="L1172" t="s">
        <v>272</v>
      </c>
      <c r="M1172" t="s">
        <v>26</v>
      </c>
    </row>
    <row r="1173" spans="1:13" x14ac:dyDescent="0.3">
      <c r="A1173" t="str">
        <f>HYPERLINK("https://hsdes.intel.com/resource/14013186929","14013186929")</f>
        <v>14013186929</v>
      </c>
      <c r="B1173" t="s">
        <v>2656</v>
      </c>
      <c r="C1173" t="s">
        <v>12</v>
      </c>
      <c r="D1173" t="s">
        <v>2657</v>
      </c>
      <c r="E1173" t="s">
        <v>14</v>
      </c>
      <c r="G1173" t="s">
        <v>15</v>
      </c>
      <c r="H1173" s="2">
        <v>44784</v>
      </c>
      <c r="I1173" t="s">
        <v>48</v>
      </c>
      <c r="J1173" t="s">
        <v>271</v>
      </c>
      <c r="L1173" t="s">
        <v>272</v>
      </c>
      <c r="M1173" t="s">
        <v>26</v>
      </c>
    </row>
    <row r="1174" spans="1:13" x14ac:dyDescent="0.3">
      <c r="A1174" t="str">
        <f>HYPERLINK("https://hsdes.intel.com/resource/14013186958","14013186958")</f>
        <v>14013186958</v>
      </c>
      <c r="B1174" t="s">
        <v>2658</v>
      </c>
      <c r="C1174" t="s">
        <v>12</v>
      </c>
      <c r="D1174" t="s">
        <v>2659</v>
      </c>
      <c r="E1174" t="s">
        <v>14</v>
      </c>
      <c r="G1174" t="s">
        <v>15</v>
      </c>
      <c r="H1174" s="2">
        <v>44783</v>
      </c>
      <c r="I1174" t="s">
        <v>48</v>
      </c>
      <c r="J1174" t="s">
        <v>271</v>
      </c>
      <c r="L1174" t="s">
        <v>272</v>
      </c>
      <c r="M1174" t="s">
        <v>26</v>
      </c>
    </row>
    <row r="1175" spans="1:13" x14ac:dyDescent="0.3">
      <c r="A1175" t="str">
        <f>HYPERLINK("https://hsdes.intel.com/resource/14013187966","14013187966")</f>
        <v>14013187966</v>
      </c>
      <c r="B1175" t="s">
        <v>2660</v>
      </c>
      <c r="C1175" t="s">
        <v>12</v>
      </c>
      <c r="D1175" t="s">
        <v>2661</v>
      </c>
      <c r="E1175" t="s">
        <v>14</v>
      </c>
      <c r="G1175" t="s">
        <v>15</v>
      </c>
      <c r="H1175" s="2">
        <v>44789</v>
      </c>
      <c r="I1175" t="s">
        <v>48</v>
      </c>
      <c r="J1175" t="s">
        <v>271</v>
      </c>
      <c r="L1175" t="s">
        <v>272</v>
      </c>
      <c r="M1175" t="s">
        <v>26</v>
      </c>
    </row>
    <row r="1176" spans="1:13" x14ac:dyDescent="0.3">
      <c r="A1176" t="str">
        <f>HYPERLINK("https://hsdes.intel.com/resource/14013187973","14013187973")</f>
        <v>14013187973</v>
      </c>
      <c r="B1176" t="s">
        <v>2662</v>
      </c>
      <c r="C1176" t="s">
        <v>12</v>
      </c>
      <c r="D1176" t="s">
        <v>2663</v>
      </c>
      <c r="E1176" t="s">
        <v>97</v>
      </c>
      <c r="F1176" t="s">
        <v>2664</v>
      </c>
      <c r="G1176" t="s">
        <v>111</v>
      </c>
      <c r="H1176" s="2">
        <v>44801</v>
      </c>
      <c r="I1176" t="s">
        <v>167</v>
      </c>
      <c r="J1176" t="s">
        <v>2039</v>
      </c>
      <c r="L1176" t="s">
        <v>147</v>
      </c>
      <c r="M1176" t="s">
        <v>19</v>
      </c>
    </row>
    <row r="1177" spans="1:13" x14ac:dyDescent="0.3">
      <c r="A1177" t="str">
        <f>HYPERLINK("https://hsdes.intel.com/resource/14013187976","14013187976")</f>
        <v>14013187976</v>
      </c>
      <c r="B1177" t="s">
        <v>2144</v>
      </c>
      <c r="C1177" t="s">
        <v>12</v>
      </c>
      <c r="D1177" t="s">
        <v>2665</v>
      </c>
      <c r="E1177" t="s">
        <v>97</v>
      </c>
      <c r="F1177" t="s">
        <v>2664</v>
      </c>
      <c r="G1177" t="s">
        <v>111</v>
      </c>
      <c r="H1177" s="2">
        <v>44801</v>
      </c>
      <c r="I1177" t="s">
        <v>167</v>
      </c>
      <c r="J1177" t="s">
        <v>2039</v>
      </c>
      <c r="L1177" t="s">
        <v>147</v>
      </c>
      <c r="M1177" t="s">
        <v>26</v>
      </c>
    </row>
    <row r="1178" spans="1:13" x14ac:dyDescent="0.3">
      <c r="A1178" t="str">
        <f>HYPERLINK("https://hsdes.intel.com/resource/14013187977","14013187977")</f>
        <v>14013187977</v>
      </c>
      <c r="B1178" t="s">
        <v>2147</v>
      </c>
      <c r="C1178" t="s">
        <v>12</v>
      </c>
      <c r="D1178" t="s">
        <v>2666</v>
      </c>
      <c r="E1178" t="s">
        <v>97</v>
      </c>
      <c r="F1178" t="s">
        <v>2664</v>
      </c>
      <c r="G1178" t="s">
        <v>111</v>
      </c>
      <c r="H1178" s="2">
        <v>44801</v>
      </c>
      <c r="I1178" t="s">
        <v>167</v>
      </c>
      <c r="J1178" t="s">
        <v>2039</v>
      </c>
      <c r="L1178" t="s">
        <v>147</v>
      </c>
      <c r="M1178" t="s">
        <v>26</v>
      </c>
    </row>
    <row r="1179" spans="1:13" x14ac:dyDescent="0.3">
      <c r="A1179" t="str">
        <f>HYPERLINK("https://hsdes.intel.com/resource/14013187979","14013187979")</f>
        <v>14013187979</v>
      </c>
      <c r="B1179" t="s">
        <v>2152</v>
      </c>
      <c r="C1179" t="s">
        <v>12</v>
      </c>
      <c r="D1179" t="s">
        <v>2667</v>
      </c>
      <c r="E1179" t="s">
        <v>14</v>
      </c>
      <c r="F1179" t="s">
        <v>2154</v>
      </c>
      <c r="G1179" t="s">
        <v>81</v>
      </c>
      <c r="H1179" s="2">
        <v>44802</v>
      </c>
      <c r="I1179" t="s">
        <v>167</v>
      </c>
      <c r="J1179" t="s">
        <v>2039</v>
      </c>
      <c r="L1179" t="s">
        <v>147</v>
      </c>
      <c r="M1179" t="s">
        <v>22</v>
      </c>
    </row>
    <row r="1180" spans="1:13" x14ac:dyDescent="0.3">
      <c r="A1180" t="str">
        <f>HYPERLINK("https://hsdes.intel.com/resource/14013188164","14013188164")</f>
        <v>14013188164</v>
      </c>
      <c r="B1180" t="s">
        <v>2668</v>
      </c>
      <c r="C1180" t="s">
        <v>12</v>
      </c>
      <c r="D1180" t="s">
        <v>2669</v>
      </c>
      <c r="E1180" t="s">
        <v>14</v>
      </c>
      <c r="G1180" t="s">
        <v>63</v>
      </c>
      <c r="H1180" s="2">
        <v>44792</v>
      </c>
      <c r="I1180" t="s">
        <v>16</v>
      </c>
      <c r="J1180" t="s">
        <v>17</v>
      </c>
      <c r="L1180" t="s">
        <v>18</v>
      </c>
      <c r="M1180" t="s">
        <v>22</v>
      </c>
    </row>
    <row r="1181" spans="1:13" x14ac:dyDescent="0.3">
      <c r="A1181" t="str">
        <f>HYPERLINK("https://hsdes.intel.com/resource/16012525017","16012525017")</f>
        <v>16012525017</v>
      </c>
      <c r="B1181" t="s">
        <v>2670</v>
      </c>
      <c r="C1181" t="s">
        <v>12</v>
      </c>
      <c r="E1181" t="s">
        <v>97</v>
      </c>
      <c r="F1181" t="s">
        <v>2671</v>
      </c>
      <c r="G1181" t="s">
        <v>81</v>
      </c>
      <c r="I1181" t="s">
        <v>167</v>
      </c>
      <c r="J1181" t="s">
        <v>2039</v>
      </c>
      <c r="L1181" t="s">
        <v>147</v>
      </c>
      <c r="M1181" t="s">
        <v>26</v>
      </c>
    </row>
    <row r="1182" spans="1:13" x14ac:dyDescent="0.3">
      <c r="A1182" t="str">
        <f>HYPERLINK("https://hsdes.intel.com/resource/16012555183","16012555183")</f>
        <v>16012555183</v>
      </c>
      <c r="B1182" t="s">
        <v>2672</v>
      </c>
      <c r="C1182" t="s">
        <v>12</v>
      </c>
      <c r="D1182" t="s">
        <v>2673</v>
      </c>
      <c r="E1182" t="s">
        <v>14</v>
      </c>
      <c r="G1182" t="s">
        <v>31</v>
      </c>
      <c r="H1182" s="2">
        <v>44797</v>
      </c>
      <c r="I1182" t="s">
        <v>48</v>
      </c>
      <c r="J1182" t="s">
        <v>271</v>
      </c>
      <c r="L1182" t="s">
        <v>272</v>
      </c>
      <c r="M1182" t="s">
        <v>26</v>
      </c>
    </row>
    <row r="1183" spans="1:13" x14ac:dyDescent="0.3">
      <c r="A1183" t="str">
        <f>HYPERLINK("https://hsdes.intel.com/resource/16012572885","16012572885")</f>
        <v>16012572885</v>
      </c>
      <c r="B1183" t="s">
        <v>2674</v>
      </c>
      <c r="C1183" t="s">
        <v>12</v>
      </c>
      <c r="D1183" t="s">
        <v>298</v>
      </c>
      <c r="E1183" t="s">
        <v>14</v>
      </c>
      <c r="F1183" t="s">
        <v>2675</v>
      </c>
      <c r="G1183" t="s">
        <v>81</v>
      </c>
      <c r="H1183" s="2">
        <v>44802</v>
      </c>
      <c r="I1183" t="s">
        <v>167</v>
      </c>
      <c r="J1183" t="s">
        <v>122</v>
      </c>
      <c r="L1183" t="s">
        <v>133</v>
      </c>
      <c r="M1183" t="s">
        <v>26</v>
      </c>
    </row>
    <row r="1184" spans="1:13" x14ac:dyDescent="0.3">
      <c r="A1184" t="str">
        <f>HYPERLINK("https://hsdes.intel.com/resource/16012652787","16012652787")</f>
        <v>16012652787</v>
      </c>
      <c r="B1184" t="s">
        <v>2676</v>
      </c>
      <c r="C1184" t="s">
        <v>12</v>
      </c>
      <c r="D1184" t="s">
        <v>2677</v>
      </c>
      <c r="E1184" t="s">
        <v>14</v>
      </c>
      <c r="F1184" t="s">
        <v>2154</v>
      </c>
      <c r="G1184" t="s">
        <v>111</v>
      </c>
      <c r="H1184" s="2">
        <v>44792</v>
      </c>
      <c r="I1184" t="s">
        <v>167</v>
      </c>
      <c r="J1184" t="s">
        <v>2039</v>
      </c>
      <c r="L1184" t="s">
        <v>147</v>
      </c>
      <c r="M1184" t="s">
        <v>22</v>
      </c>
    </row>
    <row r="1185" spans="1:13" x14ac:dyDescent="0.3">
      <c r="A1185" t="str">
        <f>HYPERLINK("https://hsdes.intel.com/resource/16012734505","16012734505")</f>
        <v>16012734505</v>
      </c>
      <c r="B1185" t="s">
        <v>2678</v>
      </c>
      <c r="C1185" t="s">
        <v>12</v>
      </c>
      <c r="D1185" t="s">
        <v>185</v>
      </c>
      <c r="E1185" t="s">
        <v>14</v>
      </c>
      <c r="G1185" t="s">
        <v>81</v>
      </c>
      <c r="H1185" s="2">
        <v>44791</v>
      </c>
      <c r="I1185" t="s">
        <v>167</v>
      </c>
      <c r="J1185" t="s">
        <v>151</v>
      </c>
      <c r="L1185" t="s">
        <v>147</v>
      </c>
      <c r="M1185" t="s">
        <v>26</v>
      </c>
    </row>
    <row r="1186" spans="1:13" x14ac:dyDescent="0.3">
      <c r="A1186" t="str">
        <f>HYPERLINK("https://hsdes.intel.com/resource/16012878689","16012878689")</f>
        <v>16012878689</v>
      </c>
      <c r="B1186" t="s">
        <v>2679</v>
      </c>
      <c r="C1186" t="s">
        <v>12</v>
      </c>
      <c r="D1186" t="s">
        <v>2680</v>
      </c>
      <c r="E1186" t="s">
        <v>14</v>
      </c>
      <c r="G1186" t="s">
        <v>72</v>
      </c>
      <c r="H1186" s="2">
        <v>44789</v>
      </c>
      <c r="I1186" t="s">
        <v>16</v>
      </c>
      <c r="J1186" t="s">
        <v>39</v>
      </c>
      <c r="L1186" t="s">
        <v>157</v>
      </c>
      <c r="M1186" t="s">
        <v>26</v>
      </c>
    </row>
    <row r="1187" spans="1:13" x14ac:dyDescent="0.3">
      <c r="A1187" t="str">
        <f>HYPERLINK("https://hsdes.intel.com/resource/16013044817","16013044817")</f>
        <v>16013044817</v>
      </c>
      <c r="B1187" t="s">
        <v>2681</v>
      </c>
      <c r="C1187" t="s">
        <v>12</v>
      </c>
      <c r="E1187" t="s">
        <v>14</v>
      </c>
      <c r="G1187" t="s">
        <v>31</v>
      </c>
      <c r="H1187" s="2">
        <v>44798</v>
      </c>
      <c r="I1187" t="s">
        <v>16</v>
      </c>
      <c r="J1187" t="s">
        <v>17</v>
      </c>
      <c r="L1187" t="s">
        <v>18</v>
      </c>
      <c r="M1187" t="s">
        <v>26</v>
      </c>
    </row>
    <row r="1188" spans="1:13" x14ac:dyDescent="0.3">
      <c r="A1188" t="str">
        <f>HYPERLINK("https://hsdes.intel.com/resource/16013045184","16013045184")</f>
        <v>16013045184</v>
      </c>
      <c r="B1188" t="s">
        <v>2682</v>
      </c>
      <c r="C1188" t="s">
        <v>12</v>
      </c>
      <c r="E1188" t="s">
        <v>14</v>
      </c>
      <c r="F1188" t="s">
        <v>2683</v>
      </c>
      <c r="G1188" t="s">
        <v>15</v>
      </c>
      <c r="H1188" s="2">
        <v>44785</v>
      </c>
      <c r="I1188" t="s">
        <v>38</v>
      </c>
      <c r="J1188" t="s">
        <v>77</v>
      </c>
      <c r="L1188" t="s">
        <v>78</v>
      </c>
      <c r="M1188" t="s">
        <v>26</v>
      </c>
    </row>
    <row r="1189" spans="1:13" x14ac:dyDescent="0.3">
      <c r="A1189" t="str">
        <f>HYPERLINK("https://hsdes.intel.com/resource/16013162806","16013162806")</f>
        <v>16013162806</v>
      </c>
      <c r="B1189" t="s">
        <v>2684</v>
      </c>
      <c r="C1189" t="s">
        <v>12</v>
      </c>
      <c r="D1189" t="s">
        <v>2685</v>
      </c>
      <c r="E1189" t="s">
        <v>1385</v>
      </c>
      <c r="G1189" t="s">
        <v>811</v>
      </c>
      <c r="I1189" t="s">
        <v>38</v>
      </c>
      <c r="J1189" t="s">
        <v>77</v>
      </c>
      <c r="L1189" t="s">
        <v>78</v>
      </c>
      <c r="M1189" t="s">
        <v>26</v>
      </c>
    </row>
    <row r="1190" spans="1:13" x14ac:dyDescent="0.3">
      <c r="A1190" t="str">
        <f>HYPERLINK("https://hsdes.intel.com/resource/16013169992","16013169992")</f>
        <v>16013169992</v>
      </c>
      <c r="B1190" t="s">
        <v>2686</v>
      </c>
      <c r="C1190" t="s">
        <v>12</v>
      </c>
      <c r="E1190" t="s">
        <v>14</v>
      </c>
      <c r="F1190" t="s">
        <v>224</v>
      </c>
      <c r="G1190" t="s">
        <v>15</v>
      </c>
      <c r="H1190" s="2">
        <v>44785</v>
      </c>
      <c r="I1190" t="s">
        <v>16</v>
      </c>
      <c r="J1190" t="s">
        <v>17</v>
      </c>
      <c r="L1190" t="s">
        <v>18</v>
      </c>
      <c r="M1190" t="s">
        <v>22</v>
      </c>
    </row>
    <row r="1191" spans="1:13" x14ac:dyDescent="0.3">
      <c r="A1191" t="str">
        <f>HYPERLINK("https://hsdes.intel.com/resource/16013185250","16013185250")</f>
        <v>16013185250</v>
      </c>
      <c r="B1191" t="s">
        <v>2687</v>
      </c>
      <c r="C1191" t="s">
        <v>12</v>
      </c>
      <c r="E1191" t="s">
        <v>14</v>
      </c>
      <c r="F1191" t="s">
        <v>2688</v>
      </c>
      <c r="G1191" t="s">
        <v>15</v>
      </c>
      <c r="H1191" s="2">
        <v>44785</v>
      </c>
      <c r="I1191" t="s">
        <v>16</v>
      </c>
      <c r="J1191" t="s">
        <v>122</v>
      </c>
      <c r="L1191" t="s">
        <v>54</v>
      </c>
      <c r="M1191" t="s">
        <v>22</v>
      </c>
    </row>
    <row r="1192" spans="1:13" x14ac:dyDescent="0.3">
      <c r="A1192" t="str">
        <f>HYPERLINK("https://hsdes.intel.com/resource/16013191780","16013191780")</f>
        <v>16013191780</v>
      </c>
      <c r="B1192" t="s">
        <v>2689</v>
      </c>
      <c r="C1192" t="s">
        <v>12</v>
      </c>
      <c r="D1192" t="s">
        <v>2690</v>
      </c>
      <c r="E1192" t="s">
        <v>1385</v>
      </c>
      <c r="G1192" t="s">
        <v>811</v>
      </c>
      <c r="I1192" t="s">
        <v>38</v>
      </c>
      <c r="J1192" t="s">
        <v>77</v>
      </c>
      <c r="L1192" t="s">
        <v>78</v>
      </c>
      <c r="M1192" t="s">
        <v>26</v>
      </c>
    </row>
    <row r="1193" spans="1:13" x14ac:dyDescent="0.3">
      <c r="A1193" t="str">
        <f>HYPERLINK("https://hsdes.intel.com/resource/16013191789","16013191789")</f>
        <v>16013191789</v>
      </c>
      <c r="B1193" t="s">
        <v>2691</v>
      </c>
      <c r="C1193" t="s">
        <v>12</v>
      </c>
      <c r="D1193" t="s">
        <v>2690</v>
      </c>
      <c r="E1193" t="s">
        <v>1385</v>
      </c>
      <c r="G1193" t="s">
        <v>811</v>
      </c>
      <c r="I1193" t="s">
        <v>38</v>
      </c>
      <c r="J1193" t="s">
        <v>77</v>
      </c>
      <c r="L1193" t="s">
        <v>78</v>
      </c>
      <c r="M1193" t="s">
        <v>26</v>
      </c>
    </row>
    <row r="1194" spans="1:13" x14ac:dyDescent="0.3">
      <c r="A1194" t="str">
        <f>HYPERLINK("https://hsdes.intel.com/resource/16013240669","16013240669")</f>
        <v>16013240669</v>
      </c>
      <c r="B1194" t="s">
        <v>2692</v>
      </c>
      <c r="C1194" t="s">
        <v>12</v>
      </c>
      <c r="D1194" t="s">
        <v>491</v>
      </c>
      <c r="E1194" t="s">
        <v>14</v>
      </c>
      <c r="G1194" t="s">
        <v>37</v>
      </c>
      <c r="I1194" t="s">
        <v>32</v>
      </c>
      <c r="J1194" t="s">
        <v>33</v>
      </c>
      <c r="L1194" t="s">
        <v>34</v>
      </c>
      <c r="M1194" t="s">
        <v>26</v>
      </c>
    </row>
    <row r="1195" spans="1:13" x14ac:dyDescent="0.3">
      <c r="A1195" t="str">
        <f>HYPERLINK("https://hsdes.intel.com/resource/16013241572","16013241572")</f>
        <v>16013241572</v>
      </c>
      <c r="B1195" t="s">
        <v>2693</v>
      </c>
      <c r="C1195" t="s">
        <v>12</v>
      </c>
      <c r="E1195" t="s">
        <v>14</v>
      </c>
      <c r="G1195" t="s">
        <v>15</v>
      </c>
      <c r="H1195" s="2">
        <v>44785</v>
      </c>
      <c r="I1195" t="s">
        <v>38</v>
      </c>
      <c r="J1195" t="s">
        <v>77</v>
      </c>
      <c r="L1195" t="s">
        <v>78</v>
      </c>
      <c r="M1195" t="s">
        <v>22</v>
      </c>
    </row>
    <row r="1196" spans="1:13" x14ac:dyDescent="0.3">
      <c r="A1196" t="str">
        <f>HYPERLINK("https://hsdes.intel.com/resource/16013248861","16013248861")</f>
        <v>16013248861</v>
      </c>
      <c r="B1196" t="s">
        <v>2694</v>
      </c>
      <c r="C1196" t="s">
        <v>12</v>
      </c>
      <c r="D1196" t="s">
        <v>2695</v>
      </c>
      <c r="E1196" t="s">
        <v>120</v>
      </c>
      <c r="F1196" t="s">
        <v>2696</v>
      </c>
      <c r="G1196" t="s">
        <v>111</v>
      </c>
      <c r="H1196" s="2">
        <v>44785</v>
      </c>
      <c r="I1196" t="s">
        <v>167</v>
      </c>
      <c r="J1196" t="s">
        <v>2697</v>
      </c>
      <c r="L1196" t="s">
        <v>147</v>
      </c>
      <c r="M1196" t="s">
        <v>26</v>
      </c>
    </row>
    <row r="1197" spans="1:13" x14ac:dyDescent="0.3">
      <c r="A1197" t="str">
        <f>HYPERLINK("https://hsdes.intel.com/resource/16013290037","16013290037")</f>
        <v>16013290037</v>
      </c>
      <c r="B1197" t="s">
        <v>2698</v>
      </c>
      <c r="C1197" t="s">
        <v>12</v>
      </c>
      <c r="E1197" t="s">
        <v>97</v>
      </c>
      <c r="F1197" t="s">
        <v>2699</v>
      </c>
      <c r="G1197" t="s">
        <v>31</v>
      </c>
      <c r="I1197" t="s">
        <v>48</v>
      </c>
      <c r="J1197" t="s">
        <v>271</v>
      </c>
      <c r="L1197" t="s">
        <v>272</v>
      </c>
      <c r="M1197" t="s">
        <v>19</v>
      </c>
    </row>
    <row r="1198" spans="1:13" x14ac:dyDescent="0.3">
      <c r="A1198" t="str">
        <f>HYPERLINK("https://hsdes.intel.com/resource/16013297442","16013297442")</f>
        <v>16013297442</v>
      </c>
      <c r="B1198" t="s">
        <v>2700</v>
      </c>
      <c r="C1198" t="s">
        <v>12</v>
      </c>
      <c r="E1198" t="s">
        <v>97</v>
      </c>
      <c r="F1198" t="s">
        <v>2699</v>
      </c>
      <c r="G1198" t="s">
        <v>31</v>
      </c>
      <c r="I1198" t="s">
        <v>48</v>
      </c>
      <c r="J1198" t="s">
        <v>271</v>
      </c>
      <c r="L1198" t="s">
        <v>272</v>
      </c>
      <c r="M1198" t="s">
        <v>19</v>
      </c>
    </row>
    <row r="1199" spans="1:13" x14ac:dyDescent="0.3">
      <c r="A1199" t="str">
        <f>HYPERLINK("https://hsdes.intel.com/resource/16013305578","16013305578")</f>
        <v>16013305578</v>
      </c>
      <c r="B1199" t="s">
        <v>2701</v>
      </c>
      <c r="C1199" t="s">
        <v>12</v>
      </c>
      <c r="D1199" t="s">
        <v>2702</v>
      </c>
      <c r="E1199" t="s">
        <v>14</v>
      </c>
      <c r="F1199" t="s">
        <v>46</v>
      </c>
      <c r="G1199" t="s">
        <v>111</v>
      </c>
      <c r="H1199" s="2">
        <v>44785</v>
      </c>
      <c r="I1199" t="s">
        <v>167</v>
      </c>
      <c r="J1199" t="s">
        <v>168</v>
      </c>
      <c r="L1199" t="s">
        <v>147</v>
      </c>
      <c r="M1199" t="s">
        <v>26</v>
      </c>
    </row>
    <row r="1200" spans="1:13" x14ac:dyDescent="0.3">
      <c r="A1200" t="str">
        <f>HYPERLINK("https://hsdes.intel.com/resource/16013309250","16013309250")</f>
        <v>16013309250</v>
      </c>
      <c r="B1200" t="s">
        <v>2703</v>
      </c>
      <c r="C1200" t="s">
        <v>12</v>
      </c>
      <c r="E1200" t="s">
        <v>14</v>
      </c>
      <c r="F1200" t="s">
        <v>2704</v>
      </c>
      <c r="G1200" t="s">
        <v>31</v>
      </c>
      <c r="H1200" s="2">
        <v>44791</v>
      </c>
      <c r="I1200" t="s">
        <v>32</v>
      </c>
      <c r="J1200" t="s">
        <v>46</v>
      </c>
      <c r="L1200" t="s">
        <v>177</v>
      </c>
      <c r="M1200" t="s">
        <v>26</v>
      </c>
    </row>
    <row r="1201" spans="1:13" x14ac:dyDescent="0.3">
      <c r="A1201" t="str">
        <f>HYPERLINK("https://hsdes.intel.com/resource/16013335403","16013335403")</f>
        <v>16013335403</v>
      </c>
      <c r="B1201" t="s">
        <v>2705</v>
      </c>
      <c r="C1201" t="s">
        <v>12</v>
      </c>
      <c r="D1201" t="s">
        <v>2706</v>
      </c>
      <c r="E1201" t="s">
        <v>14</v>
      </c>
      <c r="F1201" t="s">
        <v>2154</v>
      </c>
      <c r="G1201" t="s">
        <v>81</v>
      </c>
      <c r="H1201" s="2">
        <v>44802</v>
      </c>
      <c r="I1201" t="s">
        <v>167</v>
      </c>
      <c r="J1201" t="s">
        <v>2039</v>
      </c>
      <c r="L1201" t="s">
        <v>147</v>
      </c>
      <c r="M1201" t="s">
        <v>26</v>
      </c>
    </row>
    <row r="1202" spans="1:13" x14ac:dyDescent="0.3">
      <c r="A1202" t="str">
        <f>HYPERLINK("https://hsdes.intel.com/resource/16013344451","16013344451")</f>
        <v>16013344451</v>
      </c>
      <c r="B1202" t="s">
        <v>2707</v>
      </c>
      <c r="C1202" t="s">
        <v>12</v>
      </c>
      <c r="D1202" t="s">
        <v>2708</v>
      </c>
      <c r="E1202" t="s">
        <v>14</v>
      </c>
      <c r="F1202" t="s">
        <v>2154</v>
      </c>
      <c r="G1202" t="s">
        <v>81</v>
      </c>
      <c r="H1202" s="2">
        <v>44802</v>
      </c>
      <c r="I1202" t="s">
        <v>167</v>
      </c>
      <c r="J1202" t="s">
        <v>2039</v>
      </c>
      <c r="L1202" t="s">
        <v>147</v>
      </c>
      <c r="M1202" t="s">
        <v>26</v>
      </c>
    </row>
    <row r="1203" spans="1:13" x14ac:dyDescent="0.3">
      <c r="A1203" t="str">
        <f>HYPERLINK("https://hsdes.intel.com/resource/16013691380","16013691380")</f>
        <v>16013691380</v>
      </c>
      <c r="B1203" t="s">
        <v>2709</v>
      </c>
      <c r="C1203" t="s">
        <v>12</v>
      </c>
      <c r="D1203" t="s">
        <v>1508</v>
      </c>
      <c r="E1203" t="s">
        <v>97</v>
      </c>
      <c r="F1203" s="9" t="s">
        <v>1582</v>
      </c>
      <c r="G1203" t="s">
        <v>31</v>
      </c>
      <c r="H1203" s="2">
        <v>44792</v>
      </c>
      <c r="I1203" t="s">
        <v>16</v>
      </c>
      <c r="J1203" t="s">
        <v>17</v>
      </c>
      <c r="L1203" t="s">
        <v>18</v>
      </c>
      <c r="M1203" t="s">
        <v>26</v>
      </c>
    </row>
    <row r="1204" spans="1:13" x14ac:dyDescent="0.3">
      <c r="A1204" t="str">
        <f>HYPERLINK("https://hsdes.intel.com/resource/16013696484","16013696484")</f>
        <v>16013696484</v>
      </c>
      <c r="B1204" t="s">
        <v>2710</v>
      </c>
      <c r="C1204" t="s">
        <v>12</v>
      </c>
      <c r="D1204" t="s">
        <v>1570</v>
      </c>
      <c r="E1204" t="s">
        <v>97</v>
      </c>
      <c r="F1204" s="9" t="s">
        <v>1582</v>
      </c>
      <c r="G1204" t="s">
        <v>31</v>
      </c>
      <c r="H1204" s="2">
        <v>44792</v>
      </c>
      <c r="I1204" t="s">
        <v>16</v>
      </c>
      <c r="J1204" t="s">
        <v>17</v>
      </c>
      <c r="L1204" t="s">
        <v>18</v>
      </c>
      <c r="M1204" t="s">
        <v>26</v>
      </c>
    </row>
    <row r="1205" spans="1:13" x14ac:dyDescent="0.3">
      <c r="A1205" t="str">
        <f>HYPERLINK("https://hsdes.intel.com/resource/16013697915","16013697915")</f>
        <v>16013697915</v>
      </c>
      <c r="B1205" t="s">
        <v>2711</v>
      </c>
      <c r="C1205" t="s">
        <v>12</v>
      </c>
      <c r="D1205" t="s">
        <v>1501</v>
      </c>
      <c r="E1205" t="s">
        <v>14</v>
      </c>
      <c r="G1205" t="s">
        <v>31</v>
      </c>
      <c r="H1205" s="2">
        <v>44797</v>
      </c>
      <c r="I1205" t="s">
        <v>16</v>
      </c>
      <c r="J1205" t="s">
        <v>17</v>
      </c>
      <c r="L1205" t="s">
        <v>18</v>
      </c>
      <c r="M1205" t="s">
        <v>26</v>
      </c>
    </row>
    <row r="1206" spans="1:13" x14ac:dyDescent="0.3">
      <c r="A1206" t="str">
        <f>HYPERLINK("https://hsdes.intel.com/resource/16013698260","16013698260")</f>
        <v>16013698260</v>
      </c>
      <c r="B1206" t="s">
        <v>2712</v>
      </c>
      <c r="C1206" t="s">
        <v>12</v>
      </c>
      <c r="D1206" t="s">
        <v>898</v>
      </c>
      <c r="E1206" t="s">
        <v>14</v>
      </c>
      <c r="G1206" t="s">
        <v>63</v>
      </c>
      <c r="H1206" s="2">
        <v>44792</v>
      </c>
      <c r="I1206" t="s">
        <v>16</v>
      </c>
      <c r="J1206" t="s">
        <v>17</v>
      </c>
      <c r="L1206" t="s">
        <v>18</v>
      </c>
      <c r="M1206" t="s">
        <v>26</v>
      </c>
    </row>
    <row r="1207" spans="1:13" x14ac:dyDescent="0.3">
      <c r="A1207" t="str">
        <f>HYPERLINK("https://hsdes.intel.com/resource/16013699710","16013699710")</f>
        <v>16013699710</v>
      </c>
      <c r="B1207" t="s">
        <v>2713</v>
      </c>
      <c r="C1207" t="s">
        <v>12</v>
      </c>
      <c r="D1207" t="s">
        <v>1568</v>
      </c>
      <c r="E1207" t="s">
        <v>14</v>
      </c>
      <c r="G1207" t="s">
        <v>63</v>
      </c>
      <c r="H1207" s="2">
        <v>44792</v>
      </c>
      <c r="I1207" t="s">
        <v>16</v>
      </c>
      <c r="J1207" t="s">
        <v>17</v>
      </c>
      <c r="L1207" t="s">
        <v>18</v>
      </c>
      <c r="M1207" t="s">
        <v>26</v>
      </c>
    </row>
    <row r="1208" spans="1:13" x14ac:dyDescent="0.3">
      <c r="A1208" t="str">
        <f>HYPERLINK("https://hsdes.intel.com/resource/16013700594","16013700594")</f>
        <v>16013700594</v>
      </c>
      <c r="B1208" t="s">
        <v>2714</v>
      </c>
      <c r="C1208" t="s">
        <v>12</v>
      </c>
      <c r="D1208" t="s">
        <v>1063</v>
      </c>
      <c r="E1208" t="s">
        <v>14</v>
      </c>
      <c r="G1208" t="s">
        <v>63</v>
      </c>
      <c r="H1208" s="2">
        <v>44792</v>
      </c>
      <c r="I1208" t="s">
        <v>16</v>
      </c>
      <c r="J1208" t="s">
        <v>17</v>
      </c>
      <c r="L1208" t="s">
        <v>18</v>
      </c>
      <c r="M1208" t="s">
        <v>26</v>
      </c>
    </row>
    <row r="1209" spans="1:13" x14ac:dyDescent="0.3">
      <c r="A1209" t="str">
        <f>HYPERLINK("https://hsdes.intel.com/resource/16013700981","16013700981")</f>
        <v>16013700981</v>
      </c>
      <c r="B1209" t="s">
        <v>2715</v>
      </c>
      <c r="C1209" t="s">
        <v>12</v>
      </c>
      <c r="D1209" t="s">
        <v>2716</v>
      </c>
      <c r="E1209" t="s">
        <v>14</v>
      </c>
      <c r="G1209" t="s">
        <v>31</v>
      </c>
      <c r="H1209" s="2">
        <v>44795</v>
      </c>
      <c r="I1209" t="s">
        <v>16</v>
      </c>
      <c r="J1209" t="s">
        <v>17</v>
      </c>
      <c r="L1209" t="s">
        <v>18</v>
      </c>
      <c r="M1209" t="s">
        <v>19</v>
      </c>
    </row>
    <row r="1210" spans="1:13" x14ac:dyDescent="0.3">
      <c r="A1210" t="str">
        <f>HYPERLINK("https://hsdes.intel.com/resource/16013701110","16013701110")</f>
        <v>16013701110</v>
      </c>
      <c r="B1210" t="s">
        <v>2717</v>
      </c>
      <c r="C1210" t="s">
        <v>12</v>
      </c>
      <c r="D1210" t="s">
        <v>900</v>
      </c>
      <c r="E1210" t="s">
        <v>14</v>
      </c>
      <c r="G1210" t="s">
        <v>63</v>
      </c>
      <c r="H1210" s="2">
        <v>44792</v>
      </c>
      <c r="I1210" t="s">
        <v>16</v>
      </c>
      <c r="J1210" t="s">
        <v>17</v>
      </c>
      <c r="L1210" t="s">
        <v>18</v>
      </c>
      <c r="M1210" t="s">
        <v>26</v>
      </c>
    </row>
    <row r="1211" spans="1:13" x14ac:dyDescent="0.3">
      <c r="A1211" t="str">
        <f>HYPERLINK("https://hsdes.intel.com/resource/16013701830","16013701830")</f>
        <v>16013701830</v>
      </c>
      <c r="B1211" t="s">
        <v>2718</v>
      </c>
      <c r="C1211" t="s">
        <v>12</v>
      </c>
      <c r="D1211" t="s">
        <v>1204</v>
      </c>
      <c r="E1211" t="s">
        <v>14</v>
      </c>
      <c r="G1211" t="s">
        <v>63</v>
      </c>
      <c r="H1211" s="2">
        <v>44792</v>
      </c>
      <c r="I1211" t="s">
        <v>16</v>
      </c>
      <c r="J1211" t="s">
        <v>17</v>
      </c>
      <c r="L1211" t="s">
        <v>18</v>
      </c>
      <c r="M1211" t="s">
        <v>26</v>
      </c>
    </row>
    <row r="1212" spans="1:13" x14ac:dyDescent="0.3">
      <c r="A1212" t="str">
        <f>HYPERLINK("https://hsdes.intel.com/resource/16013702245","16013702245")</f>
        <v>16013702245</v>
      </c>
      <c r="B1212" t="s">
        <v>2719</v>
      </c>
      <c r="C1212" t="s">
        <v>12</v>
      </c>
      <c r="D1212" t="s">
        <v>1193</v>
      </c>
      <c r="E1212" t="s">
        <v>14</v>
      </c>
      <c r="G1212" t="s">
        <v>63</v>
      </c>
      <c r="H1212" s="2">
        <v>44792</v>
      </c>
      <c r="I1212" t="s">
        <v>16</v>
      </c>
      <c r="J1212" t="s">
        <v>17</v>
      </c>
      <c r="L1212" t="s">
        <v>18</v>
      </c>
      <c r="M1212" t="s">
        <v>26</v>
      </c>
    </row>
    <row r="1213" spans="1:13" x14ac:dyDescent="0.3">
      <c r="A1213" t="str">
        <f>HYPERLINK("https://hsdes.intel.com/resource/16013702337","16013702337")</f>
        <v>16013702337</v>
      </c>
      <c r="B1213" t="s">
        <v>2720</v>
      </c>
      <c r="C1213" t="s">
        <v>12</v>
      </c>
      <c r="D1213" t="s">
        <v>1122</v>
      </c>
      <c r="E1213" t="s">
        <v>14</v>
      </c>
      <c r="G1213" t="s">
        <v>63</v>
      </c>
      <c r="H1213" s="2">
        <v>44792</v>
      </c>
      <c r="I1213" t="s">
        <v>16</v>
      </c>
      <c r="J1213" t="s">
        <v>17</v>
      </c>
      <c r="L1213" t="s">
        <v>18</v>
      </c>
      <c r="M1213" t="s">
        <v>26</v>
      </c>
    </row>
    <row r="1214" spans="1:13" x14ac:dyDescent="0.3">
      <c r="A1214" t="str">
        <f>HYPERLINK("https://hsdes.intel.com/resource/16013702493","16013702493")</f>
        <v>16013702493</v>
      </c>
      <c r="B1214" t="s">
        <v>2721</v>
      </c>
      <c r="C1214" t="s">
        <v>12</v>
      </c>
      <c r="D1214" t="s">
        <v>1200</v>
      </c>
      <c r="E1214" t="s">
        <v>14</v>
      </c>
      <c r="G1214" t="s">
        <v>63</v>
      </c>
      <c r="H1214" s="2">
        <v>44792</v>
      </c>
      <c r="I1214" t="s">
        <v>16</v>
      </c>
      <c r="J1214" t="s">
        <v>17</v>
      </c>
      <c r="L1214" t="s">
        <v>18</v>
      </c>
      <c r="M1214" t="s">
        <v>26</v>
      </c>
    </row>
    <row r="1215" spans="1:13" x14ac:dyDescent="0.3">
      <c r="A1215" t="str">
        <f>HYPERLINK("https://hsdes.intel.com/resource/16014185861","16014185861")</f>
        <v>16014185861</v>
      </c>
      <c r="B1215" t="s">
        <v>2722</v>
      </c>
      <c r="C1215" t="s">
        <v>12</v>
      </c>
      <c r="E1215" t="s">
        <v>14</v>
      </c>
      <c r="G1215" t="s">
        <v>15</v>
      </c>
      <c r="H1215" s="2">
        <v>44785</v>
      </c>
      <c r="I1215" t="s">
        <v>16</v>
      </c>
      <c r="J1215" t="s">
        <v>17</v>
      </c>
      <c r="L1215" t="s">
        <v>18</v>
      </c>
      <c r="M1215" t="s">
        <v>26</v>
      </c>
    </row>
    <row r="1216" spans="1:13" x14ac:dyDescent="0.3">
      <c r="A1216" t="str">
        <f>HYPERLINK("https://hsdes.intel.com/resource/16014193686","16014193686")</f>
        <v>16014193686</v>
      </c>
      <c r="B1216" t="s">
        <v>2723</v>
      </c>
      <c r="C1216" t="s">
        <v>12</v>
      </c>
      <c r="E1216" t="s">
        <v>14</v>
      </c>
      <c r="G1216" t="s">
        <v>15</v>
      </c>
      <c r="H1216" s="2">
        <v>44785</v>
      </c>
      <c r="I1216" t="s">
        <v>16</v>
      </c>
      <c r="J1216" t="s">
        <v>17</v>
      </c>
      <c r="L1216" t="s">
        <v>18</v>
      </c>
      <c r="M1216" t="s">
        <v>26</v>
      </c>
    </row>
    <row r="1217" spans="1:13" x14ac:dyDescent="0.3">
      <c r="A1217" t="str">
        <f>HYPERLINK("https://hsdes.intel.com/resource/16014193951","16014193951")</f>
        <v>16014193951</v>
      </c>
      <c r="B1217" t="s">
        <v>2724</v>
      </c>
      <c r="C1217" t="s">
        <v>12</v>
      </c>
      <c r="E1217" t="s">
        <v>14</v>
      </c>
      <c r="G1217" t="s">
        <v>15</v>
      </c>
      <c r="H1217" s="2">
        <v>44785</v>
      </c>
      <c r="I1217" t="s">
        <v>16</v>
      </c>
      <c r="J1217" t="s">
        <v>17</v>
      </c>
      <c r="L1217" t="s">
        <v>18</v>
      </c>
      <c r="M1217" t="s">
        <v>26</v>
      </c>
    </row>
    <row r="1218" spans="1:13" x14ac:dyDescent="0.3">
      <c r="A1218" t="str">
        <f>HYPERLINK("https://hsdes.intel.com/resource/16014195660","16014195660")</f>
        <v>16014195660</v>
      </c>
      <c r="B1218" t="s">
        <v>2725</v>
      </c>
      <c r="C1218" t="s">
        <v>12</v>
      </c>
      <c r="E1218" t="s">
        <v>14</v>
      </c>
      <c r="G1218" t="s">
        <v>15</v>
      </c>
      <c r="H1218" s="2">
        <v>44785</v>
      </c>
      <c r="I1218" t="s">
        <v>16</v>
      </c>
      <c r="J1218" t="s">
        <v>17</v>
      </c>
      <c r="L1218" t="s">
        <v>18</v>
      </c>
      <c r="M1218" t="s">
        <v>26</v>
      </c>
    </row>
    <row r="1219" spans="1:13" x14ac:dyDescent="0.3">
      <c r="A1219" t="str">
        <f>HYPERLINK("https://hsdes.intel.com/resource/16014195667","16014195667")</f>
        <v>16014195667</v>
      </c>
      <c r="B1219" t="s">
        <v>2726</v>
      </c>
      <c r="C1219" t="s">
        <v>12</v>
      </c>
      <c r="E1219" t="s">
        <v>14</v>
      </c>
      <c r="G1219" t="s">
        <v>15</v>
      </c>
      <c r="H1219" s="2">
        <v>44785</v>
      </c>
      <c r="I1219" t="s">
        <v>16</v>
      </c>
      <c r="J1219" t="s">
        <v>17</v>
      </c>
      <c r="L1219" t="s">
        <v>18</v>
      </c>
      <c r="M1219" t="s">
        <v>26</v>
      </c>
    </row>
    <row r="1220" spans="1:13" x14ac:dyDescent="0.3">
      <c r="A1220" t="str">
        <f>HYPERLINK("https://hsdes.intel.com/resource/16014195680","16014195680")</f>
        <v>16014195680</v>
      </c>
      <c r="B1220" t="s">
        <v>2727</v>
      </c>
      <c r="C1220" t="s">
        <v>12</v>
      </c>
      <c r="E1220" t="s">
        <v>14</v>
      </c>
      <c r="G1220" t="s">
        <v>15</v>
      </c>
      <c r="H1220" s="2">
        <v>44785</v>
      </c>
      <c r="I1220" t="s">
        <v>16</v>
      </c>
      <c r="J1220" t="s">
        <v>17</v>
      </c>
      <c r="L1220" t="s">
        <v>18</v>
      </c>
      <c r="M1220" t="s">
        <v>26</v>
      </c>
    </row>
    <row r="1221" spans="1:13" x14ac:dyDescent="0.3">
      <c r="A1221" t="str">
        <f>HYPERLINK("https://hsdes.intel.com/resource/16014195699","16014195699")</f>
        <v>16014195699</v>
      </c>
      <c r="B1221" t="s">
        <v>2728</v>
      </c>
      <c r="C1221" t="s">
        <v>12</v>
      </c>
      <c r="E1221" t="s">
        <v>14</v>
      </c>
      <c r="G1221" t="s">
        <v>15</v>
      </c>
      <c r="H1221" s="2">
        <v>44785</v>
      </c>
      <c r="I1221" t="s">
        <v>16</v>
      </c>
      <c r="J1221" t="s">
        <v>17</v>
      </c>
      <c r="L1221" t="s">
        <v>18</v>
      </c>
      <c r="M1221" t="s">
        <v>26</v>
      </c>
    </row>
    <row r="1222" spans="1:13" x14ac:dyDescent="0.3">
      <c r="A1222" t="str">
        <f>HYPERLINK("https://hsdes.intel.com/resource/16014195710","16014195710")</f>
        <v>16014195710</v>
      </c>
      <c r="B1222" t="s">
        <v>2729</v>
      </c>
      <c r="C1222" t="s">
        <v>12</v>
      </c>
      <c r="E1222" t="s">
        <v>14</v>
      </c>
      <c r="G1222" t="s">
        <v>15</v>
      </c>
      <c r="H1222" s="2">
        <v>44785</v>
      </c>
      <c r="I1222" t="s">
        <v>16</v>
      </c>
      <c r="J1222" t="s">
        <v>17</v>
      </c>
      <c r="L1222" t="s">
        <v>18</v>
      </c>
      <c r="M1222" t="s">
        <v>26</v>
      </c>
    </row>
    <row r="1223" spans="1:13" x14ac:dyDescent="0.3">
      <c r="A1223" t="str">
        <f>HYPERLINK("https://hsdes.intel.com/resource/16014195743","16014195743")</f>
        <v>16014195743</v>
      </c>
      <c r="B1223" t="s">
        <v>2730</v>
      </c>
      <c r="C1223" t="s">
        <v>12</v>
      </c>
      <c r="E1223" t="s">
        <v>14</v>
      </c>
      <c r="G1223" t="s">
        <v>15</v>
      </c>
      <c r="H1223" s="2">
        <v>44785</v>
      </c>
      <c r="I1223" t="s">
        <v>16</v>
      </c>
      <c r="J1223" t="s">
        <v>17</v>
      </c>
      <c r="L1223" t="s">
        <v>18</v>
      </c>
      <c r="M1223" t="s">
        <v>26</v>
      </c>
    </row>
    <row r="1224" spans="1:13" x14ac:dyDescent="0.3">
      <c r="A1224" t="str">
        <f>HYPERLINK("https://hsdes.intel.com/resource/16014195796","16014195796")</f>
        <v>16014195796</v>
      </c>
      <c r="B1224" t="s">
        <v>2731</v>
      </c>
      <c r="C1224" t="s">
        <v>12</v>
      </c>
      <c r="E1224" t="s">
        <v>14</v>
      </c>
      <c r="G1224" t="s">
        <v>15</v>
      </c>
      <c r="H1224" s="2">
        <v>44785</v>
      </c>
      <c r="I1224" t="s">
        <v>16</v>
      </c>
      <c r="J1224" t="s">
        <v>17</v>
      </c>
      <c r="L1224" t="s">
        <v>18</v>
      </c>
      <c r="M1224" t="s">
        <v>26</v>
      </c>
    </row>
    <row r="1225" spans="1:13" x14ac:dyDescent="0.3">
      <c r="A1225" t="str">
        <f>HYPERLINK("https://hsdes.intel.com/resource/16014195873","16014195873")</f>
        <v>16014195873</v>
      </c>
      <c r="B1225" t="s">
        <v>2732</v>
      </c>
      <c r="C1225" t="s">
        <v>12</v>
      </c>
      <c r="E1225" t="s">
        <v>14</v>
      </c>
      <c r="G1225" t="s">
        <v>15</v>
      </c>
      <c r="H1225" s="2">
        <v>44785</v>
      </c>
      <c r="I1225" t="s">
        <v>16</v>
      </c>
      <c r="J1225" t="s">
        <v>17</v>
      </c>
      <c r="L1225" t="s">
        <v>18</v>
      </c>
      <c r="M1225" t="s">
        <v>26</v>
      </c>
    </row>
    <row r="1226" spans="1:13" x14ac:dyDescent="0.3">
      <c r="A1226" t="str">
        <f>HYPERLINK("https://hsdes.intel.com/resource/16014195880","16014195880")</f>
        <v>16014195880</v>
      </c>
      <c r="B1226" t="s">
        <v>2733</v>
      </c>
      <c r="C1226" t="s">
        <v>12</v>
      </c>
      <c r="E1226" t="s">
        <v>14</v>
      </c>
      <c r="G1226" t="s">
        <v>15</v>
      </c>
      <c r="H1226" s="2">
        <v>44785</v>
      </c>
      <c r="I1226" t="s">
        <v>16</v>
      </c>
      <c r="J1226" t="s">
        <v>17</v>
      </c>
      <c r="L1226" t="s">
        <v>18</v>
      </c>
      <c r="M1226" t="s">
        <v>26</v>
      </c>
    </row>
    <row r="1227" spans="1:13" x14ac:dyDescent="0.3">
      <c r="A1227" t="str">
        <f>HYPERLINK("https://hsdes.intel.com/resource/16014195895","16014195895")</f>
        <v>16014195895</v>
      </c>
      <c r="B1227" t="s">
        <v>2734</v>
      </c>
      <c r="C1227" t="s">
        <v>12</v>
      </c>
      <c r="E1227" t="s">
        <v>14</v>
      </c>
      <c r="G1227" t="s">
        <v>15</v>
      </c>
      <c r="H1227" s="2">
        <v>44785</v>
      </c>
      <c r="I1227" t="s">
        <v>16</v>
      </c>
      <c r="J1227" t="s">
        <v>17</v>
      </c>
      <c r="L1227" t="s">
        <v>18</v>
      </c>
      <c r="M1227" t="s">
        <v>26</v>
      </c>
    </row>
    <row r="1228" spans="1:13" x14ac:dyDescent="0.3">
      <c r="A1228" t="str">
        <f>HYPERLINK("https://hsdes.intel.com/resource/16014206075","16014206075")</f>
        <v>16014206075</v>
      </c>
      <c r="B1228" t="s">
        <v>2735</v>
      </c>
      <c r="C1228" t="s">
        <v>12</v>
      </c>
      <c r="D1228" t="s">
        <v>870</v>
      </c>
      <c r="E1228" t="s">
        <v>14</v>
      </c>
      <c r="G1228" t="s">
        <v>31</v>
      </c>
      <c r="H1228" s="2">
        <v>44795</v>
      </c>
      <c r="I1228" t="s">
        <v>16</v>
      </c>
      <c r="J1228" t="s">
        <v>17</v>
      </c>
      <c r="L1228" t="s">
        <v>18</v>
      </c>
      <c r="M1228" t="s">
        <v>19</v>
      </c>
    </row>
    <row r="1229" spans="1:13" x14ac:dyDescent="0.3">
      <c r="A1229" t="str">
        <f>HYPERLINK("https://hsdes.intel.com/resource/16014206609","16014206609")</f>
        <v>16014206609</v>
      </c>
      <c r="B1229" t="s">
        <v>2736</v>
      </c>
      <c r="C1229" t="s">
        <v>12</v>
      </c>
      <c r="D1229" t="s">
        <v>870</v>
      </c>
      <c r="E1229" t="s">
        <v>14</v>
      </c>
      <c r="G1229" t="s">
        <v>31</v>
      </c>
      <c r="H1229" s="2">
        <v>44795</v>
      </c>
      <c r="I1229" t="s">
        <v>16</v>
      </c>
      <c r="J1229" t="s">
        <v>17</v>
      </c>
      <c r="L1229" t="s">
        <v>18</v>
      </c>
      <c r="M1229" t="s">
        <v>19</v>
      </c>
    </row>
    <row r="1230" spans="1:13" x14ac:dyDescent="0.3">
      <c r="A1230" t="str">
        <f>HYPERLINK("https://hsdes.intel.com/resource/16014212976","16014212976")</f>
        <v>16014212976</v>
      </c>
      <c r="B1230" t="s">
        <v>2737</v>
      </c>
      <c r="C1230" t="s">
        <v>12</v>
      </c>
      <c r="D1230" t="s">
        <v>870</v>
      </c>
      <c r="E1230" t="s">
        <v>14</v>
      </c>
      <c r="F1230" t="s">
        <v>2738</v>
      </c>
      <c r="G1230" t="s">
        <v>31</v>
      </c>
      <c r="H1230" s="2">
        <v>44795</v>
      </c>
      <c r="I1230" t="s">
        <v>16</v>
      </c>
      <c r="J1230" t="s">
        <v>17</v>
      </c>
      <c r="L1230" t="s">
        <v>18</v>
      </c>
      <c r="M1230" t="s">
        <v>19</v>
      </c>
    </row>
    <row r="1231" spans="1:13" x14ac:dyDescent="0.3">
      <c r="A1231" t="str">
        <f>HYPERLINK("https://hsdes.intel.com/resource/16014217885","16014217885")</f>
        <v>16014217885</v>
      </c>
      <c r="B1231" t="s">
        <v>2739</v>
      </c>
      <c r="C1231" t="s">
        <v>12</v>
      </c>
      <c r="D1231" t="s">
        <v>870</v>
      </c>
      <c r="E1231" t="s">
        <v>14</v>
      </c>
      <c r="G1231" t="s">
        <v>31</v>
      </c>
      <c r="H1231" s="2">
        <v>44795</v>
      </c>
      <c r="I1231" t="s">
        <v>16</v>
      </c>
      <c r="J1231" t="s">
        <v>17</v>
      </c>
      <c r="L1231" t="s">
        <v>18</v>
      </c>
      <c r="M1231" t="s">
        <v>19</v>
      </c>
    </row>
    <row r="1232" spans="1:13" x14ac:dyDescent="0.3">
      <c r="A1232" t="str">
        <f>HYPERLINK("https://hsdes.intel.com/resource/16014218143","16014218143")</f>
        <v>16014218143</v>
      </c>
      <c r="B1232" t="s">
        <v>2740</v>
      </c>
      <c r="C1232" t="s">
        <v>12</v>
      </c>
      <c r="D1232" t="s">
        <v>870</v>
      </c>
      <c r="E1232" t="s">
        <v>14</v>
      </c>
      <c r="F1232" t="s">
        <v>2738</v>
      </c>
      <c r="G1232" t="s">
        <v>31</v>
      </c>
      <c r="H1232" s="2">
        <v>44795</v>
      </c>
      <c r="I1232" t="s">
        <v>16</v>
      </c>
      <c r="J1232" t="s">
        <v>17</v>
      </c>
      <c r="L1232" t="s">
        <v>18</v>
      </c>
      <c r="M1232" t="s">
        <v>19</v>
      </c>
    </row>
    <row r="1233" spans="1:13" x14ac:dyDescent="0.3">
      <c r="A1233" t="str">
        <f>HYPERLINK("https://hsdes.intel.com/resource/16014241192","16014241192")</f>
        <v>16014241192</v>
      </c>
      <c r="B1233" t="s">
        <v>2741</v>
      </c>
      <c r="C1233" t="s">
        <v>12</v>
      </c>
      <c r="E1233" t="s">
        <v>14</v>
      </c>
      <c r="G1233" t="s">
        <v>15</v>
      </c>
      <c r="H1233" s="2">
        <v>44785</v>
      </c>
      <c r="I1233" t="s">
        <v>38</v>
      </c>
      <c r="J1233" t="s">
        <v>77</v>
      </c>
      <c r="L1233" t="s">
        <v>78</v>
      </c>
      <c r="M1233" t="s">
        <v>26</v>
      </c>
    </row>
    <row r="1234" spans="1:13" x14ac:dyDescent="0.3">
      <c r="A1234" t="str">
        <f>HYPERLINK("https://hsdes.intel.com/resource/16014401845","16014401845")</f>
        <v>16014401845</v>
      </c>
      <c r="B1234" t="s">
        <v>2742</v>
      </c>
      <c r="C1234" t="s">
        <v>12</v>
      </c>
      <c r="D1234" t="s">
        <v>2415</v>
      </c>
      <c r="E1234" t="s">
        <v>14</v>
      </c>
      <c r="F1234" t="s">
        <v>2019</v>
      </c>
      <c r="G1234" t="s">
        <v>57</v>
      </c>
      <c r="H1234" s="2">
        <v>44799</v>
      </c>
      <c r="I1234" t="s">
        <v>38</v>
      </c>
      <c r="J1234" t="s">
        <v>106</v>
      </c>
      <c r="L1234" t="s">
        <v>54</v>
      </c>
      <c r="M1234" t="s">
        <v>26</v>
      </c>
    </row>
    <row r="1235" spans="1:13" x14ac:dyDescent="0.3">
      <c r="A1235" t="str">
        <f>HYPERLINK("https://hsdes.intel.com/resource/16014434357","16014434357")</f>
        <v>16014434357</v>
      </c>
      <c r="B1235" t="s">
        <v>2743</v>
      </c>
      <c r="C1235" t="s">
        <v>12</v>
      </c>
      <c r="D1235" t="s">
        <v>264</v>
      </c>
      <c r="E1235" t="s">
        <v>14</v>
      </c>
      <c r="G1235" t="s">
        <v>438</v>
      </c>
      <c r="H1235" s="2">
        <v>44786</v>
      </c>
      <c r="I1235" t="s">
        <v>16</v>
      </c>
      <c r="J1235" t="s">
        <v>17</v>
      </c>
      <c r="L1235" t="s">
        <v>18</v>
      </c>
      <c r="M1235" t="s">
        <v>22</v>
      </c>
    </row>
    <row r="1236" spans="1:13" x14ac:dyDescent="0.3">
      <c r="A1236" t="str">
        <f>HYPERLINK("https://hsdes.intel.com/resource/16014434758","16014434758")</f>
        <v>16014434758</v>
      </c>
      <c r="B1236" t="s">
        <v>2744</v>
      </c>
      <c r="C1236" t="s">
        <v>12</v>
      </c>
      <c r="D1236" t="s">
        <v>264</v>
      </c>
      <c r="E1236" t="s">
        <v>14</v>
      </c>
      <c r="G1236" t="s">
        <v>57</v>
      </c>
      <c r="H1236" s="2">
        <v>44786</v>
      </c>
      <c r="I1236" t="s">
        <v>16</v>
      </c>
      <c r="J1236" t="s">
        <v>17</v>
      </c>
      <c r="L1236" t="s">
        <v>18</v>
      </c>
      <c r="M1236" t="s">
        <v>22</v>
      </c>
    </row>
    <row r="1237" spans="1:13" x14ac:dyDescent="0.3">
      <c r="A1237" t="str">
        <f>HYPERLINK("https://hsdes.intel.com/resource/16014452298","16014452298")</f>
        <v>16014452298</v>
      </c>
      <c r="B1237" t="s">
        <v>2745</v>
      </c>
      <c r="C1237" t="s">
        <v>12</v>
      </c>
      <c r="D1237" t="s">
        <v>1084</v>
      </c>
      <c r="E1237" t="s">
        <v>14</v>
      </c>
      <c r="G1237" t="s">
        <v>63</v>
      </c>
      <c r="H1237" s="2">
        <v>44792</v>
      </c>
      <c r="I1237" t="s">
        <v>16</v>
      </c>
      <c r="J1237" t="s">
        <v>17</v>
      </c>
      <c r="L1237" t="s">
        <v>18</v>
      </c>
      <c r="M1237" t="s">
        <v>22</v>
      </c>
    </row>
    <row r="1238" spans="1:13" x14ac:dyDescent="0.3">
      <c r="A1238" t="str">
        <f>HYPERLINK("https://hsdes.intel.com/resource/16014452382","16014452382")</f>
        <v>16014452382</v>
      </c>
      <c r="B1238" t="s">
        <v>2746</v>
      </c>
      <c r="C1238" t="s">
        <v>12</v>
      </c>
      <c r="D1238" t="s">
        <v>1086</v>
      </c>
      <c r="E1238" t="s">
        <v>14</v>
      </c>
      <c r="G1238" t="s">
        <v>57</v>
      </c>
      <c r="H1238" s="2">
        <v>44786</v>
      </c>
      <c r="I1238" t="s">
        <v>16</v>
      </c>
      <c r="J1238" t="s">
        <v>17</v>
      </c>
      <c r="L1238" t="s">
        <v>18</v>
      </c>
      <c r="M1238" t="s">
        <v>19</v>
      </c>
    </row>
    <row r="1239" spans="1:13" x14ac:dyDescent="0.3">
      <c r="A1239" t="str">
        <f>HYPERLINK("https://hsdes.intel.com/resource/16014452525","16014452525")</f>
        <v>16014452525</v>
      </c>
      <c r="B1239" t="s">
        <v>2747</v>
      </c>
      <c r="C1239" t="s">
        <v>12</v>
      </c>
      <c r="D1239" t="s">
        <v>1179</v>
      </c>
      <c r="E1239" t="s">
        <v>14</v>
      </c>
      <c r="G1239" t="s">
        <v>57</v>
      </c>
      <c r="H1239" s="2">
        <v>44786</v>
      </c>
      <c r="I1239" t="s">
        <v>16</v>
      </c>
      <c r="J1239" t="s">
        <v>17</v>
      </c>
      <c r="L1239" t="s">
        <v>18</v>
      </c>
      <c r="M1239" t="s">
        <v>22</v>
      </c>
    </row>
    <row r="1240" spans="1:13" x14ac:dyDescent="0.3">
      <c r="A1240" t="str">
        <f>HYPERLINK("https://hsdes.intel.com/resource/16014459216","16014459216")</f>
        <v>16014459216</v>
      </c>
      <c r="B1240" t="s">
        <v>2748</v>
      </c>
      <c r="C1240" t="s">
        <v>12</v>
      </c>
      <c r="D1240" t="s">
        <v>1153</v>
      </c>
      <c r="E1240" t="s">
        <v>14</v>
      </c>
      <c r="G1240" t="s">
        <v>63</v>
      </c>
      <c r="H1240" s="2">
        <v>44792</v>
      </c>
      <c r="I1240" t="s">
        <v>16</v>
      </c>
      <c r="J1240" t="s">
        <v>17</v>
      </c>
      <c r="L1240" t="s">
        <v>18</v>
      </c>
      <c r="M1240" t="s">
        <v>22</v>
      </c>
    </row>
    <row r="1241" spans="1:13" x14ac:dyDescent="0.3">
      <c r="A1241" t="str">
        <f>HYPERLINK("https://hsdes.intel.com/resource/16014459496","16014459496")</f>
        <v>16014459496</v>
      </c>
      <c r="B1241" t="s">
        <v>2749</v>
      </c>
      <c r="C1241" t="s">
        <v>12</v>
      </c>
      <c r="D1241" t="s">
        <v>1202</v>
      </c>
      <c r="E1241" t="s">
        <v>14</v>
      </c>
      <c r="G1241" t="s">
        <v>63</v>
      </c>
      <c r="H1241" s="2">
        <v>44792</v>
      </c>
      <c r="I1241" t="s">
        <v>16</v>
      </c>
      <c r="J1241" t="s">
        <v>17</v>
      </c>
      <c r="L1241" t="s">
        <v>18</v>
      </c>
      <c r="M1241" t="s">
        <v>22</v>
      </c>
    </row>
    <row r="1242" spans="1:13" x14ac:dyDescent="0.3">
      <c r="A1242" t="str">
        <f>HYPERLINK("https://hsdes.intel.com/resource/16014500971","16014500971")</f>
        <v>16014500971</v>
      </c>
      <c r="B1242" t="s">
        <v>2750</v>
      </c>
      <c r="C1242" t="s">
        <v>12</v>
      </c>
      <c r="E1242" t="s">
        <v>14</v>
      </c>
      <c r="G1242" t="s">
        <v>15</v>
      </c>
      <c r="H1242" s="2">
        <v>44785</v>
      </c>
      <c r="I1242" t="s">
        <v>132</v>
      </c>
      <c r="J1242" t="s">
        <v>614</v>
      </c>
      <c r="L1242" t="s">
        <v>615</v>
      </c>
      <c r="M1242" t="s">
        <v>26</v>
      </c>
    </row>
    <row r="1243" spans="1:13" x14ac:dyDescent="0.3">
      <c r="A1243" t="str">
        <f>HYPERLINK("https://hsdes.intel.com/resource/16014777018","16014777018")</f>
        <v>16014777018</v>
      </c>
      <c r="B1243" t="s">
        <v>2751</v>
      </c>
      <c r="C1243" t="s">
        <v>12</v>
      </c>
      <c r="D1243" t="s">
        <v>2752</v>
      </c>
      <c r="E1243" t="s">
        <v>14</v>
      </c>
      <c r="G1243" t="s">
        <v>111</v>
      </c>
      <c r="H1243" s="2">
        <v>44784</v>
      </c>
      <c r="I1243" t="s">
        <v>167</v>
      </c>
      <c r="J1243" t="s">
        <v>168</v>
      </c>
      <c r="L1243" t="s">
        <v>147</v>
      </c>
      <c r="M1243" t="s">
        <v>26</v>
      </c>
    </row>
    <row r="1244" spans="1:13" x14ac:dyDescent="0.3">
      <c r="A1244" t="str">
        <f>HYPERLINK("https://hsdes.intel.com/resource/16014796682","16014796682")</f>
        <v>16014796682</v>
      </c>
      <c r="B1244" t="s">
        <v>2753</v>
      </c>
      <c r="C1244" t="s">
        <v>12</v>
      </c>
      <c r="D1244" t="s">
        <v>2754</v>
      </c>
      <c r="E1244" t="s">
        <v>14</v>
      </c>
      <c r="F1244" t="s">
        <v>2154</v>
      </c>
      <c r="G1244" t="s">
        <v>81</v>
      </c>
      <c r="H1244" s="2">
        <v>44802</v>
      </c>
      <c r="I1244" t="s">
        <v>167</v>
      </c>
      <c r="J1244" t="s">
        <v>2039</v>
      </c>
      <c r="L1244" t="s">
        <v>147</v>
      </c>
      <c r="M1244" t="s">
        <v>26</v>
      </c>
    </row>
    <row r="1245" spans="1:13" x14ac:dyDescent="0.3">
      <c r="A1245" t="str">
        <f>HYPERLINK("https://hsdes.intel.com/resource/16014813156","16014813156")</f>
        <v>16014813156</v>
      </c>
      <c r="B1245" t="s">
        <v>2755</v>
      </c>
      <c r="C1245" t="s">
        <v>12</v>
      </c>
      <c r="D1245" t="s">
        <v>2756</v>
      </c>
      <c r="E1245" t="s">
        <v>14</v>
      </c>
      <c r="G1245" t="s">
        <v>111</v>
      </c>
      <c r="H1245" s="2">
        <v>44784</v>
      </c>
      <c r="I1245" t="s">
        <v>167</v>
      </c>
      <c r="J1245" t="s">
        <v>168</v>
      </c>
      <c r="L1245" t="s">
        <v>147</v>
      </c>
      <c r="M1245" t="s">
        <v>26</v>
      </c>
    </row>
    <row r="1246" spans="1:13" x14ac:dyDescent="0.3">
      <c r="A1246" t="str">
        <f>HYPERLINK("https://hsdes.intel.com/resource/16014827937","16014827937")</f>
        <v>16014827937</v>
      </c>
      <c r="B1246" t="s">
        <v>2757</v>
      </c>
      <c r="C1246" t="s">
        <v>12</v>
      </c>
      <c r="D1246" t="s">
        <v>2041</v>
      </c>
      <c r="E1246" t="s">
        <v>14</v>
      </c>
      <c r="F1246" t="s">
        <v>2154</v>
      </c>
      <c r="G1246" t="s">
        <v>81</v>
      </c>
      <c r="H1246" s="2">
        <v>44802</v>
      </c>
      <c r="I1246" t="s">
        <v>167</v>
      </c>
      <c r="J1246" t="s">
        <v>2039</v>
      </c>
      <c r="L1246" t="s">
        <v>147</v>
      </c>
      <c r="M1246" t="s">
        <v>22</v>
      </c>
    </row>
    <row r="1247" spans="1:13" x14ac:dyDescent="0.3">
      <c r="A1247" t="str">
        <f>HYPERLINK("https://hsdes.intel.com/resource/16014842310","16014842310")</f>
        <v>16014842310</v>
      </c>
      <c r="B1247" t="s">
        <v>2758</v>
      </c>
      <c r="C1247" t="s">
        <v>12</v>
      </c>
      <c r="D1247" t="s">
        <v>2530</v>
      </c>
      <c r="E1247" t="s">
        <v>14</v>
      </c>
      <c r="F1247" t="s">
        <v>46</v>
      </c>
      <c r="G1247" t="s">
        <v>43</v>
      </c>
      <c r="H1247" s="2">
        <v>44799</v>
      </c>
      <c r="I1247" t="s">
        <v>32</v>
      </c>
      <c r="J1247" t="s">
        <v>46</v>
      </c>
      <c r="L1247" t="s">
        <v>177</v>
      </c>
      <c r="M1247" t="s">
        <v>26</v>
      </c>
    </row>
    <row r="1248" spans="1:13" x14ac:dyDescent="0.3">
      <c r="A1248" t="str">
        <f>HYPERLINK("https://hsdes.intel.com/resource/16014848255","16014848255")</f>
        <v>16014848255</v>
      </c>
      <c r="B1248" t="s">
        <v>2759</v>
      </c>
      <c r="C1248" t="s">
        <v>12</v>
      </c>
      <c r="D1248" t="s">
        <v>2760</v>
      </c>
      <c r="E1248" t="s">
        <v>14</v>
      </c>
      <c r="G1248" t="s">
        <v>57</v>
      </c>
      <c r="H1248" s="2">
        <v>44798</v>
      </c>
      <c r="I1248" t="s">
        <v>167</v>
      </c>
      <c r="J1248" t="s">
        <v>46</v>
      </c>
      <c r="L1248" t="s">
        <v>147</v>
      </c>
      <c r="M1248" t="s">
        <v>26</v>
      </c>
    </row>
    <row r="1249" spans="1:13" x14ac:dyDescent="0.3">
      <c r="A1249" t="str">
        <f>HYPERLINK("https://hsdes.intel.com/resource/16014864801","16014864801")</f>
        <v>16014864801</v>
      </c>
      <c r="B1249" t="s">
        <v>2761</v>
      </c>
      <c r="C1249" t="s">
        <v>12</v>
      </c>
      <c r="D1249" t="s">
        <v>2762</v>
      </c>
      <c r="E1249" t="s">
        <v>120</v>
      </c>
      <c r="F1249" t="s">
        <v>2763</v>
      </c>
      <c r="G1249" t="s">
        <v>81</v>
      </c>
      <c r="H1249" s="2">
        <v>44791</v>
      </c>
      <c r="I1249" t="s">
        <v>167</v>
      </c>
      <c r="J1249" t="s">
        <v>2069</v>
      </c>
      <c r="L1249" t="s">
        <v>147</v>
      </c>
      <c r="M1249" t="s">
        <v>22</v>
      </c>
    </row>
    <row r="1250" spans="1:13" x14ac:dyDescent="0.3">
      <c r="A1250" t="str">
        <f>HYPERLINK("https://hsdes.intel.com/resource/16014869116","16014869116")</f>
        <v>16014869116</v>
      </c>
      <c r="B1250" t="s">
        <v>2764</v>
      </c>
      <c r="C1250" t="s">
        <v>12</v>
      </c>
      <c r="D1250" t="s">
        <v>1401</v>
      </c>
      <c r="E1250" t="s">
        <v>14</v>
      </c>
      <c r="G1250" t="s">
        <v>72</v>
      </c>
      <c r="H1250" s="2">
        <v>44801</v>
      </c>
      <c r="I1250" t="s">
        <v>32</v>
      </c>
      <c r="J1250" t="s">
        <v>46</v>
      </c>
      <c r="L1250" t="s">
        <v>177</v>
      </c>
      <c r="M1250" t="s">
        <v>26</v>
      </c>
    </row>
    <row r="1251" spans="1:13" x14ac:dyDescent="0.3">
      <c r="A1251" t="str">
        <f>HYPERLINK("https://hsdes.intel.com/resource/16014869753","16014869753")</f>
        <v>16014869753</v>
      </c>
      <c r="B1251" t="s">
        <v>2765</v>
      </c>
      <c r="C1251" t="s">
        <v>12</v>
      </c>
      <c r="D1251" t="s">
        <v>569</v>
      </c>
      <c r="E1251" t="s">
        <v>14</v>
      </c>
      <c r="F1251" t="s">
        <v>46</v>
      </c>
      <c r="G1251" t="s">
        <v>47</v>
      </c>
      <c r="H1251" s="2">
        <v>44802</v>
      </c>
      <c r="I1251" t="s">
        <v>32</v>
      </c>
      <c r="J1251" t="s">
        <v>46</v>
      </c>
      <c r="L1251" t="s">
        <v>177</v>
      </c>
      <c r="M1251" t="s">
        <v>26</v>
      </c>
    </row>
    <row r="1252" spans="1:13" x14ac:dyDescent="0.3">
      <c r="A1252" t="str">
        <f>HYPERLINK("https://hsdes.intel.com/resource/16014902252","16014902252")</f>
        <v>16014902252</v>
      </c>
      <c r="B1252" t="s">
        <v>2766</v>
      </c>
      <c r="C1252" t="s">
        <v>12</v>
      </c>
      <c r="D1252" t="s">
        <v>2117</v>
      </c>
      <c r="E1252" t="s">
        <v>97</v>
      </c>
      <c r="F1252" t="s">
        <v>2767</v>
      </c>
      <c r="G1252" t="s">
        <v>81</v>
      </c>
      <c r="I1252" t="s">
        <v>167</v>
      </c>
      <c r="J1252" t="s">
        <v>168</v>
      </c>
      <c r="L1252" t="s">
        <v>147</v>
      </c>
      <c r="M1252" t="s">
        <v>26</v>
      </c>
    </row>
    <row r="1253" spans="1:13" x14ac:dyDescent="0.3">
      <c r="A1253" t="str">
        <f>HYPERLINK("https://hsdes.intel.com/resource/16014911436","16014911436")</f>
        <v>16014911436</v>
      </c>
      <c r="B1253" t="s">
        <v>2768</v>
      </c>
      <c r="C1253" t="s">
        <v>12</v>
      </c>
      <c r="D1253" t="s">
        <v>1309</v>
      </c>
      <c r="E1253" t="s">
        <v>97</v>
      </c>
      <c r="F1253" t="s">
        <v>3469</v>
      </c>
      <c r="G1253" t="s">
        <v>43</v>
      </c>
      <c r="H1253" s="2">
        <v>44802</v>
      </c>
      <c r="I1253" t="s">
        <v>32</v>
      </c>
      <c r="J1253" t="s">
        <v>46</v>
      </c>
      <c r="L1253" t="s">
        <v>177</v>
      </c>
      <c r="M1253" t="s">
        <v>19</v>
      </c>
    </row>
    <row r="1254" spans="1:13" x14ac:dyDescent="0.3">
      <c r="A1254" t="str">
        <f>HYPERLINK("https://hsdes.intel.com/resource/16014913057","16014913057")</f>
        <v>16014913057</v>
      </c>
      <c r="B1254" t="s">
        <v>2769</v>
      </c>
      <c r="C1254" t="s">
        <v>12</v>
      </c>
      <c r="D1254" t="s">
        <v>2770</v>
      </c>
      <c r="E1254" t="s">
        <v>14</v>
      </c>
      <c r="G1254" t="s">
        <v>111</v>
      </c>
      <c r="H1254" s="2">
        <v>44784</v>
      </c>
      <c r="I1254" t="s">
        <v>167</v>
      </c>
      <c r="J1254" t="s">
        <v>168</v>
      </c>
      <c r="L1254" t="s">
        <v>147</v>
      </c>
      <c r="M1254" t="s">
        <v>22</v>
      </c>
    </row>
    <row r="1255" spans="1:13" x14ac:dyDescent="0.3">
      <c r="A1255" t="str">
        <f>HYPERLINK("https://hsdes.intel.com/resource/16014913066","16014913066")</f>
        <v>16014913066</v>
      </c>
      <c r="B1255" t="s">
        <v>2771</v>
      </c>
      <c r="C1255" t="s">
        <v>12</v>
      </c>
      <c r="D1255" t="s">
        <v>1363</v>
      </c>
      <c r="E1255" t="s">
        <v>14</v>
      </c>
      <c r="G1255" t="s">
        <v>43</v>
      </c>
      <c r="H1255" s="2">
        <v>44799</v>
      </c>
      <c r="I1255" t="s">
        <v>32</v>
      </c>
      <c r="J1255" t="s">
        <v>46</v>
      </c>
      <c r="L1255" t="s">
        <v>177</v>
      </c>
      <c r="M1255" t="s">
        <v>26</v>
      </c>
    </row>
    <row r="1256" spans="1:13" x14ac:dyDescent="0.3">
      <c r="A1256" t="str">
        <f>HYPERLINK("https://hsdes.intel.com/resource/16014913842","16014913842")</f>
        <v>16014913842</v>
      </c>
      <c r="B1256" t="s">
        <v>2772</v>
      </c>
      <c r="C1256" t="s">
        <v>12</v>
      </c>
      <c r="D1256" t="s">
        <v>96</v>
      </c>
      <c r="E1256" t="s">
        <v>14</v>
      </c>
      <c r="G1256" t="s">
        <v>43</v>
      </c>
      <c r="H1256" s="2">
        <v>44790</v>
      </c>
      <c r="I1256" t="s">
        <v>48</v>
      </c>
      <c r="J1256" t="s">
        <v>49</v>
      </c>
      <c r="L1256" t="s">
        <v>50</v>
      </c>
      <c r="M1256" t="s">
        <v>26</v>
      </c>
    </row>
    <row r="1257" spans="1:13" x14ac:dyDescent="0.3">
      <c r="A1257" t="str">
        <f>HYPERLINK("https://hsdes.intel.com/resource/16014919863","16014919863")</f>
        <v>16014919863</v>
      </c>
      <c r="B1257" t="s">
        <v>2773</v>
      </c>
      <c r="C1257" t="s">
        <v>12</v>
      </c>
      <c r="D1257" t="s">
        <v>478</v>
      </c>
      <c r="E1257" t="s">
        <v>14</v>
      </c>
      <c r="G1257" t="s">
        <v>31</v>
      </c>
      <c r="H1257" s="2">
        <v>44798</v>
      </c>
      <c r="I1257" t="s">
        <v>32</v>
      </c>
      <c r="J1257" t="s">
        <v>46</v>
      </c>
      <c r="L1257" t="s">
        <v>177</v>
      </c>
      <c r="M1257" t="s">
        <v>26</v>
      </c>
    </row>
    <row r="1258" spans="1:13" x14ac:dyDescent="0.3">
      <c r="A1258" t="str">
        <f>HYPERLINK("https://hsdes.intel.com/resource/16014929115","16014929115")</f>
        <v>16014929115</v>
      </c>
      <c r="B1258" t="s">
        <v>2774</v>
      </c>
      <c r="C1258" t="s">
        <v>12</v>
      </c>
      <c r="D1258" t="s">
        <v>303</v>
      </c>
      <c r="E1258" t="s">
        <v>14</v>
      </c>
      <c r="G1258" t="s">
        <v>31</v>
      </c>
      <c r="H1258" s="2">
        <v>44798</v>
      </c>
      <c r="I1258" t="s">
        <v>32</v>
      </c>
      <c r="J1258" t="s">
        <v>46</v>
      </c>
      <c r="L1258" t="s">
        <v>177</v>
      </c>
      <c r="M1258" t="s">
        <v>26</v>
      </c>
    </row>
    <row r="1259" spans="1:13" x14ac:dyDescent="0.3">
      <c r="A1259" t="str">
        <f>HYPERLINK("https://hsdes.intel.com/resource/16014929167","16014929167")</f>
        <v>16014929167</v>
      </c>
      <c r="B1259" t="s">
        <v>2775</v>
      </c>
      <c r="C1259" t="s">
        <v>12</v>
      </c>
      <c r="D1259" t="s">
        <v>594</v>
      </c>
      <c r="E1259" t="s">
        <v>14</v>
      </c>
      <c r="G1259" t="s">
        <v>37</v>
      </c>
      <c r="I1259" t="s">
        <v>32</v>
      </c>
      <c r="J1259" t="s">
        <v>33</v>
      </c>
      <c r="L1259" t="s">
        <v>34</v>
      </c>
      <c r="M1259" t="s">
        <v>26</v>
      </c>
    </row>
    <row r="1260" spans="1:13" x14ac:dyDescent="0.3">
      <c r="A1260" t="str">
        <f>HYPERLINK("https://hsdes.intel.com/resource/16014934303","16014934303")</f>
        <v>16014934303</v>
      </c>
      <c r="B1260" t="s">
        <v>2776</v>
      </c>
      <c r="C1260" t="s">
        <v>12</v>
      </c>
      <c r="D1260" t="s">
        <v>1363</v>
      </c>
      <c r="E1260" t="s">
        <v>14</v>
      </c>
      <c r="G1260" t="s">
        <v>31</v>
      </c>
      <c r="H1260" s="2">
        <v>44798</v>
      </c>
      <c r="I1260" t="s">
        <v>32</v>
      </c>
      <c r="J1260" t="s">
        <v>46</v>
      </c>
      <c r="L1260" t="s">
        <v>177</v>
      </c>
      <c r="M1260" t="s">
        <v>26</v>
      </c>
    </row>
    <row r="1261" spans="1:13" x14ac:dyDescent="0.3">
      <c r="A1261" t="str">
        <f>HYPERLINK("https://hsdes.intel.com/resource/16015008992","16015008992")</f>
        <v>16015008992</v>
      </c>
      <c r="B1261" t="s">
        <v>2777</v>
      </c>
      <c r="C1261" t="s">
        <v>12</v>
      </c>
      <c r="E1261" t="s">
        <v>14</v>
      </c>
      <c r="G1261" t="s">
        <v>31</v>
      </c>
      <c r="H1261" s="2">
        <v>44790</v>
      </c>
      <c r="I1261" t="s">
        <v>32</v>
      </c>
      <c r="J1261" t="s">
        <v>46</v>
      </c>
      <c r="L1261" t="s">
        <v>177</v>
      </c>
      <c r="M1261" t="s">
        <v>26</v>
      </c>
    </row>
    <row r="1262" spans="1:13" x14ac:dyDescent="0.3">
      <c r="A1262" t="str">
        <f>HYPERLINK("https://hsdes.intel.com/resource/16015009035","16015009035")</f>
        <v>16015009035</v>
      </c>
      <c r="B1262" t="s">
        <v>2778</v>
      </c>
      <c r="C1262" t="s">
        <v>12</v>
      </c>
      <c r="D1262" t="s">
        <v>1309</v>
      </c>
      <c r="E1262" t="s">
        <v>97</v>
      </c>
      <c r="F1262" t="s">
        <v>2779</v>
      </c>
      <c r="G1262" t="s">
        <v>43</v>
      </c>
      <c r="H1262" s="2">
        <v>44801</v>
      </c>
      <c r="I1262" t="s">
        <v>32</v>
      </c>
      <c r="J1262" t="s">
        <v>46</v>
      </c>
      <c r="L1262" t="s">
        <v>177</v>
      </c>
      <c r="M1262" t="s">
        <v>22</v>
      </c>
    </row>
    <row r="1263" spans="1:13" x14ac:dyDescent="0.3">
      <c r="A1263" t="str">
        <f>HYPERLINK("https://hsdes.intel.com/resource/16015018246","16015018246")</f>
        <v>16015018246</v>
      </c>
      <c r="B1263" t="s">
        <v>2780</v>
      </c>
      <c r="C1263" t="s">
        <v>12</v>
      </c>
      <c r="D1263" t="s">
        <v>248</v>
      </c>
      <c r="E1263" t="s">
        <v>14</v>
      </c>
      <c r="G1263" t="s">
        <v>43</v>
      </c>
      <c r="H1263" s="2">
        <v>44799</v>
      </c>
      <c r="I1263" t="s">
        <v>32</v>
      </c>
      <c r="J1263" t="s">
        <v>46</v>
      </c>
      <c r="L1263" t="s">
        <v>177</v>
      </c>
      <c r="M1263" t="s">
        <v>26</v>
      </c>
    </row>
    <row r="1264" spans="1:13" x14ac:dyDescent="0.3">
      <c r="A1264" t="str">
        <f>HYPERLINK("https://hsdes.intel.com/resource/16015026858","16015026858")</f>
        <v>16015026858</v>
      </c>
      <c r="B1264" t="s">
        <v>2781</v>
      </c>
      <c r="C1264" t="s">
        <v>12</v>
      </c>
      <c r="E1264" t="s">
        <v>14</v>
      </c>
      <c r="F1264" t="s">
        <v>2782</v>
      </c>
      <c r="G1264" t="s">
        <v>15</v>
      </c>
      <c r="H1264" s="2">
        <v>44784</v>
      </c>
      <c r="I1264" t="s">
        <v>32</v>
      </c>
      <c r="J1264" t="s">
        <v>33</v>
      </c>
      <c r="L1264" t="s">
        <v>34</v>
      </c>
      <c r="M1264" t="s">
        <v>26</v>
      </c>
    </row>
    <row r="1265" spans="1:13" x14ac:dyDescent="0.3">
      <c r="A1265" t="str">
        <f>HYPERLINK("https://hsdes.intel.com/resource/16015054867","16015054867")</f>
        <v>16015054867</v>
      </c>
      <c r="B1265" t="s">
        <v>2783</v>
      </c>
      <c r="C1265" t="s">
        <v>12</v>
      </c>
      <c r="D1265" t="s">
        <v>2784</v>
      </c>
      <c r="E1265" t="s">
        <v>97</v>
      </c>
      <c r="F1265" s="9" t="s">
        <v>2785</v>
      </c>
      <c r="G1265" t="s">
        <v>43</v>
      </c>
      <c r="H1265" s="2">
        <v>44785</v>
      </c>
      <c r="I1265" t="s">
        <v>167</v>
      </c>
      <c r="J1265" t="s">
        <v>2786</v>
      </c>
      <c r="L1265" t="s">
        <v>54</v>
      </c>
      <c r="M1265" t="s">
        <v>26</v>
      </c>
    </row>
    <row r="1266" spans="1:13" x14ac:dyDescent="0.3">
      <c r="A1266" t="str">
        <f>HYPERLINK("https://hsdes.intel.com/resource/16015055073","16015055073")</f>
        <v>16015055073</v>
      </c>
      <c r="B1266" t="s">
        <v>2787</v>
      </c>
      <c r="C1266" t="s">
        <v>12</v>
      </c>
      <c r="E1266" t="s">
        <v>120</v>
      </c>
      <c r="F1266" t="s">
        <v>2788</v>
      </c>
      <c r="G1266" t="s">
        <v>81</v>
      </c>
      <c r="I1266" t="s">
        <v>16</v>
      </c>
      <c r="J1266" t="s">
        <v>299</v>
      </c>
      <c r="L1266" t="s">
        <v>54</v>
      </c>
      <c r="M1266" t="s">
        <v>26</v>
      </c>
    </row>
    <row r="1267" spans="1:13" x14ac:dyDescent="0.3">
      <c r="A1267" t="str">
        <f>HYPERLINK("https://hsdes.intel.com/resource/16015067697","16015067697")</f>
        <v>16015067697</v>
      </c>
      <c r="B1267" t="s">
        <v>2789</v>
      </c>
      <c r="C1267" t="s">
        <v>12</v>
      </c>
      <c r="D1267" t="s">
        <v>2752</v>
      </c>
      <c r="E1267" t="s">
        <v>14</v>
      </c>
      <c r="G1267" t="s">
        <v>111</v>
      </c>
      <c r="H1267" s="2">
        <v>44784</v>
      </c>
      <c r="I1267" t="s">
        <v>167</v>
      </c>
      <c r="J1267" t="s">
        <v>168</v>
      </c>
      <c r="L1267" t="s">
        <v>147</v>
      </c>
      <c r="M1267" t="s">
        <v>26</v>
      </c>
    </row>
    <row r="1268" spans="1:13" x14ac:dyDescent="0.3">
      <c r="A1268" t="str">
        <f>HYPERLINK("https://hsdes.intel.com/resource/16015090792","16015090792")</f>
        <v>16015090792</v>
      </c>
      <c r="B1268" t="s">
        <v>2790</v>
      </c>
      <c r="C1268" t="s">
        <v>12</v>
      </c>
      <c r="D1268" t="s">
        <v>2791</v>
      </c>
      <c r="E1268" t="s">
        <v>14</v>
      </c>
      <c r="F1268" t="s">
        <v>2154</v>
      </c>
      <c r="G1268" t="s">
        <v>81</v>
      </c>
      <c r="H1268" s="2">
        <v>44802</v>
      </c>
      <c r="I1268" t="s">
        <v>167</v>
      </c>
      <c r="J1268" t="s">
        <v>2039</v>
      </c>
      <c r="L1268" t="s">
        <v>147</v>
      </c>
      <c r="M1268" t="s">
        <v>26</v>
      </c>
    </row>
    <row r="1269" spans="1:13" x14ac:dyDescent="0.3">
      <c r="A1269" t="str">
        <f>HYPERLINK("https://hsdes.intel.com/resource/16015173002","16015173002")</f>
        <v>16015173002</v>
      </c>
      <c r="B1269" t="s">
        <v>2792</v>
      </c>
      <c r="C1269" t="s">
        <v>12</v>
      </c>
      <c r="D1269" t="s">
        <v>2695</v>
      </c>
      <c r="E1269" t="s">
        <v>120</v>
      </c>
      <c r="F1269" s="9" t="s">
        <v>2793</v>
      </c>
      <c r="G1269" t="s">
        <v>111</v>
      </c>
      <c r="H1269" s="2">
        <v>44785</v>
      </c>
      <c r="I1269" t="s">
        <v>167</v>
      </c>
      <c r="J1269" t="s">
        <v>2697</v>
      </c>
      <c r="L1269" t="s">
        <v>147</v>
      </c>
      <c r="M1269" t="s">
        <v>26</v>
      </c>
    </row>
    <row r="1270" spans="1:13" x14ac:dyDescent="0.3">
      <c r="A1270" t="str">
        <f>HYPERLINK("https://hsdes.intel.com/resource/16015926536","16015926536")</f>
        <v>16015926536</v>
      </c>
      <c r="B1270" t="s">
        <v>2794</v>
      </c>
      <c r="C1270" t="s">
        <v>12</v>
      </c>
      <c r="E1270" t="s">
        <v>14</v>
      </c>
      <c r="G1270" t="s">
        <v>31</v>
      </c>
      <c r="H1270" s="2">
        <v>44799</v>
      </c>
      <c r="I1270" t="s">
        <v>32</v>
      </c>
      <c r="J1270" t="s">
        <v>46</v>
      </c>
      <c r="L1270" t="s">
        <v>177</v>
      </c>
      <c r="M1270" t="s">
        <v>26</v>
      </c>
    </row>
    <row r="1271" spans="1:13" x14ac:dyDescent="0.3">
      <c r="A1271" t="str">
        <f>HYPERLINK("https://hsdes.intel.com/resource/16016808595","16016808595")</f>
        <v>16016808595</v>
      </c>
      <c r="B1271" t="s">
        <v>2795</v>
      </c>
      <c r="C1271" t="s">
        <v>12</v>
      </c>
      <c r="E1271" t="s">
        <v>612</v>
      </c>
      <c r="F1271" t="s">
        <v>2796</v>
      </c>
      <c r="G1271" t="s">
        <v>31</v>
      </c>
      <c r="I1271" t="s">
        <v>132</v>
      </c>
      <c r="J1271" t="s">
        <v>614</v>
      </c>
      <c r="L1271" t="s">
        <v>615</v>
      </c>
      <c r="M1271" t="s">
        <v>26</v>
      </c>
    </row>
    <row r="1272" spans="1:13" x14ac:dyDescent="0.3">
      <c r="A1272" t="str">
        <f>HYPERLINK("https://hsdes.intel.com/resource/16017259010","16017259010")</f>
        <v>16017259010</v>
      </c>
      <c r="B1272" t="s">
        <v>2797</v>
      </c>
      <c r="C1272" t="s">
        <v>12</v>
      </c>
      <c r="E1272" t="s">
        <v>14</v>
      </c>
      <c r="G1272" t="s">
        <v>15</v>
      </c>
      <c r="H1272" s="2">
        <v>44784</v>
      </c>
      <c r="I1272" t="s">
        <v>167</v>
      </c>
      <c r="J1272" t="s">
        <v>168</v>
      </c>
      <c r="L1272" t="s">
        <v>147</v>
      </c>
      <c r="M1272" t="s">
        <v>26</v>
      </c>
    </row>
    <row r="1273" spans="1:13" x14ac:dyDescent="0.3">
      <c r="A1273" t="str">
        <f>HYPERLINK("https://hsdes.intel.com/resource/22011834241","22011834241")</f>
        <v>22011834241</v>
      </c>
      <c r="B1273" t="s">
        <v>2798</v>
      </c>
      <c r="C1273" t="s">
        <v>12</v>
      </c>
      <c r="D1273" t="s">
        <v>2799</v>
      </c>
      <c r="E1273" t="s">
        <v>14</v>
      </c>
      <c r="G1273" t="s">
        <v>37</v>
      </c>
      <c r="I1273" t="s">
        <v>32</v>
      </c>
      <c r="J1273" t="s">
        <v>82</v>
      </c>
      <c r="L1273" t="s">
        <v>34</v>
      </c>
      <c r="M1273" t="s">
        <v>22</v>
      </c>
    </row>
    <row r="1274" spans="1:13" x14ac:dyDescent="0.3">
      <c r="A1274" t="str">
        <f>HYPERLINK("https://hsdes.intel.com/resource/22011834247","22011834247")</f>
        <v>22011834247</v>
      </c>
      <c r="B1274" t="s">
        <v>2800</v>
      </c>
      <c r="C1274" t="s">
        <v>12</v>
      </c>
      <c r="D1274" t="s">
        <v>2801</v>
      </c>
      <c r="E1274" t="s">
        <v>14</v>
      </c>
      <c r="G1274" t="s">
        <v>438</v>
      </c>
      <c r="H1274" s="2">
        <v>44786</v>
      </c>
      <c r="I1274" t="s">
        <v>16</v>
      </c>
      <c r="J1274" t="s">
        <v>17</v>
      </c>
      <c r="L1274" t="s">
        <v>18</v>
      </c>
      <c r="M1274" t="s">
        <v>19</v>
      </c>
    </row>
    <row r="1275" spans="1:13" x14ac:dyDescent="0.3">
      <c r="A1275" t="str">
        <f>HYPERLINK("https://hsdes.intel.com/resource/22011834254","22011834254")</f>
        <v>22011834254</v>
      </c>
      <c r="B1275" t="s">
        <v>2802</v>
      </c>
      <c r="C1275" t="s">
        <v>12</v>
      </c>
      <c r="D1275" t="s">
        <v>2803</v>
      </c>
      <c r="E1275" t="s">
        <v>14</v>
      </c>
      <c r="G1275" t="s">
        <v>438</v>
      </c>
      <c r="H1275" s="2">
        <v>44786</v>
      </c>
      <c r="I1275" t="s">
        <v>16</v>
      </c>
      <c r="J1275" t="s">
        <v>17</v>
      </c>
      <c r="L1275" t="s">
        <v>18</v>
      </c>
      <c r="M1275" t="s">
        <v>19</v>
      </c>
    </row>
    <row r="1276" spans="1:13" x14ac:dyDescent="0.3">
      <c r="A1276" t="str">
        <f>HYPERLINK("https://hsdes.intel.com/resource/22011834261","22011834261")</f>
        <v>22011834261</v>
      </c>
      <c r="B1276" t="s">
        <v>2804</v>
      </c>
      <c r="C1276" t="s">
        <v>12</v>
      </c>
      <c r="D1276" t="s">
        <v>2805</v>
      </c>
      <c r="E1276" t="s">
        <v>14</v>
      </c>
      <c r="G1276" t="s">
        <v>31</v>
      </c>
      <c r="H1276" s="2">
        <v>44795</v>
      </c>
      <c r="I1276" t="s">
        <v>16</v>
      </c>
      <c r="J1276" t="s">
        <v>17</v>
      </c>
      <c r="L1276" t="s">
        <v>18</v>
      </c>
      <c r="M1276" t="s">
        <v>19</v>
      </c>
    </row>
    <row r="1277" spans="1:13" x14ac:dyDescent="0.3">
      <c r="A1277" t="str">
        <f>HYPERLINK("https://hsdes.intel.com/resource/22011834267","22011834267")</f>
        <v>22011834267</v>
      </c>
      <c r="B1277" t="s">
        <v>2806</v>
      </c>
      <c r="C1277" t="s">
        <v>12</v>
      </c>
      <c r="D1277" t="s">
        <v>2807</v>
      </c>
      <c r="E1277" t="s">
        <v>14</v>
      </c>
      <c r="G1277" t="s">
        <v>31</v>
      </c>
      <c r="H1277" s="2">
        <v>44795</v>
      </c>
      <c r="I1277" t="s">
        <v>16</v>
      </c>
      <c r="J1277" t="s">
        <v>17</v>
      </c>
      <c r="L1277" t="s">
        <v>18</v>
      </c>
      <c r="M1277" t="s">
        <v>19</v>
      </c>
    </row>
    <row r="1278" spans="1:13" x14ac:dyDescent="0.3">
      <c r="A1278" t="str">
        <f>HYPERLINK("https://hsdes.intel.com/resource/22011834277","22011834277")</f>
        <v>22011834277</v>
      </c>
      <c r="B1278" t="s">
        <v>2808</v>
      </c>
      <c r="C1278" t="s">
        <v>12</v>
      </c>
      <c r="D1278" t="s">
        <v>2809</v>
      </c>
      <c r="E1278" t="s">
        <v>14</v>
      </c>
      <c r="G1278" t="s">
        <v>31</v>
      </c>
      <c r="H1278" s="2">
        <v>44795</v>
      </c>
      <c r="I1278" t="s">
        <v>16</v>
      </c>
      <c r="J1278" t="s">
        <v>17</v>
      </c>
      <c r="L1278" t="s">
        <v>18</v>
      </c>
      <c r="M1278" t="s">
        <v>19</v>
      </c>
    </row>
    <row r="1279" spans="1:13" x14ac:dyDescent="0.3">
      <c r="A1279" t="str">
        <f>HYPERLINK("https://hsdes.intel.com/resource/22011834363","22011834363")</f>
        <v>22011834363</v>
      </c>
      <c r="B1279" t="s">
        <v>2810</v>
      </c>
      <c r="C1279" t="s">
        <v>12</v>
      </c>
      <c r="D1279" t="s">
        <v>2811</v>
      </c>
      <c r="E1279" t="s">
        <v>14</v>
      </c>
      <c r="G1279" t="s">
        <v>72</v>
      </c>
      <c r="H1279" s="2">
        <v>44784</v>
      </c>
      <c r="I1279" t="s">
        <v>16</v>
      </c>
      <c r="J1279" t="s">
        <v>17</v>
      </c>
      <c r="L1279" t="s">
        <v>18</v>
      </c>
      <c r="M1279" t="s">
        <v>22</v>
      </c>
    </row>
    <row r="1280" spans="1:13" x14ac:dyDescent="0.3">
      <c r="A1280" t="str">
        <f>HYPERLINK("https://hsdes.intel.com/resource/22011834371","22011834371")</f>
        <v>22011834371</v>
      </c>
      <c r="B1280" t="s">
        <v>2812</v>
      </c>
      <c r="C1280" t="s">
        <v>12</v>
      </c>
      <c r="D1280" t="s">
        <v>2813</v>
      </c>
      <c r="E1280" t="s">
        <v>14</v>
      </c>
      <c r="G1280" t="s">
        <v>72</v>
      </c>
      <c r="H1280" s="2">
        <v>44784</v>
      </c>
      <c r="I1280" t="s">
        <v>16</v>
      </c>
      <c r="J1280" t="s">
        <v>17</v>
      </c>
      <c r="L1280" t="s">
        <v>18</v>
      </c>
      <c r="M1280" t="s">
        <v>22</v>
      </c>
    </row>
    <row r="1281" spans="1:13" x14ac:dyDescent="0.3">
      <c r="A1281" t="str">
        <f>HYPERLINK("https://hsdes.intel.com/resource/22011834384","22011834384")</f>
        <v>22011834384</v>
      </c>
      <c r="B1281" t="s">
        <v>2814</v>
      </c>
      <c r="C1281" t="s">
        <v>12</v>
      </c>
      <c r="D1281" t="s">
        <v>2815</v>
      </c>
      <c r="E1281" t="s">
        <v>14</v>
      </c>
      <c r="G1281" t="s">
        <v>31</v>
      </c>
      <c r="H1281" s="2">
        <v>44795</v>
      </c>
      <c r="I1281" t="s">
        <v>16</v>
      </c>
      <c r="J1281" t="s">
        <v>17</v>
      </c>
      <c r="L1281" t="s">
        <v>18</v>
      </c>
      <c r="M1281" t="s">
        <v>22</v>
      </c>
    </row>
    <row r="1282" spans="1:13" x14ac:dyDescent="0.3">
      <c r="A1282" t="str">
        <f>HYPERLINK("https://hsdes.intel.com/resource/22011834386","22011834386")</f>
        <v>22011834386</v>
      </c>
      <c r="B1282" t="s">
        <v>2816</v>
      </c>
      <c r="C1282" t="s">
        <v>12</v>
      </c>
      <c r="D1282" t="s">
        <v>2817</v>
      </c>
      <c r="E1282" t="s">
        <v>14</v>
      </c>
      <c r="G1282" t="s">
        <v>72</v>
      </c>
      <c r="H1282" s="2">
        <v>44784</v>
      </c>
      <c r="I1282" t="s">
        <v>16</v>
      </c>
      <c r="J1282" t="s">
        <v>17</v>
      </c>
      <c r="L1282" t="s">
        <v>18</v>
      </c>
      <c r="M1282" t="s">
        <v>22</v>
      </c>
    </row>
    <row r="1283" spans="1:13" x14ac:dyDescent="0.3">
      <c r="A1283" t="str">
        <f>HYPERLINK("https://hsdes.intel.com/resource/22011834390","22011834390")</f>
        <v>22011834390</v>
      </c>
      <c r="B1283" t="s">
        <v>2818</v>
      </c>
      <c r="C1283" t="s">
        <v>12</v>
      </c>
      <c r="D1283" t="s">
        <v>2819</v>
      </c>
      <c r="E1283" t="s">
        <v>14</v>
      </c>
      <c r="G1283" t="s">
        <v>72</v>
      </c>
      <c r="H1283" s="2">
        <v>44784</v>
      </c>
      <c r="I1283" t="s">
        <v>16</v>
      </c>
      <c r="J1283" t="s">
        <v>17</v>
      </c>
      <c r="L1283" t="s">
        <v>18</v>
      </c>
      <c r="M1283" t="s">
        <v>22</v>
      </c>
    </row>
    <row r="1284" spans="1:13" x14ac:dyDescent="0.3">
      <c r="A1284" t="str">
        <f>HYPERLINK("https://hsdes.intel.com/resource/22011834396","22011834396")</f>
        <v>22011834396</v>
      </c>
      <c r="B1284" t="s">
        <v>2820</v>
      </c>
      <c r="C1284" t="s">
        <v>12</v>
      </c>
      <c r="D1284" t="s">
        <v>2821</v>
      </c>
      <c r="E1284" t="s">
        <v>14</v>
      </c>
      <c r="G1284" t="s">
        <v>31</v>
      </c>
      <c r="H1284" s="2">
        <v>44795</v>
      </c>
      <c r="I1284" t="s">
        <v>16</v>
      </c>
      <c r="J1284" t="s">
        <v>17</v>
      </c>
      <c r="L1284" t="s">
        <v>18</v>
      </c>
      <c r="M1284" t="s">
        <v>22</v>
      </c>
    </row>
    <row r="1285" spans="1:13" x14ac:dyDescent="0.3">
      <c r="A1285" t="str">
        <f>HYPERLINK("https://hsdes.intel.com/resource/22011834401","22011834401")</f>
        <v>22011834401</v>
      </c>
      <c r="B1285" t="s">
        <v>2822</v>
      </c>
      <c r="C1285" t="s">
        <v>12</v>
      </c>
      <c r="D1285" t="s">
        <v>2823</v>
      </c>
      <c r="E1285" t="s">
        <v>14</v>
      </c>
      <c r="G1285" t="s">
        <v>31</v>
      </c>
      <c r="H1285" s="2">
        <v>44795</v>
      </c>
      <c r="I1285" t="s">
        <v>16</v>
      </c>
      <c r="J1285" t="s">
        <v>17</v>
      </c>
      <c r="L1285" t="s">
        <v>18</v>
      </c>
      <c r="M1285" t="s">
        <v>22</v>
      </c>
    </row>
    <row r="1286" spans="1:13" x14ac:dyDescent="0.3">
      <c r="A1286" t="str">
        <f>HYPERLINK("https://hsdes.intel.com/resource/22011834406","22011834406")</f>
        <v>22011834406</v>
      </c>
      <c r="B1286" t="s">
        <v>2824</v>
      </c>
      <c r="C1286" t="s">
        <v>12</v>
      </c>
      <c r="D1286" t="s">
        <v>2825</v>
      </c>
      <c r="E1286" t="s">
        <v>14</v>
      </c>
      <c r="G1286" t="s">
        <v>31</v>
      </c>
      <c r="H1286" s="2">
        <v>44795</v>
      </c>
      <c r="I1286" t="s">
        <v>16</v>
      </c>
      <c r="J1286" t="s">
        <v>17</v>
      </c>
      <c r="L1286" t="s">
        <v>18</v>
      </c>
      <c r="M1286" t="s">
        <v>19</v>
      </c>
    </row>
    <row r="1287" spans="1:13" x14ac:dyDescent="0.3">
      <c r="A1287" t="str">
        <f>HYPERLINK("https://hsdes.intel.com/resource/22011834412","22011834412")</f>
        <v>22011834412</v>
      </c>
      <c r="B1287" t="s">
        <v>2826</v>
      </c>
      <c r="C1287" t="s">
        <v>12</v>
      </c>
      <c r="D1287" t="s">
        <v>2827</v>
      </c>
      <c r="E1287" t="s">
        <v>14</v>
      </c>
      <c r="G1287" t="s">
        <v>31</v>
      </c>
      <c r="H1287" s="2">
        <v>44795</v>
      </c>
      <c r="I1287" t="s">
        <v>16</v>
      </c>
      <c r="J1287" t="s">
        <v>17</v>
      </c>
      <c r="L1287" t="s">
        <v>18</v>
      </c>
      <c r="M1287" t="s">
        <v>22</v>
      </c>
    </row>
    <row r="1288" spans="1:13" x14ac:dyDescent="0.3">
      <c r="A1288" t="str">
        <f>HYPERLINK("https://hsdes.intel.com/resource/22011834418","22011834418")</f>
        <v>22011834418</v>
      </c>
      <c r="B1288" t="s">
        <v>2828</v>
      </c>
      <c r="C1288" t="s">
        <v>12</v>
      </c>
      <c r="D1288" t="s">
        <v>2829</v>
      </c>
      <c r="E1288" t="s">
        <v>779</v>
      </c>
      <c r="F1288" t="s">
        <v>2830</v>
      </c>
      <c r="G1288" t="s">
        <v>111</v>
      </c>
      <c r="H1288" s="2">
        <v>44802</v>
      </c>
      <c r="I1288" t="s">
        <v>16</v>
      </c>
      <c r="J1288" t="s">
        <v>17</v>
      </c>
      <c r="L1288" t="s">
        <v>18</v>
      </c>
      <c r="M1288" t="s">
        <v>22</v>
      </c>
    </row>
    <row r="1289" spans="1:13" x14ac:dyDescent="0.3">
      <c r="A1289" t="str">
        <f>HYPERLINK("https://hsdes.intel.com/resource/22011834422","22011834422")</f>
        <v>22011834422</v>
      </c>
      <c r="B1289" t="s">
        <v>2831</v>
      </c>
      <c r="C1289" t="s">
        <v>12</v>
      </c>
      <c r="D1289" t="s">
        <v>2832</v>
      </c>
      <c r="E1289" t="s">
        <v>14</v>
      </c>
      <c r="G1289" t="s">
        <v>31</v>
      </c>
      <c r="H1289" s="2">
        <v>44795</v>
      </c>
      <c r="I1289" t="s">
        <v>16</v>
      </c>
      <c r="J1289" t="s">
        <v>17</v>
      </c>
      <c r="L1289" t="s">
        <v>18</v>
      </c>
      <c r="M1289" t="s">
        <v>22</v>
      </c>
    </row>
    <row r="1290" spans="1:13" x14ac:dyDescent="0.3">
      <c r="A1290" t="str">
        <f>HYPERLINK("https://hsdes.intel.com/resource/22011834426","22011834426")</f>
        <v>22011834426</v>
      </c>
      <c r="B1290" t="s">
        <v>2833</v>
      </c>
      <c r="C1290" t="s">
        <v>12</v>
      </c>
      <c r="D1290" t="s">
        <v>2834</v>
      </c>
      <c r="E1290" t="s">
        <v>14</v>
      </c>
      <c r="G1290" t="s">
        <v>31</v>
      </c>
      <c r="H1290" s="2">
        <v>44792</v>
      </c>
      <c r="I1290" t="s">
        <v>16</v>
      </c>
      <c r="J1290" t="s">
        <v>17</v>
      </c>
      <c r="L1290" t="s">
        <v>18</v>
      </c>
      <c r="M1290" t="s">
        <v>22</v>
      </c>
    </row>
    <row r="1291" spans="1:13" x14ac:dyDescent="0.3">
      <c r="A1291" t="str">
        <f>HYPERLINK("https://hsdes.intel.com/resource/22011834428","22011834428")</f>
        <v>22011834428</v>
      </c>
      <c r="B1291" t="s">
        <v>2835</v>
      </c>
      <c r="C1291" t="s">
        <v>12</v>
      </c>
      <c r="D1291" t="s">
        <v>2836</v>
      </c>
      <c r="E1291" t="s">
        <v>14</v>
      </c>
      <c r="G1291" t="s">
        <v>1506</v>
      </c>
      <c r="H1291" s="2">
        <v>44792</v>
      </c>
      <c r="I1291" t="s">
        <v>16</v>
      </c>
      <c r="J1291" t="s">
        <v>17</v>
      </c>
      <c r="L1291" t="s">
        <v>18</v>
      </c>
      <c r="M1291" t="s">
        <v>22</v>
      </c>
    </row>
    <row r="1292" spans="1:13" x14ac:dyDescent="0.3">
      <c r="A1292" t="str">
        <f>HYPERLINK("https://hsdes.intel.com/resource/22011834434","22011834434")</f>
        <v>22011834434</v>
      </c>
      <c r="B1292" t="s">
        <v>2837</v>
      </c>
      <c r="C1292" t="s">
        <v>12</v>
      </c>
      <c r="D1292" t="s">
        <v>2838</v>
      </c>
      <c r="E1292" t="s">
        <v>120</v>
      </c>
      <c r="F1292" t="s">
        <v>2839</v>
      </c>
      <c r="G1292" t="s">
        <v>72</v>
      </c>
      <c r="H1292" s="2">
        <v>44789</v>
      </c>
      <c r="I1292" t="s">
        <v>16</v>
      </c>
      <c r="J1292" t="s">
        <v>17</v>
      </c>
      <c r="L1292" t="s">
        <v>18</v>
      </c>
      <c r="M1292" t="s">
        <v>22</v>
      </c>
    </row>
    <row r="1293" spans="1:13" x14ac:dyDescent="0.3">
      <c r="A1293" t="str">
        <f>HYPERLINK("https://hsdes.intel.com/resource/22011834437","22011834437")</f>
        <v>22011834437</v>
      </c>
      <c r="B1293" t="s">
        <v>2840</v>
      </c>
      <c r="C1293" t="s">
        <v>12</v>
      </c>
      <c r="D1293" t="s">
        <v>2841</v>
      </c>
      <c r="E1293" t="s">
        <v>120</v>
      </c>
      <c r="F1293" t="s">
        <v>2839</v>
      </c>
      <c r="G1293" t="s">
        <v>72</v>
      </c>
      <c r="H1293" s="2">
        <v>44789</v>
      </c>
      <c r="I1293" t="s">
        <v>16</v>
      </c>
      <c r="J1293" t="s">
        <v>17</v>
      </c>
      <c r="L1293" t="s">
        <v>18</v>
      </c>
      <c r="M1293" t="s">
        <v>22</v>
      </c>
    </row>
    <row r="1294" spans="1:13" x14ac:dyDescent="0.3">
      <c r="A1294" t="str">
        <f>HYPERLINK("https://hsdes.intel.com/resource/22011834439","22011834439")</f>
        <v>22011834439</v>
      </c>
      <c r="B1294" t="s">
        <v>2842</v>
      </c>
      <c r="C1294" t="s">
        <v>12</v>
      </c>
      <c r="D1294" t="s">
        <v>2843</v>
      </c>
      <c r="E1294" t="s">
        <v>14</v>
      </c>
      <c r="G1294" t="s">
        <v>72</v>
      </c>
      <c r="H1294" s="2">
        <v>44789</v>
      </c>
      <c r="I1294" t="s">
        <v>64</v>
      </c>
      <c r="J1294" t="s">
        <v>65</v>
      </c>
      <c r="L1294" t="s">
        <v>66</v>
      </c>
      <c r="M1294" t="s">
        <v>26</v>
      </c>
    </row>
    <row r="1295" spans="1:13" x14ac:dyDescent="0.3">
      <c r="A1295" t="str">
        <f>HYPERLINK("https://hsdes.intel.com/resource/22011834442","22011834442")</f>
        <v>22011834442</v>
      </c>
      <c r="B1295" t="s">
        <v>2844</v>
      </c>
      <c r="C1295" t="s">
        <v>12</v>
      </c>
      <c r="D1295" t="s">
        <v>2845</v>
      </c>
      <c r="E1295" t="s">
        <v>14</v>
      </c>
      <c r="G1295" t="s">
        <v>438</v>
      </c>
      <c r="H1295" s="2">
        <v>44786</v>
      </c>
      <c r="I1295" t="s">
        <v>64</v>
      </c>
      <c r="J1295" t="s">
        <v>65</v>
      </c>
      <c r="L1295" t="s">
        <v>66</v>
      </c>
      <c r="M1295" t="s">
        <v>26</v>
      </c>
    </row>
    <row r="1296" spans="1:13" x14ac:dyDescent="0.3">
      <c r="A1296" t="str">
        <f>HYPERLINK("https://hsdes.intel.com/resource/22011834444","22011834444")</f>
        <v>22011834444</v>
      </c>
      <c r="B1296" t="s">
        <v>2846</v>
      </c>
      <c r="C1296" t="s">
        <v>12</v>
      </c>
      <c r="D1296" t="s">
        <v>2847</v>
      </c>
      <c r="E1296" t="s">
        <v>14</v>
      </c>
      <c r="G1296" t="s">
        <v>438</v>
      </c>
      <c r="H1296" s="2">
        <v>44786</v>
      </c>
      <c r="I1296" t="s">
        <v>64</v>
      </c>
      <c r="J1296" t="s">
        <v>65</v>
      </c>
      <c r="L1296" t="s">
        <v>66</v>
      </c>
      <c r="M1296" t="s">
        <v>26</v>
      </c>
    </row>
    <row r="1297" spans="1:13" x14ac:dyDescent="0.3">
      <c r="A1297" t="str">
        <f>HYPERLINK("https://hsdes.intel.com/resource/22011834453","22011834453")</f>
        <v>22011834453</v>
      </c>
      <c r="B1297" t="s">
        <v>2848</v>
      </c>
      <c r="C1297" t="s">
        <v>12</v>
      </c>
      <c r="D1297" t="s">
        <v>2849</v>
      </c>
      <c r="E1297" t="s">
        <v>14</v>
      </c>
      <c r="G1297" t="s">
        <v>57</v>
      </c>
      <c r="H1297" s="2">
        <v>44792</v>
      </c>
      <c r="I1297" t="s">
        <v>16</v>
      </c>
      <c r="J1297" t="s">
        <v>17</v>
      </c>
      <c r="L1297" t="s">
        <v>18</v>
      </c>
      <c r="M1297" t="s">
        <v>22</v>
      </c>
    </row>
    <row r="1298" spans="1:13" x14ac:dyDescent="0.3">
      <c r="A1298" t="str">
        <f>HYPERLINK("https://hsdes.intel.com/resource/22011834456","22011834456")</f>
        <v>22011834456</v>
      </c>
      <c r="B1298" t="s">
        <v>2850</v>
      </c>
      <c r="C1298" t="s">
        <v>12</v>
      </c>
      <c r="D1298" t="s">
        <v>2851</v>
      </c>
      <c r="E1298" t="s">
        <v>14</v>
      </c>
      <c r="G1298" t="s">
        <v>31</v>
      </c>
      <c r="H1298" s="2">
        <v>44792</v>
      </c>
      <c r="I1298" t="s">
        <v>16</v>
      </c>
      <c r="J1298" t="s">
        <v>17</v>
      </c>
      <c r="L1298" t="s">
        <v>18</v>
      </c>
      <c r="M1298" t="s">
        <v>19</v>
      </c>
    </row>
    <row r="1299" spans="1:13" x14ac:dyDescent="0.3">
      <c r="A1299" t="str">
        <f>HYPERLINK("https://hsdes.intel.com/resource/22011834460","22011834460")</f>
        <v>22011834460</v>
      </c>
      <c r="B1299" t="s">
        <v>2852</v>
      </c>
      <c r="C1299" t="s">
        <v>12</v>
      </c>
      <c r="D1299" t="s">
        <v>2853</v>
      </c>
      <c r="E1299" t="s">
        <v>14</v>
      </c>
      <c r="G1299" t="s">
        <v>57</v>
      </c>
      <c r="H1299" s="2">
        <v>44792</v>
      </c>
      <c r="I1299" t="s">
        <v>16</v>
      </c>
      <c r="J1299" t="s">
        <v>17</v>
      </c>
      <c r="L1299" t="s">
        <v>18</v>
      </c>
      <c r="M1299" t="s">
        <v>19</v>
      </c>
    </row>
    <row r="1300" spans="1:13" x14ac:dyDescent="0.3">
      <c r="A1300" t="str">
        <f>HYPERLINK("https://hsdes.intel.com/resource/22011834465","22011834465")</f>
        <v>22011834465</v>
      </c>
      <c r="B1300" t="s">
        <v>2854</v>
      </c>
      <c r="C1300" t="s">
        <v>12</v>
      </c>
      <c r="D1300" t="s">
        <v>2855</v>
      </c>
      <c r="E1300" t="s">
        <v>14</v>
      </c>
      <c r="G1300" t="s">
        <v>1571</v>
      </c>
      <c r="H1300" s="2">
        <v>44792</v>
      </c>
      <c r="I1300" t="s">
        <v>16</v>
      </c>
      <c r="J1300" t="s">
        <v>17</v>
      </c>
      <c r="L1300" t="s">
        <v>18</v>
      </c>
      <c r="M1300" t="s">
        <v>19</v>
      </c>
    </row>
    <row r="1301" spans="1:13" x14ac:dyDescent="0.3">
      <c r="A1301" t="str">
        <f>HYPERLINK("https://hsdes.intel.com/resource/22011834525","22011834525")</f>
        <v>22011834525</v>
      </c>
      <c r="B1301" t="s">
        <v>2856</v>
      </c>
      <c r="C1301" t="s">
        <v>12</v>
      </c>
      <c r="D1301" t="s">
        <v>2857</v>
      </c>
      <c r="E1301" t="s">
        <v>14</v>
      </c>
      <c r="G1301" t="s">
        <v>72</v>
      </c>
      <c r="H1301" s="2">
        <v>44783</v>
      </c>
      <c r="I1301" t="s">
        <v>38</v>
      </c>
      <c r="J1301" t="s">
        <v>77</v>
      </c>
      <c r="L1301" t="s">
        <v>78</v>
      </c>
      <c r="M1301" t="s">
        <v>26</v>
      </c>
    </row>
    <row r="1302" spans="1:13" x14ac:dyDescent="0.3">
      <c r="A1302" t="str">
        <f>HYPERLINK("https://hsdes.intel.com/resource/22011834529","22011834529")</f>
        <v>22011834529</v>
      </c>
      <c r="B1302" t="s">
        <v>2858</v>
      </c>
      <c r="C1302" t="s">
        <v>12</v>
      </c>
      <c r="D1302" t="s">
        <v>2716</v>
      </c>
      <c r="E1302" t="s">
        <v>14</v>
      </c>
      <c r="G1302" t="s">
        <v>31</v>
      </c>
      <c r="H1302" s="2">
        <v>44792</v>
      </c>
      <c r="I1302" t="s">
        <v>16</v>
      </c>
      <c r="J1302" t="s">
        <v>17</v>
      </c>
      <c r="L1302" t="s">
        <v>18</v>
      </c>
      <c r="M1302" t="s">
        <v>19</v>
      </c>
    </row>
    <row r="1303" spans="1:13" x14ac:dyDescent="0.3">
      <c r="A1303" t="str">
        <f>HYPERLINK("https://hsdes.intel.com/resource/22011834531","22011834531")</f>
        <v>22011834531</v>
      </c>
      <c r="B1303" t="s">
        <v>2859</v>
      </c>
      <c r="C1303" t="s">
        <v>12</v>
      </c>
      <c r="D1303" t="s">
        <v>2860</v>
      </c>
      <c r="E1303" t="s">
        <v>779</v>
      </c>
      <c r="F1303" t="s">
        <v>3456</v>
      </c>
      <c r="G1303" t="s">
        <v>57</v>
      </c>
      <c r="H1303" s="2">
        <v>44792</v>
      </c>
      <c r="I1303" t="s">
        <v>16</v>
      </c>
      <c r="J1303" t="s">
        <v>17</v>
      </c>
      <c r="L1303" t="s">
        <v>18</v>
      </c>
      <c r="M1303" t="s">
        <v>19</v>
      </c>
    </row>
    <row r="1304" spans="1:13" x14ac:dyDescent="0.3">
      <c r="A1304" t="str">
        <f>HYPERLINK("https://hsdes.intel.com/resource/22011834579","22011834579")</f>
        <v>22011834579</v>
      </c>
      <c r="B1304" t="s">
        <v>2861</v>
      </c>
      <c r="C1304" t="s">
        <v>12</v>
      </c>
      <c r="D1304" t="s">
        <v>2862</v>
      </c>
      <c r="E1304" t="s">
        <v>14</v>
      </c>
      <c r="G1304" t="s">
        <v>111</v>
      </c>
      <c r="H1304" s="2">
        <v>44783</v>
      </c>
      <c r="I1304" t="s">
        <v>16</v>
      </c>
      <c r="J1304" t="s">
        <v>17</v>
      </c>
      <c r="L1304" t="s">
        <v>18</v>
      </c>
      <c r="M1304" t="s">
        <v>26</v>
      </c>
    </row>
    <row r="1305" spans="1:13" x14ac:dyDescent="0.3">
      <c r="A1305" t="str">
        <f>HYPERLINK("https://hsdes.intel.com/resource/22011834581","22011834581")</f>
        <v>22011834581</v>
      </c>
      <c r="B1305" t="s">
        <v>2863</v>
      </c>
      <c r="C1305" t="s">
        <v>12</v>
      </c>
      <c r="D1305" t="s">
        <v>13</v>
      </c>
      <c r="E1305" t="s">
        <v>14</v>
      </c>
      <c r="G1305" t="s">
        <v>57</v>
      </c>
      <c r="H1305" s="2">
        <v>44792</v>
      </c>
      <c r="I1305" t="s">
        <v>16</v>
      </c>
      <c r="J1305" t="s">
        <v>17</v>
      </c>
      <c r="L1305" t="s">
        <v>18</v>
      </c>
      <c r="M1305" t="s">
        <v>19</v>
      </c>
    </row>
    <row r="1306" spans="1:13" x14ac:dyDescent="0.3">
      <c r="A1306" t="str">
        <f>HYPERLINK("https://hsdes.intel.com/resource/22013999860","22013999860")</f>
        <v>22013999860</v>
      </c>
      <c r="B1306" t="s">
        <v>2864</v>
      </c>
      <c r="C1306" t="s">
        <v>12</v>
      </c>
      <c r="D1306" t="s">
        <v>1069</v>
      </c>
      <c r="E1306" t="s">
        <v>14</v>
      </c>
      <c r="F1306" t="s">
        <v>1257</v>
      </c>
      <c r="G1306" t="s">
        <v>43</v>
      </c>
      <c r="H1306" s="2">
        <v>44801</v>
      </c>
      <c r="I1306" t="s">
        <v>32</v>
      </c>
      <c r="J1306" t="s">
        <v>46</v>
      </c>
      <c r="L1306" t="s">
        <v>177</v>
      </c>
      <c r="M1306" t="s">
        <v>22</v>
      </c>
    </row>
    <row r="1307" spans="1:13" x14ac:dyDescent="0.3">
      <c r="A1307" t="str">
        <f>HYPERLINK("https://hsdes.intel.com/resource/14013114989","14013114989")</f>
        <v>14013114989</v>
      </c>
      <c r="B1307" t="s">
        <v>2865</v>
      </c>
      <c r="C1307" t="s">
        <v>2866</v>
      </c>
      <c r="D1307" t="s">
        <v>2867</v>
      </c>
      <c r="E1307" t="s">
        <v>14</v>
      </c>
      <c r="G1307" t="s">
        <v>2868</v>
      </c>
      <c r="H1307" s="4">
        <v>44784</v>
      </c>
      <c r="I1307" t="s">
        <v>16</v>
      </c>
      <c r="J1307" t="s">
        <v>77</v>
      </c>
      <c r="L1307" t="s">
        <v>157</v>
      </c>
      <c r="M1307" t="s">
        <v>26</v>
      </c>
    </row>
    <row r="1308" spans="1:13" x14ac:dyDescent="0.3">
      <c r="A1308" t="str">
        <f>HYPERLINK("https://hsdes.intel.com/resource/14013115011","14013115011")</f>
        <v>14013115011</v>
      </c>
      <c r="B1308" t="s">
        <v>2869</v>
      </c>
      <c r="C1308" t="s">
        <v>2866</v>
      </c>
      <c r="D1308" t="s">
        <v>2870</v>
      </c>
      <c r="E1308" t="s">
        <v>14</v>
      </c>
      <c r="G1308" t="s">
        <v>2868</v>
      </c>
      <c r="H1308" s="4">
        <v>44784</v>
      </c>
      <c r="I1308" t="s">
        <v>16</v>
      </c>
      <c r="J1308" t="s">
        <v>17</v>
      </c>
      <c r="L1308" t="s">
        <v>18</v>
      </c>
      <c r="M1308" t="s">
        <v>19</v>
      </c>
    </row>
    <row r="1309" spans="1:13" x14ac:dyDescent="0.3">
      <c r="A1309" t="str">
        <f>HYPERLINK("https://hsdes.intel.com/resource/14013115043","14013115043")</f>
        <v>14013115043</v>
      </c>
      <c r="B1309" t="s">
        <v>2871</v>
      </c>
      <c r="C1309" t="s">
        <v>2866</v>
      </c>
      <c r="D1309" t="s">
        <v>2872</v>
      </c>
      <c r="E1309" t="s">
        <v>14</v>
      </c>
      <c r="G1309" t="s">
        <v>2868</v>
      </c>
      <c r="H1309" s="4">
        <v>44784</v>
      </c>
      <c r="I1309" t="s">
        <v>16</v>
      </c>
      <c r="J1309" t="s">
        <v>77</v>
      </c>
      <c r="L1309" t="s">
        <v>157</v>
      </c>
      <c r="M1309" t="s">
        <v>22</v>
      </c>
    </row>
    <row r="1310" spans="1:13" x14ac:dyDescent="0.3">
      <c r="A1310" t="str">
        <f>HYPERLINK("https://hsdes.intel.com/resource/14013119145","14013119145")</f>
        <v>14013119145</v>
      </c>
      <c r="B1310" t="s">
        <v>2873</v>
      </c>
      <c r="C1310" t="s">
        <v>2866</v>
      </c>
      <c r="D1310" t="s">
        <v>2874</v>
      </c>
      <c r="E1310" t="s">
        <v>14</v>
      </c>
      <c r="G1310" t="s">
        <v>2868</v>
      </c>
      <c r="H1310" s="4">
        <v>44784</v>
      </c>
      <c r="I1310" t="s">
        <v>16</v>
      </c>
      <c r="J1310" t="s">
        <v>77</v>
      </c>
      <c r="L1310" t="s">
        <v>157</v>
      </c>
      <c r="M1310" t="s">
        <v>26</v>
      </c>
    </row>
    <row r="1311" spans="1:13" x14ac:dyDescent="0.3">
      <c r="A1311" t="str">
        <f>HYPERLINK("https://hsdes.intel.com/resource/14013119215","14013119215")</f>
        <v>14013119215</v>
      </c>
      <c r="B1311" t="s">
        <v>2875</v>
      </c>
      <c r="C1311" t="s">
        <v>2866</v>
      </c>
      <c r="D1311" t="s">
        <v>2876</v>
      </c>
      <c r="E1311" t="s">
        <v>612</v>
      </c>
      <c r="F1311" s="13" t="s">
        <v>2877</v>
      </c>
      <c r="G1311" t="s">
        <v>2868</v>
      </c>
      <c r="I1311" t="s">
        <v>48</v>
      </c>
      <c r="J1311" t="s">
        <v>151</v>
      </c>
      <c r="L1311" t="s">
        <v>152</v>
      </c>
      <c r="M1311" t="s">
        <v>26</v>
      </c>
    </row>
    <row r="1312" spans="1:13" x14ac:dyDescent="0.3">
      <c r="A1312" t="str">
        <f>HYPERLINK("https://hsdes.intel.com/resource/14013158232","14013158232")</f>
        <v>14013158232</v>
      </c>
      <c r="B1312" t="s">
        <v>2878</v>
      </c>
      <c r="C1312" t="s">
        <v>2866</v>
      </c>
      <c r="D1312" t="s">
        <v>2879</v>
      </c>
      <c r="E1312" t="s">
        <v>14</v>
      </c>
      <c r="G1312" t="s">
        <v>2868</v>
      </c>
      <c r="H1312" s="4">
        <v>44784</v>
      </c>
      <c r="I1312" t="s">
        <v>167</v>
      </c>
      <c r="J1312" t="s">
        <v>151</v>
      </c>
      <c r="L1312" t="s">
        <v>147</v>
      </c>
      <c r="M1312" t="s">
        <v>26</v>
      </c>
    </row>
    <row r="1313" spans="1:13" x14ac:dyDescent="0.3">
      <c r="A1313" t="str">
        <f>HYPERLINK("https://hsdes.intel.com/resource/14013158240","14013158240")</f>
        <v>14013158240</v>
      </c>
      <c r="B1313" t="s">
        <v>2880</v>
      </c>
      <c r="C1313" t="s">
        <v>2866</v>
      </c>
      <c r="D1313" t="s">
        <v>2881</v>
      </c>
      <c r="E1313" t="s">
        <v>14</v>
      </c>
      <c r="G1313" t="s">
        <v>2868</v>
      </c>
      <c r="H1313" s="4">
        <v>44784</v>
      </c>
      <c r="I1313" t="s">
        <v>167</v>
      </c>
      <c r="J1313" t="s">
        <v>151</v>
      </c>
      <c r="L1313" t="s">
        <v>147</v>
      </c>
      <c r="M1313" t="s">
        <v>26</v>
      </c>
    </row>
    <row r="1314" spans="1:13" x14ac:dyDescent="0.3">
      <c r="A1314" t="str">
        <f>HYPERLINK("https://hsdes.intel.com/resource/14013158295","14013158295")</f>
        <v>14013158295</v>
      </c>
      <c r="B1314" t="s">
        <v>2882</v>
      </c>
      <c r="C1314" t="s">
        <v>2866</v>
      </c>
      <c r="D1314" t="s">
        <v>2883</v>
      </c>
      <c r="E1314" t="s">
        <v>14</v>
      </c>
      <c r="G1314" t="s">
        <v>2868</v>
      </c>
      <c r="H1314" s="4">
        <v>44792</v>
      </c>
      <c r="I1314" t="s">
        <v>16</v>
      </c>
      <c r="J1314" t="s">
        <v>439</v>
      </c>
      <c r="L1314" t="s">
        <v>157</v>
      </c>
      <c r="M1314" t="s">
        <v>19</v>
      </c>
    </row>
    <row r="1315" spans="1:13" x14ac:dyDescent="0.3">
      <c r="A1315" t="str">
        <f>HYPERLINK("https://hsdes.intel.com/resource/14013158397","14013158397")</f>
        <v>14013158397</v>
      </c>
      <c r="B1315" t="s">
        <v>2884</v>
      </c>
      <c r="C1315" t="s">
        <v>2866</v>
      </c>
      <c r="D1315" t="s">
        <v>2885</v>
      </c>
      <c r="E1315" t="s">
        <v>14</v>
      </c>
      <c r="G1315" t="s">
        <v>2868</v>
      </c>
      <c r="H1315" s="4">
        <v>44784</v>
      </c>
      <c r="I1315" t="s">
        <v>16</v>
      </c>
      <c r="J1315" t="s">
        <v>82</v>
      </c>
      <c r="L1315" t="s">
        <v>157</v>
      </c>
      <c r="M1315" t="s">
        <v>26</v>
      </c>
    </row>
    <row r="1316" spans="1:13" x14ac:dyDescent="0.3">
      <c r="A1316" t="str">
        <f>HYPERLINK("https://hsdes.intel.com/resource/14013158827","14013158827")</f>
        <v>14013158827</v>
      </c>
      <c r="B1316" t="s">
        <v>2886</v>
      </c>
      <c r="C1316" t="s">
        <v>2866</v>
      </c>
      <c r="D1316" t="s">
        <v>2887</v>
      </c>
      <c r="E1316" t="s">
        <v>14</v>
      </c>
      <c r="F1316" t="s">
        <v>2888</v>
      </c>
      <c r="G1316" t="s">
        <v>43</v>
      </c>
      <c r="H1316" s="2">
        <v>44802</v>
      </c>
      <c r="I1316" t="s">
        <v>16</v>
      </c>
      <c r="J1316" t="s">
        <v>17</v>
      </c>
      <c r="L1316" t="s">
        <v>18</v>
      </c>
      <c r="M1316" t="s">
        <v>19</v>
      </c>
    </row>
    <row r="1317" spans="1:13" x14ac:dyDescent="0.3">
      <c r="A1317" t="str">
        <f>HYPERLINK("https://hsdes.intel.com/resource/14013158828","14013158828")</f>
        <v>14013158828</v>
      </c>
      <c r="B1317" t="s">
        <v>2889</v>
      </c>
      <c r="C1317" t="s">
        <v>2866</v>
      </c>
      <c r="D1317" t="s">
        <v>2890</v>
      </c>
      <c r="E1317" t="s">
        <v>14</v>
      </c>
      <c r="F1317" t="s">
        <v>2888</v>
      </c>
      <c r="G1317" t="s">
        <v>43</v>
      </c>
      <c r="H1317" s="2">
        <v>44802</v>
      </c>
      <c r="I1317" t="s">
        <v>16</v>
      </c>
      <c r="J1317" t="s">
        <v>17</v>
      </c>
      <c r="L1317" t="s">
        <v>18</v>
      </c>
      <c r="M1317" t="s">
        <v>19</v>
      </c>
    </row>
    <row r="1318" spans="1:13" x14ac:dyDescent="0.3">
      <c r="A1318" t="str">
        <f>HYPERLINK("https://hsdes.intel.com/resource/14013158830","14013158830")</f>
        <v>14013158830</v>
      </c>
      <c r="B1318" t="s">
        <v>2891</v>
      </c>
      <c r="C1318" t="s">
        <v>2866</v>
      </c>
      <c r="D1318" t="s">
        <v>2892</v>
      </c>
      <c r="E1318" t="s">
        <v>14</v>
      </c>
      <c r="F1318" t="s">
        <v>2888</v>
      </c>
      <c r="G1318" t="s">
        <v>43</v>
      </c>
      <c r="H1318" s="2">
        <v>44802</v>
      </c>
      <c r="I1318" t="s">
        <v>16</v>
      </c>
      <c r="J1318" t="s">
        <v>17</v>
      </c>
      <c r="L1318" t="s">
        <v>18</v>
      </c>
      <c r="M1318" t="s">
        <v>19</v>
      </c>
    </row>
    <row r="1319" spans="1:13" x14ac:dyDescent="0.3">
      <c r="A1319" t="str">
        <f>HYPERLINK("https://hsdes.intel.com/resource/14013158971","14013158971")</f>
        <v>14013158971</v>
      </c>
      <c r="B1319" t="s">
        <v>2893</v>
      </c>
      <c r="C1319" t="s">
        <v>2866</v>
      </c>
      <c r="D1319" t="s">
        <v>2894</v>
      </c>
      <c r="E1319" t="s">
        <v>612</v>
      </c>
      <c r="F1319" s="13" t="s">
        <v>2877</v>
      </c>
      <c r="G1319" t="s">
        <v>2868</v>
      </c>
      <c r="I1319" t="s">
        <v>48</v>
      </c>
      <c r="J1319" t="s">
        <v>151</v>
      </c>
      <c r="L1319" t="s">
        <v>152</v>
      </c>
      <c r="M1319" t="s">
        <v>26</v>
      </c>
    </row>
    <row r="1320" spans="1:13" x14ac:dyDescent="0.3">
      <c r="A1320" t="str">
        <f>HYPERLINK("https://hsdes.intel.com/resource/14013159097","14013159097")</f>
        <v>14013159097</v>
      </c>
      <c r="B1320" t="s">
        <v>2895</v>
      </c>
      <c r="C1320" t="s">
        <v>2866</v>
      </c>
      <c r="D1320" t="s">
        <v>2896</v>
      </c>
      <c r="E1320" t="s">
        <v>14</v>
      </c>
      <c r="G1320" t="s">
        <v>69</v>
      </c>
      <c r="H1320" s="2">
        <v>44802</v>
      </c>
      <c r="I1320" t="s">
        <v>16</v>
      </c>
      <c r="J1320" t="s">
        <v>17</v>
      </c>
      <c r="L1320" t="s">
        <v>18</v>
      </c>
      <c r="M1320" t="s">
        <v>22</v>
      </c>
    </row>
    <row r="1321" spans="1:13" x14ac:dyDescent="0.3">
      <c r="A1321" t="str">
        <f>HYPERLINK("https://hsdes.intel.com/resource/14013159119","14013159119")</f>
        <v>14013159119</v>
      </c>
      <c r="B1321" t="s">
        <v>2897</v>
      </c>
      <c r="C1321" t="s">
        <v>2866</v>
      </c>
      <c r="D1321" t="s">
        <v>2898</v>
      </c>
      <c r="E1321" t="s">
        <v>14</v>
      </c>
      <c r="G1321" t="s">
        <v>2868</v>
      </c>
      <c r="H1321" s="4">
        <v>44784</v>
      </c>
      <c r="I1321" t="s">
        <v>16</v>
      </c>
      <c r="J1321" t="s">
        <v>17</v>
      </c>
      <c r="L1321" t="s">
        <v>18</v>
      </c>
      <c r="M1321" t="s">
        <v>19</v>
      </c>
    </row>
    <row r="1322" spans="1:13" x14ac:dyDescent="0.3">
      <c r="A1322" t="str">
        <f>HYPERLINK("https://hsdes.intel.com/resource/14013159201","14013159201")</f>
        <v>14013159201</v>
      </c>
      <c r="B1322" t="s">
        <v>2899</v>
      </c>
      <c r="C1322" t="s">
        <v>2866</v>
      </c>
      <c r="D1322" t="s">
        <v>2900</v>
      </c>
      <c r="E1322" t="s">
        <v>14</v>
      </c>
      <c r="G1322" t="s">
        <v>2868</v>
      </c>
      <c r="H1322" s="4">
        <v>44784</v>
      </c>
      <c r="I1322" t="s">
        <v>16</v>
      </c>
      <c r="J1322" t="s">
        <v>17</v>
      </c>
      <c r="L1322" t="s">
        <v>18</v>
      </c>
      <c r="M1322" t="s">
        <v>22</v>
      </c>
    </row>
    <row r="1323" spans="1:13" x14ac:dyDescent="0.3">
      <c r="A1323" t="str">
        <f>HYPERLINK("https://hsdes.intel.com/resource/14013159224","14013159224")</f>
        <v>14013159224</v>
      </c>
      <c r="B1323" t="s">
        <v>2901</v>
      </c>
      <c r="C1323" t="s">
        <v>2866</v>
      </c>
      <c r="D1323" t="s">
        <v>2902</v>
      </c>
      <c r="E1323" t="s">
        <v>14</v>
      </c>
      <c r="G1323" t="s">
        <v>2868</v>
      </c>
      <c r="H1323" s="4">
        <v>44784</v>
      </c>
      <c r="I1323" t="s">
        <v>16</v>
      </c>
      <c r="J1323" t="s">
        <v>17</v>
      </c>
      <c r="L1323" t="s">
        <v>18</v>
      </c>
      <c r="M1323" t="s">
        <v>22</v>
      </c>
    </row>
    <row r="1324" spans="1:13" x14ac:dyDescent="0.3">
      <c r="A1324" t="str">
        <f>HYPERLINK("https://hsdes.intel.com/resource/14013159287","14013159287")</f>
        <v>14013159287</v>
      </c>
      <c r="B1324" t="s">
        <v>2903</v>
      </c>
      <c r="C1324" t="s">
        <v>2866</v>
      </c>
      <c r="D1324" t="s">
        <v>2904</v>
      </c>
      <c r="E1324" t="s">
        <v>14</v>
      </c>
      <c r="F1324" t="s">
        <v>2888</v>
      </c>
      <c r="G1324" t="s">
        <v>43</v>
      </c>
      <c r="H1324" s="2">
        <v>44802</v>
      </c>
      <c r="I1324" t="s">
        <v>16</v>
      </c>
      <c r="J1324" t="s">
        <v>17</v>
      </c>
      <c r="L1324" t="s">
        <v>18</v>
      </c>
      <c r="M1324" t="s">
        <v>22</v>
      </c>
    </row>
    <row r="1325" spans="1:13" x14ac:dyDescent="0.3">
      <c r="A1325" t="str">
        <f>HYPERLINK("https://hsdes.intel.com/resource/14013160507","14013160507")</f>
        <v>14013160507</v>
      </c>
      <c r="B1325" t="s">
        <v>2905</v>
      </c>
      <c r="C1325" t="s">
        <v>2866</v>
      </c>
      <c r="D1325" t="s">
        <v>2906</v>
      </c>
      <c r="E1325" t="s">
        <v>97</v>
      </c>
      <c r="F1325" t="s">
        <v>2907</v>
      </c>
      <c r="G1325" t="s">
        <v>2868</v>
      </c>
      <c r="H1325" s="4">
        <v>44789</v>
      </c>
      <c r="I1325" t="s">
        <v>48</v>
      </c>
      <c r="J1325" t="s">
        <v>1251</v>
      </c>
      <c r="L1325" t="s">
        <v>152</v>
      </c>
      <c r="M1325" t="s">
        <v>26</v>
      </c>
    </row>
    <row r="1326" spans="1:13" x14ac:dyDescent="0.3">
      <c r="A1326" t="str">
        <f>HYPERLINK("https://hsdes.intel.com/resource/14013160511","14013160511")</f>
        <v>14013160511</v>
      </c>
      <c r="B1326" t="s">
        <v>2908</v>
      </c>
      <c r="C1326" t="s">
        <v>2866</v>
      </c>
      <c r="D1326" t="s">
        <v>2909</v>
      </c>
      <c r="E1326" t="s">
        <v>97</v>
      </c>
      <c r="F1326" t="s">
        <v>2907</v>
      </c>
      <c r="G1326" t="s">
        <v>2868</v>
      </c>
      <c r="H1326" s="4">
        <v>44789</v>
      </c>
      <c r="I1326" t="s">
        <v>48</v>
      </c>
      <c r="J1326" t="s">
        <v>1251</v>
      </c>
      <c r="L1326" t="s">
        <v>152</v>
      </c>
      <c r="M1326" t="s">
        <v>26</v>
      </c>
    </row>
    <row r="1327" spans="1:13" x14ac:dyDescent="0.3">
      <c r="A1327" t="str">
        <f>HYPERLINK("https://hsdes.intel.com/resource/14013160517","14013160517")</f>
        <v>14013160517</v>
      </c>
      <c r="B1327" t="s">
        <v>2910</v>
      </c>
      <c r="C1327" t="s">
        <v>2866</v>
      </c>
      <c r="D1327" t="s">
        <v>2911</v>
      </c>
      <c r="E1327" t="s">
        <v>97</v>
      </c>
      <c r="F1327" t="s">
        <v>2907</v>
      </c>
      <c r="G1327" t="s">
        <v>2868</v>
      </c>
      <c r="H1327" s="4">
        <v>44789</v>
      </c>
      <c r="I1327" t="s">
        <v>48</v>
      </c>
      <c r="J1327" t="s">
        <v>1251</v>
      </c>
      <c r="L1327" t="s">
        <v>152</v>
      </c>
      <c r="M1327" t="s">
        <v>26</v>
      </c>
    </row>
    <row r="1328" spans="1:13" x14ac:dyDescent="0.3">
      <c r="A1328" t="str">
        <f>HYPERLINK("https://hsdes.intel.com/resource/14013160580","14013160580")</f>
        <v>14013160580</v>
      </c>
      <c r="B1328" t="s">
        <v>2912</v>
      </c>
      <c r="C1328" t="s">
        <v>2866</v>
      </c>
      <c r="D1328" t="s">
        <v>2913</v>
      </c>
      <c r="E1328" t="s">
        <v>14</v>
      </c>
      <c r="G1328" t="s">
        <v>2868</v>
      </c>
      <c r="H1328" s="4">
        <v>44784</v>
      </c>
      <c r="I1328" t="s">
        <v>16</v>
      </c>
      <c r="J1328" t="s">
        <v>77</v>
      </c>
      <c r="L1328" t="s">
        <v>157</v>
      </c>
      <c r="M1328" t="s">
        <v>19</v>
      </c>
    </row>
    <row r="1329" spans="1:13" x14ac:dyDescent="0.3">
      <c r="A1329" t="str">
        <f>HYPERLINK("https://hsdes.intel.com/resource/14013160596","14013160596")</f>
        <v>14013160596</v>
      </c>
      <c r="B1329" t="s">
        <v>2914</v>
      </c>
      <c r="C1329" t="s">
        <v>2866</v>
      </c>
      <c r="D1329" t="s">
        <v>2915</v>
      </c>
      <c r="E1329" t="s">
        <v>2916</v>
      </c>
      <c r="F1329" t="s">
        <v>3457</v>
      </c>
      <c r="G1329" t="s">
        <v>43</v>
      </c>
      <c r="H1329" s="2">
        <v>44802</v>
      </c>
      <c r="I1329" t="s">
        <v>16</v>
      </c>
      <c r="J1329" t="s">
        <v>77</v>
      </c>
      <c r="L1329" t="s">
        <v>157</v>
      </c>
      <c r="M1329" t="s">
        <v>19</v>
      </c>
    </row>
    <row r="1330" spans="1:13" x14ac:dyDescent="0.3">
      <c r="A1330" t="str">
        <f>HYPERLINK("https://hsdes.intel.com/resource/14013160724","14013160724")</f>
        <v>14013160724</v>
      </c>
      <c r="B1330" t="s">
        <v>2917</v>
      </c>
      <c r="C1330" t="s">
        <v>2866</v>
      </c>
      <c r="D1330" t="s">
        <v>2918</v>
      </c>
      <c r="E1330" t="s">
        <v>14</v>
      </c>
      <c r="F1330" t="s">
        <v>160</v>
      </c>
      <c r="G1330" t="s">
        <v>69</v>
      </c>
      <c r="I1330" t="s">
        <v>16</v>
      </c>
      <c r="J1330" t="s">
        <v>17</v>
      </c>
      <c r="L1330" t="s">
        <v>18</v>
      </c>
      <c r="M1330" t="s">
        <v>26</v>
      </c>
    </row>
    <row r="1331" spans="1:13" x14ac:dyDescent="0.3">
      <c r="A1331" t="str">
        <f>HYPERLINK("https://hsdes.intel.com/resource/14013161451","14013161451")</f>
        <v>14013161451</v>
      </c>
      <c r="B1331" t="s">
        <v>2919</v>
      </c>
      <c r="C1331" t="s">
        <v>2866</v>
      </c>
      <c r="D1331" t="s">
        <v>2920</v>
      </c>
      <c r="E1331" t="s">
        <v>14</v>
      </c>
      <c r="F1331" t="s">
        <v>2921</v>
      </c>
      <c r="G1331" t="s">
        <v>43</v>
      </c>
      <c r="H1331" s="2">
        <v>44802</v>
      </c>
      <c r="I1331" t="s">
        <v>16</v>
      </c>
      <c r="J1331" t="s">
        <v>77</v>
      </c>
      <c r="L1331" t="s">
        <v>78</v>
      </c>
      <c r="M1331" t="s">
        <v>22</v>
      </c>
    </row>
    <row r="1332" spans="1:13" x14ac:dyDescent="0.3">
      <c r="A1332" t="str">
        <f>HYPERLINK("https://hsdes.intel.com/resource/14013161491","14013161491")</f>
        <v>14013161491</v>
      </c>
      <c r="B1332" t="s">
        <v>2919</v>
      </c>
      <c r="C1332" t="s">
        <v>2866</v>
      </c>
      <c r="D1332" t="s">
        <v>2922</v>
      </c>
      <c r="E1332" t="s">
        <v>612</v>
      </c>
      <c r="F1332" s="13" t="s">
        <v>2877</v>
      </c>
      <c r="G1332" t="s">
        <v>2868</v>
      </c>
      <c r="I1332" t="s">
        <v>48</v>
      </c>
      <c r="J1332" t="s">
        <v>151</v>
      </c>
      <c r="L1332" t="s">
        <v>152</v>
      </c>
      <c r="M1332" t="s">
        <v>26</v>
      </c>
    </row>
    <row r="1333" spans="1:13" x14ac:dyDescent="0.3">
      <c r="A1333" t="str">
        <f>HYPERLINK("https://hsdes.intel.com/resource/14013163326","14013163326")</f>
        <v>14013163326</v>
      </c>
      <c r="B1333" t="s">
        <v>2923</v>
      </c>
      <c r="C1333" t="s">
        <v>2866</v>
      </c>
      <c r="D1333" t="s">
        <v>2924</v>
      </c>
      <c r="E1333" t="s">
        <v>120</v>
      </c>
      <c r="F1333" t="s">
        <v>1008</v>
      </c>
      <c r="G1333" t="s">
        <v>2868</v>
      </c>
      <c r="I1333" t="s">
        <v>16</v>
      </c>
      <c r="J1333" t="s">
        <v>17</v>
      </c>
      <c r="L1333" t="s">
        <v>18</v>
      </c>
      <c r="M1333" t="s">
        <v>26</v>
      </c>
    </row>
    <row r="1334" spans="1:13" x14ac:dyDescent="0.3">
      <c r="A1334" t="str">
        <f>HYPERLINK("https://hsdes.intel.com/resource/14013163952","14013163952")</f>
        <v>14013163952</v>
      </c>
      <c r="B1334" t="s">
        <v>2925</v>
      </c>
      <c r="C1334" t="s">
        <v>2866</v>
      </c>
      <c r="D1334" t="s">
        <v>2926</v>
      </c>
      <c r="E1334" t="s">
        <v>612</v>
      </c>
      <c r="F1334" s="13" t="s">
        <v>2877</v>
      </c>
      <c r="G1334" t="s">
        <v>2868</v>
      </c>
      <c r="I1334" t="s">
        <v>48</v>
      </c>
      <c r="J1334" t="s">
        <v>151</v>
      </c>
      <c r="L1334" t="s">
        <v>152</v>
      </c>
      <c r="M1334" t="s">
        <v>26</v>
      </c>
    </row>
    <row r="1335" spans="1:13" x14ac:dyDescent="0.3">
      <c r="A1335" t="str">
        <f>HYPERLINK("https://hsdes.intel.com/resource/14013167076","14013167076")</f>
        <v>14013167076</v>
      </c>
      <c r="B1335" t="s">
        <v>2927</v>
      </c>
      <c r="C1335" t="s">
        <v>2866</v>
      </c>
      <c r="D1335" t="s">
        <v>2928</v>
      </c>
      <c r="E1335" t="s">
        <v>120</v>
      </c>
      <c r="F1335" s="14" t="s">
        <v>2929</v>
      </c>
      <c r="G1335" t="s">
        <v>2930</v>
      </c>
      <c r="I1335" t="s">
        <v>48</v>
      </c>
      <c r="J1335" t="s">
        <v>49</v>
      </c>
      <c r="L1335" t="s">
        <v>50</v>
      </c>
      <c r="M1335" t="s">
        <v>22</v>
      </c>
    </row>
    <row r="1336" spans="1:13" x14ac:dyDescent="0.3">
      <c r="A1336" t="str">
        <f>HYPERLINK("https://hsdes.intel.com/resource/14013167092","14013167092")</f>
        <v>14013167092</v>
      </c>
      <c r="B1336" t="s">
        <v>2931</v>
      </c>
      <c r="C1336" t="s">
        <v>2866</v>
      </c>
      <c r="D1336" t="s">
        <v>2932</v>
      </c>
      <c r="E1336" t="s">
        <v>120</v>
      </c>
      <c r="F1336" s="13" t="s">
        <v>2933</v>
      </c>
      <c r="G1336" t="s">
        <v>2930</v>
      </c>
      <c r="I1336" t="s">
        <v>48</v>
      </c>
      <c r="J1336" t="s">
        <v>49</v>
      </c>
      <c r="L1336" t="s">
        <v>50</v>
      </c>
      <c r="M1336" t="s">
        <v>22</v>
      </c>
    </row>
    <row r="1337" spans="1:13" x14ac:dyDescent="0.3">
      <c r="A1337" t="str">
        <f>HYPERLINK("https://hsdes.intel.com/resource/14013168846","14013168846")</f>
        <v>14013168846</v>
      </c>
      <c r="B1337" t="s">
        <v>2934</v>
      </c>
      <c r="C1337" t="s">
        <v>2866</v>
      </c>
      <c r="D1337" t="s">
        <v>2935</v>
      </c>
      <c r="E1337" t="s">
        <v>14</v>
      </c>
      <c r="G1337" t="s">
        <v>2868</v>
      </c>
      <c r="H1337" s="4">
        <v>44784</v>
      </c>
      <c r="I1337" t="s">
        <v>64</v>
      </c>
      <c r="J1337" t="s">
        <v>191</v>
      </c>
      <c r="L1337" t="s">
        <v>192</v>
      </c>
      <c r="M1337" t="s">
        <v>22</v>
      </c>
    </row>
    <row r="1338" spans="1:13" x14ac:dyDescent="0.3">
      <c r="A1338" t="str">
        <f>HYPERLINK("https://hsdes.intel.com/resource/14013168950","14013168950")</f>
        <v>14013168950</v>
      </c>
      <c r="B1338" t="s">
        <v>2936</v>
      </c>
      <c r="C1338" t="s">
        <v>2866</v>
      </c>
      <c r="D1338" t="s">
        <v>2937</v>
      </c>
      <c r="E1338" t="s">
        <v>97</v>
      </c>
      <c r="F1338" t="s">
        <v>2938</v>
      </c>
      <c r="G1338" t="s">
        <v>2868</v>
      </c>
      <c r="H1338" s="2">
        <v>44802</v>
      </c>
      <c r="I1338" t="s">
        <v>64</v>
      </c>
      <c r="J1338" t="s">
        <v>191</v>
      </c>
      <c r="L1338" t="s">
        <v>50</v>
      </c>
      <c r="M1338" t="s">
        <v>22</v>
      </c>
    </row>
    <row r="1339" spans="1:13" x14ac:dyDescent="0.3">
      <c r="A1339" t="str">
        <f>HYPERLINK("https://hsdes.intel.com/resource/14013169130","14013169130")</f>
        <v>14013169130</v>
      </c>
      <c r="B1339" t="s">
        <v>2939</v>
      </c>
      <c r="C1339" t="s">
        <v>2866</v>
      </c>
      <c r="D1339" t="s">
        <v>2940</v>
      </c>
      <c r="E1339" t="s">
        <v>97</v>
      </c>
      <c r="F1339" t="s">
        <v>2938</v>
      </c>
      <c r="G1339" t="s">
        <v>2868</v>
      </c>
      <c r="H1339" s="2">
        <v>44802</v>
      </c>
      <c r="I1339" t="s">
        <v>64</v>
      </c>
      <c r="J1339" t="s">
        <v>191</v>
      </c>
      <c r="L1339" t="s">
        <v>50</v>
      </c>
      <c r="M1339" t="s">
        <v>22</v>
      </c>
    </row>
    <row r="1340" spans="1:13" x14ac:dyDescent="0.3">
      <c r="A1340" t="str">
        <f>HYPERLINK("https://hsdes.intel.com/resource/14013173241","14013173241")</f>
        <v>14013173241</v>
      </c>
      <c r="B1340" t="s">
        <v>2941</v>
      </c>
      <c r="C1340" t="s">
        <v>2866</v>
      </c>
      <c r="D1340" t="s">
        <v>2942</v>
      </c>
      <c r="E1340" t="s">
        <v>97</v>
      </c>
      <c r="F1340" t="s">
        <v>2943</v>
      </c>
      <c r="G1340" t="s">
        <v>2868</v>
      </c>
      <c r="H1340" s="4">
        <v>44791</v>
      </c>
      <c r="I1340" t="s">
        <v>16</v>
      </c>
      <c r="J1340" t="s">
        <v>77</v>
      </c>
      <c r="L1340" t="s">
        <v>157</v>
      </c>
      <c r="M1340" t="s">
        <v>26</v>
      </c>
    </row>
    <row r="1341" spans="1:13" x14ac:dyDescent="0.3">
      <c r="A1341" t="str">
        <f>HYPERLINK("https://hsdes.intel.com/resource/14013174002","14013174002")</f>
        <v>14013174002</v>
      </c>
      <c r="B1341" t="s">
        <v>2944</v>
      </c>
      <c r="C1341" t="s">
        <v>2866</v>
      </c>
      <c r="D1341" t="s">
        <v>2945</v>
      </c>
      <c r="E1341" t="s">
        <v>14</v>
      </c>
      <c r="G1341" t="s">
        <v>2868</v>
      </c>
      <c r="H1341" s="4">
        <v>44784</v>
      </c>
      <c r="I1341" t="s">
        <v>167</v>
      </c>
      <c r="J1341" t="s">
        <v>151</v>
      </c>
      <c r="L1341" t="s">
        <v>147</v>
      </c>
      <c r="M1341" t="s">
        <v>22</v>
      </c>
    </row>
    <row r="1342" spans="1:13" x14ac:dyDescent="0.3">
      <c r="A1342" t="str">
        <f>HYPERLINK("https://hsdes.intel.com/resource/14013174027","14013174027")</f>
        <v>14013174027</v>
      </c>
      <c r="B1342" t="s">
        <v>2946</v>
      </c>
      <c r="C1342" t="s">
        <v>2866</v>
      </c>
      <c r="D1342" t="s">
        <v>2947</v>
      </c>
      <c r="E1342" t="s">
        <v>14</v>
      </c>
      <c r="G1342" t="s">
        <v>2868</v>
      </c>
      <c r="H1342" s="4">
        <v>44784</v>
      </c>
      <c r="I1342" t="s">
        <v>167</v>
      </c>
      <c r="J1342" t="s">
        <v>151</v>
      </c>
      <c r="L1342" t="s">
        <v>147</v>
      </c>
      <c r="M1342" t="s">
        <v>26</v>
      </c>
    </row>
    <row r="1343" spans="1:13" x14ac:dyDescent="0.3">
      <c r="A1343" t="str">
        <f>HYPERLINK("https://hsdes.intel.com/resource/14013174046","14013174046")</f>
        <v>14013174046</v>
      </c>
      <c r="B1343" t="s">
        <v>2948</v>
      </c>
      <c r="C1343" t="s">
        <v>2866</v>
      </c>
      <c r="D1343" t="s">
        <v>2949</v>
      </c>
      <c r="E1343" t="s">
        <v>14</v>
      </c>
      <c r="G1343" t="s">
        <v>2868</v>
      </c>
      <c r="H1343" s="4">
        <v>44784</v>
      </c>
      <c r="I1343" t="s">
        <v>167</v>
      </c>
      <c r="J1343" t="s">
        <v>151</v>
      </c>
      <c r="L1343" t="s">
        <v>147</v>
      </c>
      <c r="M1343" t="s">
        <v>26</v>
      </c>
    </row>
    <row r="1344" spans="1:13" x14ac:dyDescent="0.3">
      <c r="A1344" t="str">
        <f>HYPERLINK("https://hsdes.intel.com/resource/14013174075","14013174075")</f>
        <v>14013174075</v>
      </c>
      <c r="B1344" t="s">
        <v>2950</v>
      </c>
      <c r="C1344" t="s">
        <v>2866</v>
      </c>
      <c r="D1344" t="s">
        <v>2951</v>
      </c>
      <c r="E1344" t="s">
        <v>120</v>
      </c>
      <c r="F1344" t="s">
        <v>2952</v>
      </c>
      <c r="G1344" t="s">
        <v>43</v>
      </c>
      <c r="H1344" s="2">
        <v>44802</v>
      </c>
      <c r="I1344" t="s">
        <v>167</v>
      </c>
      <c r="J1344" t="s">
        <v>186</v>
      </c>
      <c r="L1344" t="s">
        <v>147</v>
      </c>
      <c r="M1344" t="s">
        <v>26</v>
      </c>
    </row>
    <row r="1345" spans="1:13" x14ac:dyDescent="0.3">
      <c r="A1345" t="str">
        <f>HYPERLINK("https://hsdes.intel.com/resource/14013174091","14013174091")</f>
        <v>14013174091</v>
      </c>
      <c r="B1345" t="s">
        <v>2953</v>
      </c>
      <c r="C1345" t="s">
        <v>2866</v>
      </c>
      <c r="D1345" t="s">
        <v>2954</v>
      </c>
      <c r="E1345" t="s">
        <v>14</v>
      </c>
      <c r="G1345" t="s">
        <v>2868</v>
      </c>
      <c r="H1345" s="4">
        <v>44789</v>
      </c>
      <c r="I1345" t="s">
        <v>167</v>
      </c>
      <c r="J1345" t="s">
        <v>186</v>
      </c>
      <c r="L1345" t="s">
        <v>147</v>
      </c>
      <c r="M1345" t="s">
        <v>26</v>
      </c>
    </row>
    <row r="1346" spans="1:13" x14ac:dyDescent="0.3">
      <c r="A1346" t="str">
        <f>HYPERLINK("https://hsdes.intel.com/resource/14013174100","14013174100")</f>
        <v>14013174100</v>
      </c>
      <c r="B1346" t="s">
        <v>2955</v>
      </c>
      <c r="C1346" t="s">
        <v>2866</v>
      </c>
      <c r="D1346" t="s">
        <v>2956</v>
      </c>
      <c r="E1346" t="s">
        <v>120</v>
      </c>
      <c r="F1346" s="15" t="s">
        <v>2957</v>
      </c>
      <c r="G1346" t="s">
        <v>43</v>
      </c>
      <c r="H1346" s="2">
        <v>44802</v>
      </c>
      <c r="I1346" t="s">
        <v>167</v>
      </c>
      <c r="J1346" t="s">
        <v>186</v>
      </c>
      <c r="L1346" t="s">
        <v>147</v>
      </c>
      <c r="M1346" t="s">
        <v>26</v>
      </c>
    </row>
    <row r="1347" spans="1:13" x14ac:dyDescent="0.3">
      <c r="A1347" t="str">
        <f>HYPERLINK("https://hsdes.intel.com/resource/14013174180","14013174180")</f>
        <v>14013174180</v>
      </c>
      <c r="B1347" t="s">
        <v>2958</v>
      </c>
      <c r="C1347" t="s">
        <v>2866</v>
      </c>
      <c r="D1347" t="s">
        <v>2959</v>
      </c>
      <c r="E1347" t="s">
        <v>2916</v>
      </c>
      <c r="F1347" t="s">
        <v>3455</v>
      </c>
      <c r="G1347" t="s">
        <v>69</v>
      </c>
      <c r="H1347" s="2">
        <v>44801</v>
      </c>
      <c r="I1347" t="s">
        <v>167</v>
      </c>
      <c r="J1347" t="s">
        <v>186</v>
      </c>
      <c r="L1347" t="s">
        <v>147</v>
      </c>
      <c r="M1347" t="s">
        <v>19</v>
      </c>
    </row>
    <row r="1348" spans="1:13" x14ac:dyDescent="0.3">
      <c r="A1348" t="str">
        <f>HYPERLINK("https://hsdes.intel.com/resource/14013174184","14013174184")</f>
        <v>14013174184</v>
      </c>
      <c r="B1348" t="s">
        <v>2960</v>
      </c>
      <c r="C1348" t="s">
        <v>2866</v>
      </c>
      <c r="D1348" t="s">
        <v>2961</v>
      </c>
      <c r="E1348" t="s">
        <v>14</v>
      </c>
      <c r="F1348" t="s">
        <v>2962</v>
      </c>
      <c r="G1348" t="s">
        <v>2868</v>
      </c>
      <c r="H1348" s="4">
        <v>44799</v>
      </c>
      <c r="I1348" t="s">
        <v>167</v>
      </c>
      <c r="J1348" t="s">
        <v>186</v>
      </c>
      <c r="L1348" t="s">
        <v>147</v>
      </c>
      <c r="M1348" t="s">
        <v>26</v>
      </c>
    </row>
    <row r="1349" spans="1:13" x14ac:dyDescent="0.3">
      <c r="A1349" t="str">
        <f>HYPERLINK("https://hsdes.intel.com/resource/14013174240","14013174240")</f>
        <v>14013174240</v>
      </c>
      <c r="B1349" t="s">
        <v>2963</v>
      </c>
      <c r="C1349" t="s">
        <v>2866</v>
      </c>
      <c r="D1349" t="s">
        <v>2964</v>
      </c>
      <c r="E1349" t="s">
        <v>2916</v>
      </c>
      <c r="F1349" t="s">
        <v>3455</v>
      </c>
      <c r="G1349" t="s">
        <v>69</v>
      </c>
      <c r="H1349" s="2">
        <v>44801</v>
      </c>
      <c r="I1349" t="s">
        <v>167</v>
      </c>
      <c r="J1349" t="s">
        <v>186</v>
      </c>
      <c r="L1349" t="s">
        <v>147</v>
      </c>
      <c r="M1349" t="s">
        <v>19</v>
      </c>
    </row>
    <row r="1350" spans="1:13" x14ac:dyDescent="0.3">
      <c r="A1350" t="str">
        <f>HYPERLINK("https://hsdes.intel.com/resource/14013174293","14013174293")</f>
        <v>14013174293</v>
      </c>
      <c r="B1350" t="s">
        <v>2965</v>
      </c>
      <c r="C1350" t="s">
        <v>2866</v>
      </c>
      <c r="D1350" t="s">
        <v>2966</v>
      </c>
      <c r="E1350" t="s">
        <v>14</v>
      </c>
      <c r="G1350" t="s">
        <v>69</v>
      </c>
      <c r="H1350" s="2">
        <v>44801</v>
      </c>
      <c r="I1350" t="s">
        <v>167</v>
      </c>
      <c r="J1350" t="s">
        <v>186</v>
      </c>
      <c r="L1350" t="s">
        <v>147</v>
      </c>
      <c r="M1350" t="s">
        <v>19</v>
      </c>
    </row>
    <row r="1351" spans="1:13" x14ac:dyDescent="0.3">
      <c r="A1351" t="str">
        <f>HYPERLINK("https://hsdes.intel.com/resource/14013174471","14013174471")</f>
        <v>14013174471</v>
      </c>
      <c r="B1351" t="s">
        <v>2967</v>
      </c>
      <c r="C1351" t="s">
        <v>2866</v>
      </c>
      <c r="D1351" t="s">
        <v>2968</v>
      </c>
      <c r="E1351" t="s">
        <v>14</v>
      </c>
      <c r="G1351" t="s">
        <v>2868</v>
      </c>
      <c r="H1351" s="4">
        <v>44784</v>
      </c>
      <c r="I1351" t="s">
        <v>167</v>
      </c>
      <c r="J1351" t="s">
        <v>151</v>
      </c>
      <c r="L1351" t="s">
        <v>147</v>
      </c>
      <c r="M1351" t="s">
        <v>26</v>
      </c>
    </row>
    <row r="1352" spans="1:13" x14ac:dyDescent="0.3">
      <c r="A1352" t="str">
        <f>HYPERLINK("https://hsdes.intel.com/resource/14013174569","14013174569")</f>
        <v>14013174569</v>
      </c>
      <c r="B1352" t="s">
        <v>2969</v>
      </c>
      <c r="C1352" t="s">
        <v>2866</v>
      </c>
      <c r="D1352" t="s">
        <v>2970</v>
      </c>
      <c r="E1352" t="s">
        <v>14</v>
      </c>
      <c r="G1352" t="s">
        <v>2868</v>
      </c>
      <c r="H1352" s="4">
        <v>44784</v>
      </c>
      <c r="I1352" t="s">
        <v>167</v>
      </c>
      <c r="J1352" t="s">
        <v>151</v>
      </c>
      <c r="L1352" t="s">
        <v>147</v>
      </c>
      <c r="M1352" t="s">
        <v>26</v>
      </c>
    </row>
    <row r="1353" spans="1:13" x14ac:dyDescent="0.3">
      <c r="A1353" t="str">
        <f>HYPERLINK("https://hsdes.intel.com/resource/14013174656","14013174656")</f>
        <v>14013174656</v>
      </c>
      <c r="B1353" t="s">
        <v>2971</v>
      </c>
      <c r="C1353" t="s">
        <v>2866</v>
      </c>
      <c r="D1353" t="s">
        <v>2972</v>
      </c>
      <c r="E1353" t="s">
        <v>14</v>
      </c>
      <c r="G1353" t="s">
        <v>2868</v>
      </c>
      <c r="H1353" s="4">
        <v>44784</v>
      </c>
      <c r="I1353" t="s">
        <v>167</v>
      </c>
      <c r="J1353" t="s">
        <v>151</v>
      </c>
      <c r="L1353" t="s">
        <v>147</v>
      </c>
      <c r="M1353" t="s">
        <v>26</v>
      </c>
    </row>
    <row r="1354" spans="1:13" x14ac:dyDescent="0.3">
      <c r="A1354" t="str">
        <f>HYPERLINK("https://hsdes.intel.com/resource/14013174748","14013174748")</f>
        <v>14013174748</v>
      </c>
      <c r="B1354" t="s">
        <v>2973</v>
      </c>
      <c r="C1354" t="s">
        <v>2866</v>
      </c>
      <c r="D1354" t="s">
        <v>2974</v>
      </c>
      <c r="E1354" t="s">
        <v>14</v>
      </c>
      <c r="F1354" t="s">
        <v>160</v>
      </c>
      <c r="G1354" t="s">
        <v>69</v>
      </c>
      <c r="I1354" t="s">
        <v>167</v>
      </c>
      <c r="J1354" t="s">
        <v>168</v>
      </c>
      <c r="L1354" t="s">
        <v>147</v>
      </c>
      <c r="M1354" t="s">
        <v>26</v>
      </c>
    </row>
    <row r="1355" spans="1:13" x14ac:dyDescent="0.3">
      <c r="A1355" t="str">
        <f>HYPERLINK("https://hsdes.intel.com/resource/14013174758","14013174758")</f>
        <v>14013174758</v>
      </c>
      <c r="B1355" t="s">
        <v>2975</v>
      </c>
      <c r="C1355" t="s">
        <v>2866</v>
      </c>
      <c r="D1355" t="s">
        <v>2976</v>
      </c>
      <c r="E1355" t="s">
        <v>14</v>
      </c>
      <c r="F1355" t="s">
        <v>160</v>
      </c>
      <c r="G1355" t="s">
        <v>69</v>
      </c>
      <c r="I1355" t="s">
        <v>167</v>
      </c>
      <c r="J1355" t="s">
        <v>168</v>
      </c>
      <c r="L1355" t="s">
        <v>147</v>
      </c>
      <c r="M1355" t="s">
        <v>26</v>
      </c>
    </row>
    <row r="1356" spans="1:13" x14ac:dyDescent="0.3">
      <c r="A1356" t="str">
        <f>HYPERLINK("https://hsdes.intel.com/resource/14013174827","14013174827")</f>
        <v>14013174827</v>
      </c>
      <c r="B1356" t="s">
        <v>2977</v>
      </c>
      <c r="C1356" t="s">
        <v>2866</v>
      </c>
      <c r="D1356" t="s">
        <v>2978</v>
      </c>
      <c r="E1356" t="s">
        <v>14</v>
      </c>
      <c r="F1356" t="s">
        <v>2979</v>
      </c>
      <c r="G1356" t="s">
        <v>2868</v>
      </c>
      <c r="H1356" s="4">
        <v>44792</v>
      </c>
      <c r="I1356" t="s">
        <v>167</v>
      </c>
      <c r="J1356" t="s">
        <v>151</v>
      </c>
      <c r="L1356" t="s">
        <v>147</v>
      </c>
      <c r="M1356" t="s">
        <v>26</v>
      </c>
    </row>
    <row r="1357" spans="1:13" x14ac:dyDescent="0.3">
      <c r="A1357" t="str">
        <f>HYPERLINK("https://hsdes.intel.com/resource/14013174839","14013174839")</f>
        <v>14013174839</v>
      </c>
      <c r="B1357" t="s">
        <v>2980</v>
      </c>
      <c r="C1357" t="s">
        <v>2866</v>
      </c>
      <c r="D1357" t="s">
        <v>2981</v>
      </c>
      <c r="E1357" t="s">
        <v>14</v>
      </c>
      <c r="F1357" t="s">
        <v>2979</v>
      </c>
      <c r="G1357" t="s">
        <v>2868</v>
      </c>
      <c r="H1357" s="4">
        <v>44792</v>
      </c>
      <c r="I1357" t="s">
        <v>167</v>
      </c>
      <c r="J1357" t="s">
        <v>151</v>
      </c>
      <c r="L1357" t="s">
        <v>147</v>
      </c>
      <c r="M1357" t="s">
        <v>26</v>
      </c>
    </row>
    <row r="1358" spans="1:13" x14ac:dyDescent="0.3">
      <c r="A1358" t="str">
        <f>HYPERLINK("https://hsdes.intel.com/resource/14013174959","14013174959")</f>
        <v>14013174959</v>
      </c>
      <c r="B1358" t="s">
        <v>2982</v>
      </c>
      <c r="C1358" t="s">
        <v>2866</v>
      </c>
      <c r="D1358" t="s">
        <v>2983</v>
      </c>
      <c r="E1358" t="s">
        <v>14</v>
      </c>
      <c r="F1358" t="s">
        <v>2984</v>
      </c>
      <c r="G1358" t="s">
        <v>43</v>
      </c>
      <c r="H1358" s="2">
        <v>44802</v>
      </c>
      <c r="I1358" t="s">
        <v>167</v>
      </c>
      <c r="J1358" t="s">
        <v>186</v>
      </c>
      <c r="L1358" t="s">
        <v>147</v>
      </c>
      <c r="M1358" t="s">
        <v>26</v>
      </c>
    </row>
    <row r="1359" spans="1:13" x14ac:dyDescent="0.3">
      <c r="A1359" t="str">
        <f>HYPERLINK("https://hsdes.intel.com/resource/14013175419","14013175419")</f>
        <v>14013175419</v>
      </c>
      <c r="B1359" t="s">
        <v>2985</v>
      </c>
      <c r="C1359" t="s">
        <v>2866</v>
      </c>
      <c r="D1359" t="s">
        <v>2986</v>
      </c>
      <c r="E1359" t="s">
        <v>14</v>
      </c>
      <c r="G1359" t="s">
        <v>2868</v>
      </c>
      <c r="H1359" s="4">
        <v>44784</v>
      </c>
      <c r="I1359" t="s">
        <v>167</v>
      </c>
      <c r="J1359" t="s">
        <v>151</v>
      </c>
      <c r="L1359" t="s">
        <v>147</v>
      </c>
      <c r="M1359" t="s">
        <v>26</v>
      </c>
    </row>
    <row r="1360" spans="1:13" x14ac:dyDescent="0.3">
      <c r="A1360" t="str">
        <f>HYPERLINK("https://hsdes.intel.com/resource/14013176172","14013176172")</f>
        <v>14013176172</v>
      </c>
      <c r="B1360" t="s">
        <v>2987</v>
      </c>
      <c r="C1360" t="s">
        <v>2866</v>
      </c>
      <c r="D1360" t="s">
        <v>2988</v>
      </c>
      <c r="E1360" t="s">
        <v>612</v>
      </c>
      <c r="F1360" s="13" t="s">
        <v>2877</v>
      </c>
      <c r="G1360" t="s">
        <v>2868</v>
      </c>
      <c r="I1360" t="s">
        <v>48</v>
      </c>
      <c r="J1360" t="s">
        <v>151</v>
      </c>
      <c r="L1360" t="s">
        <v>152</v>
      </c>
      <c r="M1360" t="s">
        <v>26</v>
      </c>
    </row>
    <row r="1361" spans="1:13" x14ac:dyDescent="0.3">
      <c r="A1361" t="str">
        <f>HYPERLINK("https://hsdes.intel.com/resource/14013176269","14013176269")</f>
        <v>14013176269</v>
      </c>
      <c r="B1361" t="s">
        <v>2989</v>
      </c>
      <c r="C1361" t="s">
        <v>2866</v>
      </c>
      <c r="D1361" t="s">
        <v>2990</v>
      </c>
      <c r="E1361" t="s">
        <v>14</v>
      </c>
      <c r="G1361" t="s">
        <v>2868</v>
      </c>
      <c r="H1361" s="4">
        <v>44784</v>
      </c>
      <c r="I1361" t="s">
        <v>167</v>
      </c>
      <c r="J1361" t="s">
        <v>168</v>
      </c>
      <c r="L1361" t="s">
        <v>147</v>
      </c>
      <c r="M1361" t="s">
        <v>26</v>
      </c>
    </row>
    <row r="1362" spans="1:13" x14ac:dyDescent="0.3">
      <c r="A1362" t="str">
        <f>HYPERLINK("https://hsdes.intel.com/resource/14013178043","14013178043")</f>
        <v>14013178043</v>
      </c>
      <c r="B1362" t="s">
        <v>2991</v>
      </c>
      <c r="C1362" t="s">
        <v>2866</v>
      </c>
      <c r="D1362" t="s">
        <v>2992</v>
      </c>
      <c r="E1362" t="s">
        <v>612</v>
      </c>
      <c r="F1362" s="13" t="s">
        <v>2877</v>
      </c>
      <c r="G1362" t="s">
        <v>2868</v>
      </c>
      <c r="I1362" t="s">
        <v>48</v>
      </c>
      <c r="J1362" t="s">
        <v>151</v>
      </c>
      <c r="L1362" t="s">
        <v>152</v>
      </c>
      <c r="M1362" t="s">
        <v>22</v>
      </c>
    </row>
    <row r="1363" spans="1:13" x14ac:dyDescent="0.3">
      <c r="A1363" t="str">
        <f>HYPERLINK("https://hsdes.intel.com/resource/14013178933","14013178933")</f>
        <v>14013178933</v>
      </c>
      <c r="B1363" t="s">
        <v>2993</v>
      </c>
      <c r="C1363" t="s">
        <v>2866</v>
      </c>
      <c r="D1363" t="s">
        <v>2994</v>
      </c>
      <c r="E1363" t="s">
        <v>14</v>
      </c>
      <c r="F1363" t="s">
        <v>160</v>
      </c>
      <c r="G1363" t="s">
        <v>69</v>
      </c>
      <c r="I1363" t="s">
        <v>167</v>
      </c>
      <c r="J1363" t="s">
        <v>168</v>
      </c>
      <c r="L1363" t="s">
        <v>147</v>
      </c>
      <c r="M1363" t="s">
        <v>22</v>
      </c>
    </row>
    <row r="1364" spans="1:13" x14ac:dyDescent="0.3">
      <c r="A1364" t="str">
        <f>HYPERLINK("https://hsdes.intel.com/resource/14013178938","14013178938")</f>
        <v>14013178938</v>
      </c>
      <c r="B1364" t="s">
        <v>2995</v>
      </c>
      <c r="C1364" t="s">
        <v>2866</v>
      </c>
      <c r="D1364" t="s">
        <v>2996</v>
      </c>
      <c r="E1364" t="s">
        <v>14</v>
      </c>
      <c r="F1364" t="s">
        <v>160</v>
      </c>
      <c r="G1364" t="s">
        <v>69</v>
      </c>
      <c r="I1364" t="s">
        <v>167</v>
      </c>
      <c r="J1364" t="s">
        <v>168</v>
      </c>
      <c r="L1364" t="s">
        <v>147</v>
      </c>
      <c r="M1364" t="s">
        <v>26</v>
      </c>
    </row>
    <row r="1365" spans="1:13" x14ac:dyDescent="0.3">
      <c r="A1365" t="str">
        <f>HYPERLINK("https://hsdes.intel.com/resource/14013178942","14013178942")</f>
        <v>14013178942</v>
      </c>
      <c r="B1365" t="s">
        <v>2997</v>
      </c>
      <c r="C1365" t="s">
        <v>2866</v>
      </c>
      <c r="D1365" t="s">
        <v>2998</v>
      </c>
      <c r="E1365" t="s">
        <v>14</v>
      </c>
      <c r="F1365" t="s">
        <v>160</v>
      </c>
      <c r="G1365" t="s">
        <v>69</v>
      </c>
      <c r="I1365" t="s">
        <v>167</v>
      </c>
      <c r="J1365" t="s">
        <v>168</v>
      </c>
      <c r="L1365" t="s">
        <v>147</v>
      </c>
      <c r="M1365" t="s">
        <v>26</v>
      </c>
    </row>
    <row r="1366" spans="1:13" x14ac:dyDescent="0.3">
      <c r="A1366" t="str">
        <f>HYPERLINK("https://hsdes.intel.com/resource/14013179135","14013179135")</f>
        <v>14013179135</v>
      </c>
      <c r="B1366" t="s">
        <v>2999</v>
      </c>
      <c r="C1366" t="s">
        <v>2866</v>
      </c>
      <c r="D1366" t="s">
        <v>3000</v>
      </c>
      <c r="E1366" t="s">
        <v>14</v>
      </c>
      <c r="G1366" t="s">
        <v>2868</v>
      </c>
      <c r="H1366" s="4">
        <v>44784</v>
      </c>
      <c r="I1366" t="s">
        <v>167</v>
      </c>
      <c r="J1366" t="s">
        <v>151</v>
      </c>
      <c r="L1366" t="s">
        <v>147</v>
      </c>
      <c r="M1366" t="s">
        <v>26</v>
      </c>
    </row>
    <row r="1367" spans="1:13" x14ac:dyDescent="0.3">
      <c r="A1367" t="str">
        <f>HYPERLINK("https://hsdes.intel.com/resource/14013179137","14013179137")</f>
        <v>14013179137</v>
      </c>
      <c r="B1367" t="s">
        <v>3001</v>
      </c>
      <c r="C1367" t="s">
        <v>2866</v>
      </c>
      <c r="D1367" t="s">
        <v>3002</v>
      </c>
      <c r="E1367" t="s">
        <v>14</v>
      </c>
      <c r="F1367" t="s">
        <v>160</v>
      </c>
      <c r="G1367" t="s">
        <v>69</v>
      </c>
      <c r="I1367" t="s">
        <v>167</v>
      </c>
      <c r="J1367" t="s">
        <v>168</v>
      </c>
      <c r="L1367" t="s">
        <v>147</v>
      </c>
      <c r="M1367" t="s">
        <v>26</v>
      </c>
    </row>
    <row r="1368" spans="1:13" x14ac:dyDescent="0.3">
      <c r="A1368" t="str">
        <f>HYPERLINK("https://hsdes.intel.com/resource/14013184885","14013184885")</f>
        <v>14013184885</v>
      </c>
      <c r="B1368" t="s">
        <v>3003</v>
      </c>
      <c r="C1368" t="s">
        <v>2866</v>
      </c>
      <c r="D1368" t="s">
        <v>3004</v>
      </c>
      <c r="E1368" t="s">
        <v>14</v>
      </c>
      <c r="G1368" t="s">
        <v>2868</v>
      </c>
      <c r="H1368" s="4">
        <v>44784</v>
      </c>
      <c r="I1368" t="s">
        <v>167</v>
      </c>
      <c r="J1368" t="s">
        <v>2063</v>
      </c>
      <c r="L1368" t="s">
        <v>147</v>
      </c>
      <c r="M1368" t="s">
        <v>26</v>
      </c>
    </row>
    <row r="1369" spans="1:13" x14ac:dyDescent="0.3">
      <c r="A1369" t="str">
        <f>HYPERLINK("https://hsdes.intel.com/resource/14013184965","14013184965")</f>
        <v>14013184965</v>
      </c>
      <c r="B1369" t="s">
        <v>3005</v>
      </c>
      <c r="C1369" t="s">
        <v>2866</v>
      </c>
      <c r="D1369" t="s">
        <v>3006</v>
      </c>
      <c r="E1369" t="s">
        <v>14</v>
      </c>
      <c r="G1369" t="s">
        <v>2868</v>
      </c>
      <c r="H1369" s="4">
        <v>44791</v>
      </c>
      <c r="I1369" t="s">
        <v>167</v>
      </c>
      <c r="J1369" t="s">
        <v>2063</v>
      </c>
      <c r="L1369" t="s">
        <v>147</v>
      </c>
      <c r="M1369" t="s">
        <v>26</v>
      </c>
    </row>
    <row r="1370" spans="1:13" x14ac:dyDescent="0.3">
      <c r="A1370" t="str">
        <f>HYPERLINK("https://hsdes.intel.com/resource/14013185495","14013185495")</f>
        <v>14013185495</v>
      </c>
      <c r="B1370" t="s">
        <v>3007</v>
      </c>
      <c r="C1370" t="s">
        <v>2866</v>
      </c>
      <c r="D1370" t="s">
        <v>3008</v>
      </c>
      <c r="E1370" t="s">
        <v>14</v>
      </c>
      <c r="F1370" t="s">
        <v>2984</v>
      </c>
      <c r="G1370" t="s">
        <v>43</v>
      </c>
      <c r="H1370" s="2">
        <v>44802</v>
      </c>
      <c r="I1370" t="s">
        <v>167</v>
      </c>
      <c r="J1370" t="s">
        <v>186</v>
      </c>
      <c r="L1370" t="s">
        <v>147</v>
      </c>
      <c r="M1370" t="s">
        <v>26</v>
      </c>
    </row>
    <row r="1371" spans="1:13" x14ac:dyDescent="0.3">
      <c r="A1371" t="str">
        <f>HYPERLINK("https://hsdes.intel.com/resource/16012367017","16012367017")</f>
        <v>16012367017</v>
      </c>
      <c r="B1371" t="s">
        <v>3009</v>
      </c>
      <c r="C1371" t="s">
        <v>2866</v>
      </c>
      <c r="D1371" t="s">
        <v>3010</v>
      </c>
      <c r="E1371" t="s">
        <v>120</v>
      </c>
      <c r="F1371" t="s">
        <v>3011</v>
      </c>
      <c r="G1371" t="s">
        <v>2868</v>
      </c>
      <c r="I1371" t="s">
        <v>167</v>
      </c>
      <c r="J1371" t="s">
        <v>151</v>
      </c>
      <c r="L1371" t="s">
        <v>147</v>
      </c>
      <c r="M1371" t="s">
        <v>26</v>
      </c>
    </row>
    <row r="1372" spans="1:13" x14ac:dyDescent="0.3">
      <c r="A1372" t="str">
        <f>HYPERLINK("https://hsdes.intel.com/resource/16013826362","16013826362")</f>
        <v>16013826362</v>
      </c>
      <c r="B1372" t="s">
        <v>3012</v>
      </c>
      <c r="C1372" t="s">
        <v>2866</v>
      </c>
      <c r="D1372" t="s">
        <v>3013</v>
      </c>
      <c r="E1372" t="s">
        <v>97</v>
      </c>
      <c r="F1372" t="s">
        <v>3014</v>
      </c>
      <c r="G1372" t="s">
        <v>2868</v>
      </c>
      <c r="H1372" s="2">
        <v>44802</v>
      </c>
      <c r="I1372" t="s">
        <v>167</v>
      </c>
      <c r="J1372" t="s">
        <v>186</v>
      </c>
      <c r="L1372" t="s">
        <v>147</v>
      </c>
      <c r="M1372" t="s">
        <v>26</v>
      </c>
    </row>
    <row r="1373" spans="1:13" x14ac:dyDescent="0.3">
      <c r="A1373" t="str">
        <f>HYPERLINK("https://hsdes.intel.com/resource/16014777355","16014777355")</f>
        <v>16014777355</v>
      </c>
      <c r="B1373" t="s">
        <v>3015</v>
      </c>
      <c r="C1373" t="s">
        <v>2866</v>
      </c>
      <c r="D1373" t="s">
        <v>2752</v>
      </c>
      <c r="E1373" t="s">
        <v>14</v>
      </c>
      <c r="F1373" t="s">
        <v>160</v>
      </c>
      <c r="G1373" t="s">
        <v>69</v>
      </c>
      <c r="I1373" t="s">
        <v>167</v>
      </c>
      <c r="J1373" t="s">
        <v>168</v>
      </c>
      <c r="L1373" t="s">
        <v>147</v>
      </c>
      <c r="M1373" t="s">
        <v>26</v>
      </c>
    </row>
    <row r="1374" spans="1:13" x14ac:dyDescent="0.3">
      <c r="A1374" t="str">
        <f>HYPERLINK("https://hsdes.intel.com/resource/16014841945","16014841945")</f>
        <v>16014841945</v>
      </c>
      <c r="B1374" t="s">
        <v>3016</v>
      </c>
      <c r="C1374" t="s">
        <v>2866</v>
      </c>
      <c r="D1374" t="s">
        <v>3013</v>
      </c>
      <c r="E1374" t="s">
        <v>97</v>
      </c>
      <c r="F1374" t="s">
        <v>3017</v>
      </c>
      <c r="G1374" t="s">
        <v>2868</v>
      </c>
      <c r="H1374" s="2">
        <v>44802</v>
      </c>
      <c r="I1374" t="s">
        <v>167</v>
      </c>
      <c r="J1374" t="s">
        <v>186</v>
      </c>
      <c r="L1374" t="s">
        <v>147</v>
      </c>
      <c r="M1374" t="s">
        <v>26</v>
      </c>
    </row>
    <row r="1375" spans="1:13" x14ac:dyDescent="0.3">
      <c r="A1375" t="str">
        <f>HYPERLINK("https://hsdes.intel.com/resource/16015067899","16015067899")</f>
        <v>16015067899</v>
      </c>
      <c r="B1375" t="s">
        <v>3018</v>
      </c>
      <c r="C1375" t="s">
        <v>2866</v>
      </c>
      <c r="D1375" t="s">
        <v>2752</v>
      </c>
      <c r="E1375" t="s">
        <v>14</v>
      </c>
      <c r="F1375" t="s">
        <v>160</v>
      </c>
      <c r="G1375" t="s">
        <v>69</v>
      </c>
      <c r="I1375" t="s">
        <v>167</v>
      </c>
      <c r="J1375" t="s">
        <v>168</v>
      </c>
      <c r="L1375" t="s">
        <v>147</v>
      </c>
      <c r="M1375" t="s">
        <v>26</v>
      </c>
    </row>
    <row r="1376" spans="1:13" x14ac:dyDescent="0.3">
      <c r="A1376" t="str">
        <f>HYPERLINK("https://hsdes.intel.com/resource/16015168939","16015168939")</f>
        <v>16015168939</v>
      </c>
      <c r="B1376" t="s">
        <v>3019</v>
      </c>
      <c r="C1376" t="s">
        <v>2866</v>
      </c>
      <c r="D1376" t="s">
        <v>2695</v>
      </c>
      <c r="E1376" t="s">
        <v>120</v>
      </c>
      <c r="F1376" t="s">
        <v>3020</v>
      </c>
      <c r="G1376" t="s">
        <v>2868</v>
      </c>
      <c r="I1376" t="s">
        <v>167</v>
      </c>
      <c r="J1376" t="s">
        <v>2697</v>
      </c>
      <c r="L1376" t="s">
        <v>147</v>
      </c>
      <c r="M1376" t="s">
        <v>26</v>
      </c>
    </row>
    <row r="1377" spans="1:18" x14ac:dyDescent="0.3">
      <c r="A1377" t="str">
        <f>HYPERLINK("https://hsdes.intel.com/resource/16015170462","16015170462")</f>
        <v>16015170462</v>
      </c>
      <c r="B1377" t="s">
        <v>3021</v>
      </c>
      <c r="C1377" t="s">
        <v>2866</v>
      </c>
      <c r="E1377" t="s">
        <v>14</v>
      </c>
      <c r="G1377" t="s">
        <v>2868</v>
      </c>
      <c r="H1377" s="4">
        <v>44791</v>
      </c>
      <c r="I1377" t="s">
        <v>16</v>
      </c>
      <c r="J1377" t="s">
        <v>77</v>
      </c>
      <c r="L1377" t="s">
        <v>78</v>
      </c>
      <c r="M1377" t="s">
        <v>26</v>
      </c>
    </row>
    <row r="1378" spans="1:18" x14ac:dyDescent="0.3">
      <c r="A1378" t="str">
        <f>HYPERLINK("https://hsdes.intel.com/resource/22011834358","22011834358")</f>
        <v>22011834358</v>
      </c>
      <c r="B1378" t="s">
        <v>3022</v>
      </c>
      <c r="C1378" t="s">
        <v>2866</v>
      </c>
      <c r="D1378" t="s">
        <v>3023</v>
      </c>
      <c r="E1378" t="s">
        <v>14</v>
      </c>
      <c r="G1378" t="s">
        <v>2868</v>
      </c>
      <c r="H1378" s="4">
        <v>44784</v>
      </c>
      <c r="I1378" t="s">
        <v>64</v>
      </c>
      <c r="J1378" t="s">
        <v>191</v>
      </c>
      <c r="L1378" t="s">
        <v>192</v>
      </c>
      <c r="M1378" t="s">
        <v>22</v>
      </c>
    </row>
    <row r="1379" spans="1:18" x14ac:dyDescent="0.3">
      <c r="A1379" t="str">
        <f>HYPERLINK("https://hsdes.intel.com/resource/14013114989","14013114989")</f>
        <v>14013114989</v>
      </c>
      <c r="B1379" t="s">
        <v>2865</v>
      </c>
      <c r="C1379" t="s">
        <v>3024</v>
      </c>
      <c r="D1379" t="s">
        <v>2867</v>
      </c>
      <c r="E1379" t="s">
        <v>14</v>
      </c>
      <c r="G1379" t="s">
        <v>111</v>
      </c>
      <c r="H1379" s="2">
        <v>44785</v>
      </c>
      <c r="I1379" t="s">
        <v>16</v>
      </c>
      <c r="J1379" t="s">
        <v>77</v>
      </c>
      <c r="L1379" t="s">
        <v>157</v>
      </c>
      <c r="M1379" t="s">
        <v>26</v>
      </c>
      <c r="R1379" t="s">
        <v>3025</v>
      </c>
    </row>
    <row r="1380" spans="1:18" x14ac:dyDescent="0.3">
      <c r="A1380" t="str">
        <f>HYPERLINK("https://hsdes.intel.com/resource/14013115011","14013115011")</f>
        <v>14013115011</v>
      </c>
      <c r="B1380" t="s">
        <v>2869</v>
      </c>
      <c r="C1380" t="s">
        <v>3024</v>
      </c>
      <c r="D1380" t="s">
        <v>2870</v>
      </c>
      <c r="E1380" t="s">
        <v>14</v>
      </c>
      <c r="G1380" t="s">
        <v>111</v>
      </c>
      <c r="H1380" s="2">
        <v>44785</v>
      </c>
      <c r="I1380" t="s">
        <v>16</v>
      </c>
      <c r="J1380" t="s">
        <v>17</v>
      </c>
      <c r="L1380" t="s">
        <v>18</v>
      </c>
      <c r="M1380" t="s">
        <v>19</v>
      </c>
      <c r="R1380" t="s">
        <v>3025</v>
      </c>
    </row>
    <row r="1381" spans="1:18" x14ac:dyDescent="0.3">
      <c r="A1381" t="str">
        <f>HYPERLINK("https://hsdes.intel.com/resource/14013115043","14013115043")</f>
        <v>14013115043</v>
      </c>
      <c r="B1381" t="s">
        <v>2871</v>
      </c>
      <c r="C1381" t="s">
        <v>3024</v>
      </c>
      <c r="D1381" t="s">
        <v>2872</v>
      </c>
      <c r="E1381" t="s">
        <v>14</v>
      </c>
      <c r="G1381" t="s">
        <v>111</v>
      </c>
      <c r="H1381" s="2">
        <v>44785</v>
      </c>
      <c r="I1381" t="s">
        <v>16</v>
      </c>
      <c r="J1381" t="s">
        <v>77</v>
      </c>
      <c r="L1381" t="s">
        <v>157</v>
      </c>
      <c r="M1381" t="s">
        <v>22</v>
      </c>
      <c r="R1381" t="s">
        <v>3025</v>
      </c>
    </row>
    <row r="1382" spans="1:18" x14ac:dyDescent="0.3">
      <c r="A1382" t="str">
        <f>HYPERLINK("https://hsdes.intel.com/resource/14013119145","14013119145")</f>
        <v>14013119145</v>
      </c>
      <c r="B1382" t="s">
        <v>2873</v>
      </c>
      <c r="C1382" t="s">
        <v>3024</v>
      </c>
      <c r="D1382" t="s">
        <v>2874</v>
      </c>
      <c r="E1382" t="s">
        <v>14</v>
      </c>
      <c r="G1382" t="s">
        <v>111</v>
      </c>
      <c r="H1382" s="2">
        <v>44785</v>
      </c>
      <c r="I1382" t="s">
        <v>16</v>
      </c>
      <c r="J1382" t="s">
        <v>77</v>
      </c>
      <c r="L1382" t="s">
        <v>157</v>
      </c>
      <c r="M1382" t="s">
        <v>26</v>
      </c>
      <c r="R1382" t="s">
        <v>3025</v>
      </c>
    </row>
    <row r="1383" spans="1:18" x14ac:dyDescent="0.3">
      <c r="A1383" t="str">
        <f>HYPERLINK("https://hsdes.intel.com/resource/14013119215","14013119215")</f>
        <v>14013119215</v>
      </c>
      <c r="B1383" t="s">
        <v>2875</v>
      </c>
      <c r="C1383" t="s">
        <v>3024</v>
      </c>
      <c r="D1383" t="s">
        <v>2876</v>
      </c>
      <c r="E1383" t="s">
        <v>14</v>
      </c>
      <c r="F1383" t="s">
        <v>3026</v>
      </c>
      <c r="G1383" t="s">
        <v>111</v>
      </c>
      <c r="H1383" s="2">
        <v>44800</v>
      </c>
      <c r="I1383" t="s">
        <v>48</v>
      </c>
      <c r="J1383" t="s">
        <v>151</v>
      </c>
      <c r="L1383" t="s">
        <v>152</v>
      </c>
      <c r="M1383" t="s">
        <v>26</v>
      </c>
      <c r="R1383" t="s">
        <v>3027</v>
      </c>
    </row>
    <row r="1384" spans="1:18" x14ac:dyDescent="0.3">
      <c r="A1384" t="str">
        <f>HYPERLINK("https://hsdes.intel.com/resource/14013158232","14013158232")</f>
        <v>14013158232</v>
      </c>
      <c r="B1384" t="s">
        <v>2878</v>
      </c>
      <c r="C1384" t="s">
        <v>3024</v>
      </c>
      <c r="D1384" t="s">
        <v>2879</v>
      </c>
      <c r="E1384" t="s">
        <v>14</v>
      </c>
      <c r="G1384" t="s">
        <v>111</v>
      </c>
      <c r="H1384" s="2">
        <v>44783</v>
      </c>
      <c r="I1384" t="s">
        <v>167</v>
      </c>
      <c r="J1384" t="s">
        <v>151</v>
      </c>
      <c r="L1384" t="s">
        <v>147</v>
      </c>
      <c r="M1384" t="s">
        <v>26</v>
      </c>
      <c r="R1384" t="s">
        <v>3028</v>
      </c>
    </row>
    <row r="1385" spans="1:18" x14ac:dyDescent="0.3">
      <c r="A1385" t="str">
        <f>HYPERLINK("https://hsdes.intel.com/resource/14013158240","14013158240")</f>
        <v>14013158240</v>
      </c>
      <c r="B1385" t="s">
        <v>2880</v>
      </c>
      <c r="C1385" t="s">
        <v>3024</v>
      </c>
      <c r="D1385" t="s">
        <v>2881</v>
      </c>
      <c r="E1385" t="s">
        <v>14</v>
      </c>
      <c r="G1385" t="s">
        <v>111</v>
      </c>
      <c r="H1385" s="2">
        <v>44783</v>
      </c>
      <c r="I1385" t="s">
        <v>167</v>
      </c>
      <c r="J1385" t="s">
        <v>151</v>
      </c>
      <c r="L1385" t="s">
        <v>147</v>
      </c>
      <c r="M1385" t="s">
        <v>26</v>
      </c>
      <c r="R1385" t="s">
        <v>3029</v>
      </c>
    </row>
    <row r="1386" spans="1:18" x14ac:dyDescent="0.3">
      <c r="A1386" t="str">
        <f>HYPERLINK("https://hsdes.intel.com/resource/14013158295","14013158295")</f>
        <v>14013158295</v>
      </c>
      <c r="B1386" t="s">
        <v>2882</v>
      </c>
      <c r="C1386" t="s">
        <v>3024</v>
      </c>
      <c r="D1386" t="s">
        <v>2883</v>
      </c>
      <c r="E1386" t="s">
        <v>14</v>
      </c>
      <c r="G1386" t="s">
        <v>111</v>
      </c>
      <c r="H1386" s="2">
        <v>44785</v>
      </c>
      <c r="I1386" t="s">
        <v>16</v>
      </c>
      <c r="J1386" t="s">
        <v>439</v>
      </c>
      <c r="L1386" t="s">
        <v>157</v>
      </c>
      <c r="M1386" t="s">
        <v>19</v>
      </c>
      <c r="R1386" t="s">
        <v>3030</v>
      </c>
    </row>
    <row r="1387" spans="1:18" x14ac:dyDescent="0.3">
      <c r="A1387" t="str">
        <f>HYPERLINK("https://hsdes.intel.com/resource/14013158397","14013158397")</f>
        <v>14013158397</v>
      </c>
      <c r="B1387" t="s">
        <v>2884</v>
      </c>
      <c r="C1387" t="s">
        <v>3024</v>
      </c>
      <c r="D1387" t="s">
        <v>2885</v>
      </c>
      <c r="E1387" t="s">
        <v>14</v>
      </c>
      <c r="G1387" t="s">
        <v>111</v>
      </c>
      <c r="H1387" s="2">
        <v>44785</v>
      </c>
      <c r="I1387" t="s">
        <v>16</v>
      </c>
      <c r="J1387" t="s">
        <v>82</v>
      </c>
      <c r="L1387" t="s">
        <v>157</v>
      </c>
      <c r="M1387" t="s">
        <v>26</v>
      </c>
      <c r="R1387" t="s">
        <v>3031</v>
      </c>
    </row>
    <row r="1388" spans="1:18" x14ac:dyDescent="0.3">
      <c r="A1388" t="str">
        <f>HYPERLINK("https://hsdes.intel.com/resource/14013158827","14013158827")</f>
        <v>14013158827</v>
      </c>
      <c r="B1388" t="s">
        <v>2886</v>
      </c>
      <c r="C1388" t="s">
        <v>3024</v>
      </c>
      <c r="D1388" t="s">
        <v>2887</v>
      </c>
      <c r="E1388" t="s">
        <v>14</v>
      </c>
      <c r="G1388" t="s">
        <v>111</v>
      </c>
      <c r="H1388" s="2">
        <v>44789</v>
      </c>
      <c r="I1388" t="s">
        <v>16</v>
      </c>
      <c r="J1388" t="s">
        <v>17</v>
      </c>
      <c r="L1388" t="s">
        <v>18</v>
      </c>
      <c r="M1388" t="s">
        <v>19</v>
      </c>
      <c r="R1388" t="s">
        <v>3032</v>
      </c>
    </row>
    <row r="1389" spans="1:18" x14ac:dyDescent="0.3">
      <c r="A1389" t="str">
        <f>HYPERLINK("https://hsdes.intel.com/resource/14013158828","14013158828")</f>
        <v>14013158828</v>
      </c>
      <c r="B1389" t="s">
        <v>2889</v>
      </c>
      <c r="C1389" t="s">
        <v>3024</v>
      </c>
      <c r="D1389" t="s">
        <v>2890</v>
      </c>
      <c r="E1389" t="s">
        <v>14</v>
      </c>
      <c r="G1389" t="s">
        <v>111</v>
      </c>
      <c r="H1389" s="2">
        <v>44789</v>
      </c>
      <c r="I1389" t="s">
        <v>16</v>
      </c>
      <c r="J1389" t="s">
        <v>17</v>
      </c>
      <c r="L1389" t="s">
        <v>18</v>
      </c>
      <c r="M1389" t="s">
        <v>19</v>
      </c>
      <c r="R1389" t="s">
        <v>3033</v>
      </c>
    </row>
    <row r="1390" spans="1:18" x14ac:dyDescent="0.3">
      <c r="A1390" t="str">
        <f>HYPERLINK("https://hsdes.intel.com/resource/14013158830","14013158830")</f>
        <v>14013158830</v>
      </c>
      <c r="B1390" t="s">
        <v>2891</v>
      </c>
      <c r="C1390" t="s">
        <v>3024</v>
      </c>
      <c r="D1390" t="s">
        <v>2892</v>
      </c>
      <c r="E1390" t="s">
        <v>14</v>
      </c>
      <c r="G1390" t="s">
        <v>111</v>
      </c>
      <c r="H1390" s="2">
        <v>44789</v>
      </c>
      <c r="I1390" t="s">
        <v>16</v>
      </c>
      <c r="J1390" t="s">
        <v>17</v>
      </c>
      <c r="L1390" t="s">
        <v>18</v>
      </c>
      <c r="M1390" t="s">
        <v>19</v>
      </c>
      <c r="R1390" t="s">
        <v>3032</v>
      </c>
    </row>
    <row r="1391" spans="1:18" x14ac:dyDescent="0.3">
      <c r="A1391" t="str">
        <f>HYPERLINK("https://hsdes.intel.com/resource/14013158971","14013158971")</f>
        <v>14013158971</v>
      </c>
      <c r="B1391" t="s">
        <v>2893</v>
      </c>
      <c r="C1391" t="s">
        <v>3024</v>
      </c>
      <c r="D1391" t="s">
        <v>2894</v>
      </c>
      <c r="E1391" t="s">
        <v>14</v>
      </c>
      <c r="F1391" t="s">
        <v>3026</v>
      </c>
      <c r="G1391" t="s">
        <v>111</v>
      </c>
      <c r="H1391" s="2">
        <v>44800</v>
      </c>
      <c r="I1391" t="s">
        <v>48</v>
      </c>
      <c r="J1391" t="s">
        <v>151</v>
      </c>
      <c r="L1391" t="s">
        <v>152</v>
      </c>
      <c r="M1391" t="s">
        <v>26</v>
      </c>
      <c r="R1391" t="s">
        <v>3034</v>
      </c>
    </row>
    <row r="1392" spans="1:18" x14ac:dyDescent="0.3">
      <c r="A1392" t="str">
        <f>HYPERLINK("https://hsdes.intel.com/resource/14013159097","14013159097")</f>
        <v>14013159097</v>
      </c>
      <c r="B1392" t="s">
        <v>2895</v>
      </c>
      <c r="C1392" t="s">
        <v>3024</v>
      </c>
      <c r="D1392" t="s">
        <v>2896</v>
      </c>
      <c r="E1392" t="s">
        <v>14</v>
      </c>
      <c r="G1392" t="s">
        <v>111</v>
      </c>
      <c r="H1392" s="2">
        <v>44785</v>
      </c>
      <c r="I1392" t="s">
        <v>16</v>
      </c>
      <c r="J1392" t="s">
        <v>17</v>
      </c>
      <c r="L1392" t="s">
        <v>18</v>
      </c>
      <c r="M1392" t="s">
        <v>22</v>
      </c>
      <c r="R1392" t="s">
        <v>3035</v>
      </c>
    </row>
    <row r="1393" spans="1:18" x14ac:dyDescent="0.3">
      <c r="A1393" t="str">
        <f>HYPERLINK("https://hsdes.intel.com/resource/14013159119","14013159119")</f>
        <v>14013159119</v>
      </c>
      <c r="B1393" t="s">
        <v>2897</v>
      </c>
      <c r="C1393" t="s">
        <v>3024</v>
      </c>
      <c r="D1393" t="s">
        <v>2898</v>
      </c>
      <c r="E1393" t="s">
        <v>14</v>
      </c>
      <c r="G1393" t="s">
        <v>111</v>
      </c>
      <c r="H1393" s="2">
        <v>44785</v>
      </c>
      <c r="I1393" t="s">
        <v>16</v>
      </c>
      <c r="J1393" t="s">
        <v>17</v>
      </c>
      <c r="L1393" t="s">
        <v>18</v>
      </c>
      <c r="M1393" t="s">
        <v>19</v>
      </c>
      <c r="R1393" t="s">
        <v>3036</v>
      </c>
    </row>
    <row r="1394" spans="1:18" x14ac:dyDescent="0.3">
      <c r="A1394" t="str">
        <f>HYPERLINK("https://hsdes.intel.com/resource/14013159201","14013159201")</f>
        <v>14013159201</v>
      </c>
      <c r="B1394" t="s">
        <v>2899</v>
      </c>
      <c r="C1394" t="s">
        <v>3024</v>
      </c>
      <c r="D1394" t="s">
        <v>2900</v>
      </c>
      <c r="E1394" t="s">
        <v>14</v>
      </c>
      <c r="G1394" t="s">
        <v>111</v>
      </c>
      <c r="H1394" s="2">
        <v>44785</v>
      </c>
      <c r="I1394" t="s">
        <v>16</v>
      </c>
      <c r="J1394" t="s">
        <v>17</v>
      </c>
      <c r="L1394" t="s">
        <v>18</v>
      </c>
      <c r="M1394" t="s">
        <v>22</v>
      </c>
      <c r="R1394" t="s">
        <v>3036</v>
      </c>
    </row>
    <row r="1395" spans="1:18" x14ac:dyDescent="0.3">
      <c r="A1395" t="str">
        <f>HYPERLINK("https://hsdes.intel.com/resource/14013159224","14013159224")</f>
        <v>14013159224</v>
      </c>
      <c r="B1395" t="s">
        <v>2901</v>
      </c>
      <c r="C1395" t="s">
        <v>3024</v>
      </c>
      <c r="D1395" t="s">
        <v>2902</v>
      </c>
      <c r="E1395" t="s">
        <v>14</v>
      </c>
      <c r="G1395" t="s">
        <v>111</v>
      </c>
      <c r="H1395" s="2">
        <v>44785</v>
      </c>
      <c r="I1395" t="s">
        <v>16</v>
      </c>
      <c r="J1395" t="s">
        <v>17</v>
      </c>
      <c r="L1395" t="s">
        <v>18</v>
      </c>
      <c r="M1395" t="s">
        <v>22</v>
      </c>
      <c r="R1395" t="s">
        <v>3037</v>
      </c>
    </row>
    <row r="1396" spans="1:18" x14ac:dyDescent="0.3">
      <c r="A1396" t="str">
        <f>HYPERLINK("https://hsdes.intel.com/resource/14013159287","14013159287")</f>
        <v>14013159287</v>
      </c>
      <c r="B1396" t="s">
        <v>2903</v>
      </c>
      <c r="C1396" t="s">
        <v>3024</v>
      </c>
      <c r="D1396" t="s">
        <v>2904</v>
      </c>
      <c r="E1396" t="s">
        <v>14</v>
      </c>
      <c r="G1396" t="s">
        <v>111</v>
      </c>
      <c r="H1396" s="2">
        <v>44789</v>
      </c>
      <c r="I1396" t="s">
        <v>16</v>
      </c>
      <c r="J1396" t="s">
        <v>17</v>
      </c>
      <c r="L1396" t="s">
        <v>18</v>
      </c>
      <c r="M1396" t="s">
        <v>22</v>
      </c>
      <c r="R1396" t="s">
        <v>3032</v>
      </c>
    </row>
    <row r="1397" spans="1:18" x14ac:dyDescent="0.3">
      <c r="A1397" t="str">
        <f>HYPERLINK("https://hsdes.intel.com/resource/14013160507","14013160507")</f>
        <v>14013160507</v>
      </c>
      <c r="B1397" t="s">
        <v>2905</v>
      </c>
      <c r="C1397" t="s">
        <v>3024</v>
      </c>
      <c r="D1397" t="s">
        <v>2906</v>
      </c>
      <c r="E1397" t="s">
        <v>120</v>
      </c>
      <c r="F1397" t="s">
        <v>1251</v>
      </c>
      <c r="G1397" t="s">
        <v>111</v>
      </c>
      <c r="H1397" s="2">
        <v>44784</v>
      </c>
      <c r="I1397" t="s">
        <v>48</v>
      </c>
      <c r="J1397" t="s">
        <v>1251</v>
      </c>
      <c r="L1397" t="s">
        <v>152</v>
      </c>
      <c r="M1397" t="s">
        <v>26</v>
      </c>
      <c r="R1397" t="s">
        <v>3038</v>
      </c>
    </row>
    <row r="1398" spans="1:18" x14ac:dyDescent="0.3">
      <c r="A1398" t="str">
        <f>HYPERLINK("https://hsdes.intel.com/resource/14013160511","14013160511")</f>
        <v>14013160511</v>
      </c>
      <c r="B1398" t="s">
        <v>2908</v>
      </c>
      <c r="C1398" t="s">
        <v>3024</v>
      </c>
      <c r="D1398" t="s">
        <v>2909</v>
      </c>
      <c r="E1398" t="s">
        <v>120</v>
      </c>
      <c r="F1398" t="s">
        <v>1251</v>
      </c>
      <c r="G1398" t="s">
        <v>111</v>
      </c>
      <c r="H1398" s="2">
        <v>44784</v>
      </c>
      <c r="I1398" t="s">
        <v>48</v>
      </c>
      <c r="J1398" t="s">
        <v>1251</v>
      </c>
      <c r="L1398" t="s">
        <v>152</v>
      </c>
      <c r="M1398" t="s">
        <v>26</v>
      </c>
      <c r="R1398" t="s">
        <v>3039</v>
      </c>
    </row>
    <row r="1399" spans="1:18" x14ac:dyDescent="0.3">
      <c r="A1399" t="str">
        <f>HYPERLINK("https://hsdes.intel.com/resource/14013160517","14013160517")</f>
        <v>14013160517</v>
      </c>
      <c r="B1399" t="s">
        <v>2910</v>
      </c>
      <c r="C1399" t="s">
        <v>3024</v>
      </c>
      <c r="D1399" t="s">
        <v>2911</v>
      </c>
      <c r="E1399" t="s">
        <v>120</v>
      </c>
      <c r="F1399" t="s">
        <v>1251</v>
      </c>
      <c r="G1399" t="s">
        <v>111</v>
      </c>
      <c r="H1399" s="2">
        <v>44784</v>
      </c>
      <c r="I1399" t="s">
        <v>48</v>
      </c>
      <c r="J1399" t="s">
        <v>1251</v>
      </c>
      <c r="L1399" t="s">
        <v>152</v>
      </c>
      <c r="M1399" t="s">
        <v>26</v>
      </c>
      <c r="R1399" t="s">
        <v>3039</v>
      </c>
    </row>
    <row r="1400" spans="1:18" x14ac:dyDescent="0.3">
      <c r="A1400" t="str">
        <f>HYPERLINK("https://hsdes.intel.com/resource/14013160580","14013160580")</f>
        <v>14013160580</v>
      </c>
      <c r="B1400" t="s">
        <v>2912</v>
      </c>
      <c r="C1400" t="s">
        <v>3024</v>
      </c>
      <c r="D1400" t="s">
        <v>2913</v>
      </c>
      <c r="E1400" t="s">
        <v>14</v>
      </c>
      <c r="G1400" t="s">
        <v>111</v>
      </c>
      <c r="H1400" s="2">
        <v>44802</v>
      </c>
      <c r="I1400" t="s">
        <v>16</v>
      </c>
      <c r="J1400" t="s">
        <v>77</v>
      </c>
      <c r="L1400" t="s">
        <v>157</v>
      </c>
      <c r="M1400" t="s">
        <v>19</v>
      </c>
      <c r="R1400" t="s">
        <v>3040</v>
      </c>
    </row>
    <row r="1401" spans="1:18" x14ac:dyDescent="0.3">
      <c r="A1401" t="str">
        <f>HYPERLINK("https://hsdes.intel.com/resource/14013160596","14013160596")</f>
        <v>14013160596</v>
      </c>
      <c r="B1401" t="s">
        <v>2914</v>
      </c>
      <c r="C1401" t="s">
        <v>3024</v>
      </c>
      <c r="D1401" t="s">
        <v>2915</v>
      </c>
      <c r="E1401" t="s">
        <v>2916</v>
      </c>
      <c r="F1401" t="s">
        <v>3457</v>
      </c>
      <c r="G1401" t="s">
        <v>111</v>
      </c>
      <c r="H1401" s="2">
        <v>44802</v>
      </c>
      <c r="I1401" t="s">
        <v>16</v>
      </c>
      <c r="J1401" t="s">
        <v>77</v>
      </c>
      <c r="L1401" t="s">
        <v>157</v>
      </c>
      <c r="M1401" t="s">
        <v>19</v>
      </c>
      <c r="R1401" t="s">
        <v>3025</v>
      </c>
    </row>
    <row r="1402" spans="1:18" x14ac:dyDescent="0.3">
      <c r="A1402" t="str">
        <f>HYPERLINK("https://hsdes.intel.com/resource/14013160724","14013160724")</f>
        <v>14013160724</v>
      </c>
      <c r="B1402" t="s">
        <v>2917</v>
      </c>
      <c r="C1402" t="s">
        <v>3024</v>
      </c>
      <c r="D1402" t="s">
        <v>2918</v>
      </c>
      <c r="E1402" t="s">
        <v>14</v>
      </c>
      <c r="G1402" t="s">
        <v>111</v>
      </c>
      <c r="H1402" s="2">
        <v>44790</v>
      </c>
      <c r="I1402" t="s">
        <v>16</v>
      </c>
      <c r="J1402" t="s">
        <v>17</v>
      </c>
      <c r="L1402" t="s">
        <v>18</v>
      </c>
      <c r="M1402" t="s">
        <v>26</v>
      </c>
      <c r="R1402" t="s">
        <v>3041</v>
      </c>
    </row>
    <row r="1403" spans="1:18" x14ac:dyDescent="0.3">
      <c r="A1403" t="str">
        <f>HYPERLINK("https://hsdes.intel.com/resource/14013161451","14013161451")</f>
        <v>14013161451</v>
      </c>
      <c r="B1403" t="s">
        <v>2919</v>
      </c>
      <c r="C1403" t="s">
        <v>3024</v>
      </c>
      <c r="D1403" t="s">
        <v>2920</v>
      </c>
      <c r="E1403" t="s">
        <v>14</v>
      </c>
      <c r="G1403" t="s">
        <v>111</v>
      </c>
      <c r="H1403" s="2">
        <v>44790</v>
      </c>
      <c r="I1403" t="s">
        <v>16</v>
      </c>
      <c r="J1403" t="s">
        <v>77</v>
      </c>
      <c r="L1403" t="s">
        <v>78</v>
      </c>
      <c r="M1403" t="s">
        <v>22</v>
      </c>
      <c r="R1403" t="s">
        <v>3042</v>
      </c>
    </row>
    <row r="1404" spans="1:18" x14ac:dyDescent="0.3">
      <c r="A1404" t="str">
        <f>HYPERLINK("https://hsdes.intel.com/resource/14013161491","14013161491")</f>
        <v>14013161491</v>
      </c>
      <c r="B1404" t="s">
        <v>3043</v>
      </c>
      <c r="C1404" t="s">
        <v>3024</v>
      </c>
      <c r="D1404" t="s">
        <v>2922</v>
      </c>
      <c r="E1404" t="s">
        <v>14</v>
      </c>
      <c r="F1404" t="s">
        <v>3026</v>
      </c>
      <c r="G1404" t="s">
        <v>111</v>
      </c>
      <c r="H1404" s="2">
        <v>44800</v>
      </c>
      <c r="I1404" t="s">
        <v>48</v>
      </c>
      <c r="J1404" t="s">
        <v>151</v>
      </c>
      <c r="L1404" t="s">
        <v>152</v>
      </c>
      <c r="M1404" t="s">
        <v>26</v>
      </c>
      <c r="R1404" t="s">
        <v>3044</v>
      </c>
    </row>
    <row r="1405" spans="1:18" x14ac:dyDescent="0.3">
      <c r="A1405" t="str">
        <f>HYPERLINK("https://hsdes.intel.com/resource/14013163326","14013163326")</f>
        <v>14013163326</v>
      </c>
      <c r="B1405" t="s">
        <v>2923</v>
      </c>
      <c r="C1405" t="s">
        <v>3024</v>
      </c>
      <c r="D1405" t="s">
        <v>2924</v>
      </c>
      <c r="E1405" t="s">
        <v>120</v>
      </c>
      <c r="F1405" t="s">
        <v>951</v>
      </c>
      <c r="G1405" t="s">
        <v>111</v>
      </c>
      <c r="H1405" s="2">
        <v>44785</v>
      </c>
      <c r="I1405" t="s">
        <v>16</v>
      </c>
      <c r="J1405" t="s">
        <v>17</v>
      </c>
      <c r="L1405" t="s">
        <v>18</v>
      </c>
      <c r="M1405" t="s">
        <v>26</v>
      </c>
      <c r="R1405" t="s">
        <v>3045</v>
      </c>
    </row>
    <row r="1406" spans="1:18" x14ac:dyDescent="0.3">
      <c r="A1406" t="str">
        <f>HYPERLINK("https://hsdes.intel.com/resource/14013163952","14013163952")</f>
        <v>14013163952</v>
      </c>
      <c r="B1406" t="s">
        <v>2925</v>
      </c>
      <c r="C1406" t="s">
        <v>3024</v>
      </c>
      <c r="D1406" t="s">
        <v>2926</v>
      </c>
      <c r="E1406" t="s">
        <v>97</v>
      </c>
      <c r="F1406" t="s">
        <v>3046</v>
      </c>
      <c r="G1406" t="s">
        <v>111</v>
      </c>
      <c r="H1406" s="2">
        <v>44800</v>
      </c>
      <c r="I1406" t="s">
        <v>48</v>
      </c>
      <c r="J1406" t="s">
        <v>151</v>
      </c>
      <c r="L1406" t="s">
        <v>152</v>
      </c>
      <c r="M1406" t="s">
        <v>26</v>
      </c>
      <c r="R1406" t="s">
        <v>3044</v>
      </c>
    </row>
    <row r="1407" spans="1:18" x14ac:dyDescent="0.3">
      <c r="A1407" t="str">
        <f>HYPERLINK("https://hsdes.intel.com/resource/14013167076","14013167076")</f>
        <v>14013167076</v>
      </c>
      <c r="B1407" t="s">
        <v>2927</v>
      </c>
      <c r="C1407" t="s">
        <v>3024</v>
      </c>
      <c r="D1407" t="s">
        <v>2928</v>
      </c>
      <c r="E1407" t="s">
        <v>120</v>
      </c>
      <c r="F1407" t="s">
        <v>3454</v>
      </c>
      <c r="G1407" t="s">
        <v>111</v>
      </c>
      <c r="H1407" s="2">
        <v>44785</v>
      </c>
      <c r="I1407" t="s">
        <v>48</v>
      </c>
      <c r="J1407" t="s">
        <v>49</v>
      </c>
      <c r="L1407" t="s">
        <v>50</v>
      </c>
      <c r="M1407" t="s">
        <v>22</v>
      </c>
      <c r="R1407" t="s">
        <v>3047</v>
      </c>
    </row>
    <row r="1408" spans="1:18" x14ac:dyDescent="0.3">
      <c r="A1408" t="str">
        <f>HYPERLINK("https://hsdes.intel.com/resource/14013167092","14013167092")</f>
        <v>14013167092</v>
      </c>
      <c r="B1408" t="s">
        <v>2931</v>
      </c>
      <c r="C1408" t="s">
        <v>3024</v>
      </c>
      <c r="D1408" t="s">
        <v>2932</v>
      </c>
      <c r="E1408" t="s">
        <v>120</v>
      </c>
      <c r="F1408" t="s">
        <v>1840</v>
      </c>
      <c r="G1408" t="s">
        <v>111</v>
      </c>
      <c r="H1408" s="2">
        <v>44785</v>
      </c>
      <c r="I1408" t="s">
        <v>48</v>
      </c>
      <c r="J1408" t="s">
        <v>49</v>
      </c>
      <c r="L1408" t="s">
        <v>50</v>
      </c>
      <c r="M1408" t="s">
        <v>22</v>
      </c>
      <c r="R1408" t="s">
        <v>3047</v>
      </c>
    </row>
    <row r="1409" spans="1:18" x14ac:dyDescent="0.3">
      <c r="A1409" t="str">
        <f>HYPERLINK("https://hsdes.intel.com/resource/14013168846","14013168846")</f>
        <v>14013168846</v>
      </c>
      <c r="B1409" t="s">
        <v>2934</v>
      </c>
      <c r="C1409" t="s">
        <v>3024</v>
      </c>
      <c r="D1409" t="s">
        <v>2935</v>
      </c>
      <c r="E1409" t="s">
        <v>14</v>
      </c>
      <c r="G1409" t="s">
        <v>111</v>
      </c>
      <c r="H1409" s="2">
        <v>44790</v>
      </c>
      <c r="I1409" t="s">
        <v>64</v>
      </c>
      <c r="J1409" t="s">
        <v>191</v>
      </c>
      <c r="L1409" t="s">
        <v>192</v>
      </c>
      <c r="M1409" t="s">
        <v>22</v>
      </c>
      <c r="R1409" t="s">
        <v>3048</v>
      </c>
    </row>
    <row r="1410" spans="1:18" x14ac:dyDescent="0.3">
      <c r="A1410" t="str">
        <f>HYPERLINK("https://hsdes.intel.com/resource/14013168950","14013168950")</f>
        <v>14013168950</v>
      </c>
      <c r="B1410" t="s">
        <v>2936</v>
      </c>
      <c r="C1410" t="s">
        <v>3024</v>
      </c>
      <c r="D1410" t="s">
        <v>2937</v>
      </c>
      <c r="E1410" t="s">
        <v>97</v>
      </c>
      <c r="F1410" t="s">
        <v>2938</v>
      </c>
      <c r="G1410" t="s">
        <v>111</v>
      </c>
      <c r="H1410" s="2">
        <v>44800</v>
      </c>
      <c r="I1410" t="s">
        <v>64</v>
      </c>
      <c r="J1410" t="s">
        <v>191</v>
      </c>
      <c r="L1410" t="s">
        <v>50</v>
      </c>
      <c r="M1410" t="s">
        <v>22</v>
      </c>
      <c r="R1410" t="s">
        <v>3049</v>
      </c>
    </row>
    <row r="1411" spans="1:18" x14ac:dyDescent="0.3">
      <c r="A1411" t="str">
        <f>HYPERLINK("https://hsdes.intel.com/resource/14013169130","14013169130")</f>
        <v>14013169130</v>
      </c>
      <c r="B1411" t="s">
        <v>2939</v>
      </c>
      <c r="C1411" t="s">
        <v>3024</v>
      </c>
      <c r="D1411" t="s">
        <v>2940</v>
      </c>
      <c r="E1411" t="s">
        <v>97</v>
      </c>
      <c r="F1411" t="s">
        <v>2938</v>
      </c>
      <c r="G1411" t="s">
        <v>111</v>
      </c>
      <c r="H1411" s="2">
        <v>44800</v>
      </c>
      <c r="I1411" t="s">
        <v>64</v>
      </c>
      <c r="J1411" t="s">
        <v>191</v>
      </c>
      <c r="L1411" t="s">
        <v>50</v>
      </c>
      <c r="M1411" t="s">
        <v>22</v>
      </c>
      <c r="R1411" t="s">
        <v>3050</v>
      </c>
    </row>
    <row r="1412" spans="1:18" x14ac:dyDescent="0.3">
      <c r="A1412" t="str">
        <f>HYPERLINK("https://hsdes.intel.com/resource/14013173241","14013173241")</f>
        <v>14013173241</v>
      </c>
      <c r="B1412" t="s">
        <v>2941</v>
      </c>
      <c r="C1412" t="s">
        <v>3024</v>
      </c>
      <c r="D1412" t="s">
        <v>2942</v>
      </c>
      <c r="E1412" t="s">
        <v>120</v>
      </c>
      <c r="F1412" t="s">
        <v>3051</v>
      </c>
      <c r="G1412" t="s">
        <v>111</v>
      </c>
      <c r="H1412" s="2">
        <v>44789</v>
      </c>
      <c r="I1412" t="s">
        <v>16</v>
      </c>
      <c r="J1412" t="s">
        <v>77</v>
      </c>
      <c r="L1412" t="s">
        <v>157</v>
      </c>
      <c r="M1412" t="s">
        <v>26</v>
      </c>
      <c r="R1412" t="s">
        <v>3052</v>
      </c>
    </row>
    <row r="1413" spans="1:18" x14ac:dyDescent="0.3">
      <c r="A1413" t="str">
        <f>HYPERLINK("https://hsdes.intel.com/resource/14013174002","14013174002")</f>
        <v>14013174002</v>
      </c>
      <c r="B1413" t="s">
        <v>2944</v>
      </c>
      <c r="C1413" t="s">
        <v>3024</v>
      </c>
      <c r="D1413" t="s">
        <v>2945</v>
      </c>
      <c r="E1413" t="s">
        <v>14</v>
      </c>
      <c r="G1413" t="s">
        <v>111</v>
      </c>
      <c r="H1413" s="2">
        <v>44783</v>
      </c>
      <c r="I1413" t="s">
        <v>167</v>
      </c>
      <c r="J1413" t="s">
        <v>151</v>
      </c>
      <c r="L1413" t="s">
        <v>147</v>
      </c>
      <c r="M1413" t="s">
        <v>22</v>
      </c>
      <c r="R1413" t="s">
        <v>3053</v>
      </c>
    </row>
    <row r="1414" spans="1:18" x14ac:dyDescent="0.3">
      <c r="A1414" t="str">
        <f>HYPERLINK("https://hsdes.intel.com/resource/14013174027","14013174027")</f>
        <v>14013174027</v>
      </c>
      <c r="B1414" t="s">
        <v>2946</v>
      </c>
      <c r="C1414" t="s">
        <v>3024</v>
      </c>
      <c r="D1414" t="s">
        <v>2947</v>
      </c>
      <c r="E1414" t="s">
        <v>14</v>
      </c>
      <c r="G1414" t="s">
        <v>111</v>
      </c>
      <c r="H1414" s="2">
        <v>44783</v>
      </c>
      <c r="I1414" t="s">
        <v>167</v>
      </c>
      <c r="J1414" t="s">
        <v>151</v>
      </c>
      <c r="L1414" t="s">
        <v>147</v>
      </c>
      <c r="M1414" t="s">
        <v>26</v>
      </c>
      <c r="R1414" t="s">
        <v>3054</v>
      </c>
    </row>
    <row r="1415" spans="1:18" x14ac:dyDescent="0.3">
      <c r="A1415" t="str">
        <f>HYPERLINK("https://hsdes.intel.com/resource/14013174046","14013174046")</f>
        <v>14013174046</v>
      </c>
      <c r="B1415" t="s">
        <v>2948</v>
      </c>
      <c r="C1415" t="s">
        <v>3024</v>
      </c>
      <c r="D1415" t="s">
        <v>2949</v>
      </c>
      <c r="E1415" t="s">
        <v>14</v>
      </c>
      <c r="G1415" t="s">
        <v>111</v>
      </c>
      <c r="H1415" s="2">
        <v>44783</v>
      </c>
      <c r="I1415" t="s">
        <v>167</v>
      </c>
      <c r="J1415" t="s">
        <v>151</v>
      </c>
      <c r="L1415" t="s">
        <v>147</v>
      </c>
      <c r="M1415" t="s">
        <v>26</v>
      </c>
      <c r="R1415" t="s">
        <v>3055</v>
      </c>
    </row>
    <row r="1416" spans="1:18" x14ac:dyDescent="0.3">
      <c r="A1416" t="str">
        <f>HYPERLINK("https://hsdes.intel.com/resource/14013174075","14013174075")</f>
        <v>14013174075</v>
      </c>
      <c r="B1416" t="s">
        <v>2950</v>
      </c>
      <c r="C1416" t="s">
        <v>3024</v>
      </c>
      <c r="D1416" t="s">
        <v>2951</v>
      </c>
      <c r="E1416" t="s">
        <v>120</v>
      </c>
      <c r="F1416" t="s">
        <v>3056</v>
      </c>
      <c r="G1416" t="s">
        <v>111</v>
      </c>
      <c r="H1416" s="2">
        <v>44789</v>
      </c>
      <c r="I1416" t="s">
        <v>167</v>
      </c>
      <c r="J1416" t="s">
        <v>186</v>
      </c>
      <c r="L1416" t="s">
        <v>147</v>
      </c>
      <c r="M1416" t="s">
        <v>26</v>
      </c>
      <c r="R1416" t="s">
        <v>3057</v>
      </c>
    </row>
    <row r="1417" spans="1:18" x14ac:dyDescent="0.3">
      <c r="A1417" t="str">
        <f>HYPERLINK("https://hsdes.intel.com/resource/14013174091","14013174091")</f>
        <v>14013174091</v>
      </c>
      <c r="B1417" t="s">
        <v>2953</v>
      </c>
      <c r="C1417" t="s">
        <v>3024</v>
      </c>
      <c r="D1417" t="s">
        <v>2954</v>
      </c>
      <c r="E1417" t="s">
        <v>120</v>
      </c>
      <c r="F1417" t="s">
        <v>3058</v>
      </c>
      <c r="G1417" t="s">
        <v>111</v>
      </c>
      <c r="H1417" s="2">
        <v>44789</v>
      </c>
      <c r="I1417" t="s">
        <v>167</v>
      </c>
      <c r="J1417" t="s">
        <v>186</v>
      </c>
      <c r="L1417" t="s">
        <v>147</v>
      </c>
      <c r="M1417" t="s">
        <v>26</v>
      </c>
      <c r="R1417" t="s">
        <v>3059</v>
      </c>
    </row>
    <row r="1418" spans="1:18" x14ac:dyDescent="0.3">
      <c r="A1418" t="str">
        <f>HYPERLINK("https://hsdes.intel.com/resource/14013174100","14013174100")</f>
        <v>14013174100</v>
      </c>
      <c r="B1418" t="s">
        <v>2955</v>
      </c>
      <c r="C1418" t="s">
        <v>3024</v>
      </c>
      <c r="D1418" t="s">
        <v>2956</v>
      </c>
      <c r="E1418" t="s">
        <v>120</v>
      </c>
      <c r="F1418" t="s">
        <v>3056</v>
      </c>
      <c r="G1418" t="s">
        <v>111</v>
      </c>
      <c r="H1418" s="2">
        <v>44789</v>
      </c>
      <c r="I1418" t="s">
        <v>167</v>
      </c>
      <c r="J1418" t="s">
        <v>186</v>
      </c>
      <c r="L1418" t="s">
        <v>147</v>
      </c>
      <c r="M1418" t="s">
        <v>26</v>
      </c>
      <c r="R1418" t="s">
        <v>3060</v>
      </c>
    </row>
    <row r="1419" spans="1:18" x14ac:dyDescent="0.3">
      <c r="A1419" t="str">
        <f>HYPERLINK("https://hsdes.intel.com/resource/14013174180","14013174180")</f>
        <v>14013174180</v>
      </c>
      <c r="B1419" t="s">
        <v>2958</v>
      </c>
      <c r="C1419" t="s">
        <v>3024</v>
      </c>
      <c r="D1419" t="s">
        <v>2959</v>
      </c>
      <c r="E1419" t="s">
        <v>120</v>
      </c>
      <c r="F1419" t="s">
        <v>3056</v>
      </c>
      <c r="G1419" t="s">
        <v>111</v>
      </c>
      <c r="H1419" s="2">
        <v>44789</v>
      </c>
      <c r="I1419" t="s">
        <v>167</v>
      </c>
      <c r="J1419" t="s">
        <v>186</v>
      </c>
      <c r="L1419" t="s">
        <v>147</v>
      </c>
      <c r="M1419" t="s">
        <v>19</v>
      </c>
      <c r="R1419" t="s">
        <v>3061</v>
      </c>
    </row>
    <row r="1420" spans="1:18" x14ac:dyDescent="0.3">
      <c r="A1420" t="str">
        <f>HYPERLINK("https://hsdes.intel.com/resource/14013174184","14013174184")</f>
        <v>14013174184</v>
      </c>
      <c r="B1420" t="s">
        <v>2960</v>
      </c>
      <c r="C1420" t="s">
        <v>3024</v>
      </c>
      <c r="D1420" t="s">
        <v>2961</v>
      </c>
      <c r="E1420" t="s">
        <v>120</v>
      </c>
      <c r="F1420" t="s">
        <v>3056</v>
      </c>
      <c r="G1420" t="s">
        <v>111</v>
      </c>
      <c r="H1420" s="2">
        <v>44789</v>
      </c>
      <c r="I1420" t="s">
        <v>167</v>
      </c>
      <c r="J1420" t="s">
        <v>186</v>
      </c>
      <c r="L1420" t="s">
        <v>147</v>
      </c>
      <c r="M1420" t="s">
        <v>26</v>
      </c>
      <c r="R1420" t="s">
        <v>3062</v>
      </c>
    </row>
    <row r="1421" spans="1:18" x14ac:dyDescent="0.3">
      <c r="A1421" t="str">
        <f>HYPERLINK("https://hsdes.intel.com/resource/14013174240","14013174240")</f>
        <v>14013174240</v>
      </c>
      <c r="B1421" t="s">
        <v>2963</v>
      </c>
      <c r="C1421" t="s">
        <v>3024</v>
      </c>
      <c r="D1421" t="s">
        <v>2964</v>
      </c>
      <c r="E1421" t="s">
        <v>120</v>
      </c>
      <c r="F1421" t="s">
        <v>3056</v>
      </c>
      <c r="G1421" t="s">
        <v>111</v>
      </c>
      <c r="H1421" s="2">
        <v>44789</v>
      </c>
      <c r="I1421" t="s">
        <v>167</v>
      </c>
      <c r="J1421" t="s">
        <v>186</v>
      </c>
      <c r="L1421" t="s">
        <v>147</v>
      </c>
      <c r="M1421" t="s">
        <v>19</v>
      </c>
      <c r="R1421" t="s">
        <v>3063</v>
      </c>
    </row>
    <row r="1422" spans="1:18" x14ac:dyDescent="0.3">
      <c r="A1422" t="str">
        <f>HYPERLINK("https://hsdes.intel.com/resource/14013174293","14013174293")</f>
        <v>14013174293</v>
      </c>
      <c r="B1422" t="s">
        <v>2965</v>
      </c>
      <c r="C1422" t="s">
        <v>3024</v>
      </c>
      <c r="D1422" t="s">
        <v>2966</v>
      </c>
      <c r="E1422" t="s">
        <v>120</v>
      </c>
      <c r="F1422" t="s">
        <v>3056</v>
      </c>
      <c r="G1422" t="s">
        <v>111</v>
      </c>
      <c r="H1422" s="2">
        <v>44789</v>
      </c>
      <c r="I1422" t="s">
        <v>167</v>
      </c>
      <c r="J1422" t="s">
        <v>186</v>
      </c>
      <c r="L1422" t="s">
        <v>147</v>
      </c>
      <c r="M1422" t="s">
        <v>19</v>
      </c>
      <c r="R1422" t="s">
        <v>3064</v>
      </c>
    </row>
    <row r="1423" spans="1:18" x14ac:dyDescent="0.3">
      <c r="A1423" t="str">
        <f>HYPERLINK("https://hsdes.intel.com/resource/14013174471","14013174471")</f>
        <v>14013174471</v>
      </c>
      <c r="B1423" t="s">
        <v>2967</v>
      </c>
      <c r="C1423" t="s">
        <v>3024</v>
      </c>
      <c r="D1423" t="s">
        <v>2968</v>
      </c>
      <c r="E1423" t="s">
        <v>14</v>
      </c>
      <c r="F1423" t="s">
        <v>3065</v>
      </c>
      <c r="G1423" t="s">
        <v>3066</v>
      </c>
      <c r="H1423" s="2">
        <v>44802</v>
      </c>
      <c r="I1423" t="s">
        <v>167</v>
      </c>
      <c r="J1423" t="s">
        <v>151</v>
      </c>
      <c r="L1423" t="s">
        <v>147</v>
      </c>
      <c r="M1423" t="s">
        <v>26</v>
      </c>
      <c r="R1423" t="s">
        <v>3067</v>
      </c>
    </row>
    <row r="1424" spans="1:18" x14ac:dyDescent="0.3">
      <c r="A1424" t="str">
        <f>HYPERLINK("https://hsdes.intel.com/resource/14013174569","14013174569")</f>
        <v>14013174569</v>
      </c>
      <c r="B1424" t="s">
        <v>2969</v>
      </c>
      <c r="C1424" t="s">
        <v>3024</v>
      </c>
      <c r="D1424" t="s">
        <v>2970</v>
      </c>
      <c r="E1424" t="s">
        <v>14</v>
      </c>
      <c r="G1424" t="s">
        <v>111</v>
      </c>
      <c r="H1424" s="2">
        <v>44790</v>
      </c>
      <c r="I1424" t="s">
        <v>167</v>
      </c>
      <c r="J1424" t="s">
        <v>151</v>
      </c>
      <c r="L1424" t="s">
        <v>147</v>
      </c>
      <c r="M1424" t="s">
        <v>26</v>
      </c>
      <c r="R1424" t="s">
        <v>3068</v>
      </c>
    </row>
    <row r="1425" spans="1:18" x14ac:dyDescent="0.3">
      <c r="A1425" t="str">
        <f>HYPERLINK("https://hsdes.intel.com/resource/14013174656","14013174656")</f>
        <v>14013174656</v>
      </c>
      <c r="B1425" t="s">
        <v>2971</v>
      </c>
      <c r="C1425" t="s">
        <v>3024</v>
      </c>
      <c r="D1425" t="s">
        <v>2972</v>
      </c>
      <c r="E1425" t="s">
        <v>14</v>
      </c>
      <c r="G1425" t="s">
        <v>111</v>
      </c>
      <c r="H1425" s="2">
        <v>44790</v>
      </c>
      <c r="I1425" t="s">
        <v>167</v>
      </c>
      <c r="J1425" t="s">
        <v>151</v>
      </c>
      <c r="L1425" t="s">
        <v>147</v>
      </c>
      <c r="M1425" t="s">
        <v>26</v>
      </c>
      <c r="R1425" t="s">
        <v>3069</v>
      </c>
    </row>
    <row r="1426" spans="1:18" x14ac:dyDescent="0.3">
      <c r="A1426" t="str">
        <f>HYPERLINK("https://hsdes.intel.com/resource/14013174748","14013174748")</f>
        <v>14013174748</v>
      </c>
      <c r="B1426" t="s">
        <v>2973</v>
      </c>
      <c r="C1426" t="s">
        <v>3024</v>
      </c>
      <c r="D1426" t="s">
        <v>2974</v>
      </c>
      <c r="E1426" t="s">
        <v>14</v>
      </c>
      <c r="G1426" t="s">
        <v>111</v>
      </c>
      <c r="H1426" s="2">
        <v>44785</v>
      </c>
      <c r="I1426" t="s">
        <v>167</v>
      </c>
      <c r="J1426" t="s">
        <v>168</v>
      </c>
      <c r="L1426" t="s">
        <v>147</v>
      </c>
      <c r="M1426" t="s">
        <v>26</v>
      </c>
      <c r="R1426" t="s">
        <v>3070</v>
      </c>
    </row>
    <row r="1427" spans="1:18" x14ac:dyDescent="0.3">
      <c r="A1427" t="str">
        <f>HYPERLINK("https://hsdes.intel.com/resource/14013174758","14013174758")</f>
        <v>14013174758</v>
      </c>
      <c r="B1427" t="s">
        <v>2975</v>
      </c>
      <c r="C1427" t="s">
        <v>3024</v>
      </c>
      <c r="D1427" t="s">
        <v>2976</v>
      </c>
      <c r="E1427" t="s">
        <v>14</v>
      </c>
      <c r="G1427" t="s">
        <v>111</v>
      </c>
      <c r="H1427" s="2">
        <v>44790</v>
      </c>
      <c r="I1427" t="s">
        <v>167</v>
      </c>
      <c r="J1427" t="s">
        <v>168</v>
      </c>
      <c r="L1427" t="s">
        <v>147</v>
      </c>
      <c r="M1427" t="s">
        <v>26</v>
      </c>
      <c r="R1427" t="s">
        <v>3071</v>
      </c>
    </row>
    <row r="1428" spans="1:18" x14ac:dyDescent="0.3">
      <c r="A1428" t="str">
        <f>HYPERLINK("https://hsdes.intel.com/resource/14013174827","14013174827")</f>
        <v>14013174827</v>
      </c>
      <c r="B1428" t="s">
        <v>2977</v>
      </c>
      <c r="C1428" t="s">
        <v>3024</v>
      </c>
      <c r="D1428" t="s">
        <v>2978</v>
      </c>
      <c r="E1428" t="s">
        <v>14</v>
      </c>
      <c r="F1428" t="s">
        <v>3065</v>
      </c>
      <c r="G1428" t="s">
        <v>3066</v>
      </c>
      <c r="H1428" s="2">
        <v>44802</v>
      </c>
      <c r="I1428" t="s">
        <v>167</v>
      </c>
      <c r="J1428" t="s">
        <v>151</v>
      </c>
      <c r="L1428" t="s">
        <v>147</v>
      </c>
      <c r="M1428" t="s">
        <v>26</v>
      </c>
      <c r="R1428" t="s">
        <v>3072</v>
      </c>
    </row>
    <row r="1429" spans="1:18" x14ac:dyDescent="0.3">
      <c r="A1429" t="str">
        <f>HYPERLINK("https://hsdes.intel.com/resource/14013174839","14013174839")</f>
        <v>14013174839</v>
      </c>
      <c r="B1429" t="s">
        <v>2980</v>
      </c>
      <c r="C1429" t="s">
        <v>3024</v>
      </c>
      <c r="D1429" t="s">
        <v>2981</v>
      </c>
      <c r="E1429" t="s">
        <v>14</v>
      </c>
      <c r="F1429" t="s">
        <v>3065</v>
      </c>
      <c r="G1429" t="s">
        <v>3066</v>
      </c>
      <c r="H1429" s="2">
        <v>44802</v>
      </c>
      <c r="I1429" t="s">
        <v>167</v>
      </c>
      <c r="J1429" t="s">
        <v>151</v>
      </c>
      <c r="L1429" t="s">
        <v>147</v>
      </c>
      <c r="M1429" t="s">
        <v>26</v>
      </c>
      <c r="R1429" t="s">
        <v>3072</v>
      </c>
    </row>
    <row r="1430" spans="1:18" x14ac:dyDescent="0.3">
      <c r="A1430" t="str">
        <f>HYPERLINK("https://hsdes.intel.com/resource/14013174959","14013174959")</f>
        <v>14013174959</v>
      </c>
      <c r="B1430" t="s">
        <v>2982</v>
      </c>
      <c r="C1430" t="s">
        <v>3024</v>
      </c>
      <c r="D1430" t="s">
        <v>2983</v>
      </c>
      <c r="E1430" t="s">
        <v>120</v>
      </c>
      <c r="F1430" t="s">
        <v>3056</v>
      </c>
      <c r="G1430" t="s">
        <v>111</v>
      </c>
      <c r="H1430" s="2">
        <v>44789</v>
      </c>
      <c r="I1430" t="s">
        <v>167</v>
      </c>
      <c r="J1430" t="s">
        <v>186</v>
      </c>
      <c r="L1430" t="s">
        <v>147</v>
      </c>
      <c r="M1430" t="s">
        <v>26</v>
      </c>
      <c r="R1430" t="s">
        <v>3073</v>
      </c>
    </row>
    <row r="1431" spans="1:18" x14ac:dyDescent="0.3">
      <c r="A1431" t="str">
        <f>HYPERLINK("https://hsdes.intel.com/resource/14013175419","14013175419")</f>
        <v>14013175419</v>
      </c>
      <c r="B1431" t="s">
        <v>2985</v>
      </c>
      <c r="C1431" t="s">
        <v>3024</v>
      </c>
      <c r="D1431" t="s">
        <v>2986</v>
      </c>
      <c r="E1431" t="s">
        <v>14</v>
      </c>
      <c r="G1431" t="s">
        <v>111</v>
      </c>
      <c r="H1431" s="2">
        <v>44790</v>
      </c>
      <c r="I1431" t="s">
        <v>167</v>
      </c>
      <c r="J1431" t="s">
        <v>151</v>
      </c>
      <c r="L1431" t="s">
        <v>147</v>
      </c>
      <c r="M1431" t="s">
        <v>26</v>
      </c>
      <c r="R1431" t="s">
        <v>3074</v>
      </c>
    </row>
    <row r="1432" spans="1:18" x14ac:dyDescent="0.3">
      <c r="A1432" t="str">
        <f>HYPERLINK("https://hsdes.intel.com/resource/14013176172","14013176172")</f>
        <v>14013176172</v>
      </c>
      <c r="B1432" t="s">
        <v>2987</v>
      </c>
      <c r="C1432" t="s">
        <v>3024</v>
      </c>
      <c r="D1432" t="s">
        <v>2988</v>
      </c>
      <c r="E1432" t="s">
        <v>14</v>
      </c>
      <c r="F1432" t="s">
        <v>3026</v>
      </c>
      <c r="G1432" t="s">
        <v>111</v>
      </c>
      <c r="H1432" s="2">
        <v>44800</v>
      </c>
      <c r="I1432" t="s">
        <v>48</v>
      </c>
      <c r="J1432" t="s">
        <v>151</v>
      </c>
      <c r="L1432" t="s">
        <v>152</v>
      </c>
      <c r="M1432" t="s">
        <v>26</v>
      </c>
      <c r="R1432" t="s">
        <v>3075</v>
      </c>
    </row>
    <row r="1433" spans="1:18" x14ac:dyDescent="0.3">
      <c r="A1433" t="str">
        <f>HYPERLINK("https://hsdes.intel.com/resource/14013176269","14013176269")</f>
        <v>14013176269</v>
      </c>
      <c r="B1433" t="s">
        <v>2989</v>
      </c>
      <c r="C1433" t="s">
        <v>3024</v>
      </c>
      <c r="D1433" t="s">
        <v>2990</v>
      </c>
      <c r="E1433" t="s">
        <v>14</v>
      </c>
      <c r="G1433" t="s">
        <v>111</v>
      </c>
      <c r="H1433" s="2">
        <v>44789</v>
      </c>
      <c r="I1433" t="s">
        <v>167</v>
      </c>
      <c r="J1433" t="s">
        <v>168</v>
      </c>
      <c r="L1433" t="s">
        <v>147</v>
      </c>
      <c r="M1433" t="s">
        <v>26</v>
      </c>
      <c r="R1433" t="s">
        <v>3076</v>
      </c>
    </row>
    <row r="1434" spans="1:18" x14ac:dyDescent="0.3">
      <c r="A1434" t="str">
        <f>HYPERLINK("https://hsdes.intel.com/resource/14013178043","14013178043")</f>
        <v>14013178043</v>
      </c>
      <c r="B1434" t="s">
        <v>2991</v>
      </c>
      <c r="C1434" t="s">
        <v>3024</v>
      </c>
      <c r="D1434" t="s">
        <v>2992</v>
      </c>
      <c r="E1434" t="s">
        <v>120</v>
      </c>
      <c r="F1434" t="s">
        <v>3077</v>
      </c>
      <c r="G1434" t="s">
        <v>111</v>
      </c>
      <c r="H1434" s="2">
        <v>44784</v>
      </c>
      <c r="I1434" t="s">
        <v>48</v>
      </c>
      <c r="J1434" t="s">
        <v>151</v>
      </c>
      <c r="L1434" t="s">
        <v>152</v>
      </c>
      <c r="M1434" t="s">
        <v>22</v>
      </c>
      <c r="R1434" t="s">
        <v>3078</v>
      </c>
    </row>
    <row r="1435" spans="1:18" x14ac:dyDescent="0.3">
      <c r="A1435" t="str">
        <f>HYPERLINK("https://hsdes.intel.com/resource/14013178933","14013178933")</f>
        <v>14013178933</v>
      </c>
      <c r="B1435" t="s">
        <v>2993</v>
      </c>
      <c r="C1435" t="s">
        <v>3024</v>
      </c>
      <c r="D1435" t="s">
        <v>2994</v>
      </c>
      <c r="E1435" t="s">
        <v>14</v>
      </c>
      <c r="G1435" t="s">
        <v>111</v>
      </c>
      <c r="H1435" s="2">
        <v>44789</v>
      </c>
      <c r="I1435" t="s">
        <v>167</v>
      </c>
      <c r="J1435" t="s">
        <v>168</v>
      </c>
      <c r="L1435" t="s">
        <v>147</v>
      </c>
      <c r="M1435" t="s">
        <v>22</v>
      </c>
      <c r="R1435" t="s">
        <v>3079</v>
      </c>
    </row>
    <row r="1436" spans="1:18" x14ac:dyDescent="0.3">
      <c r="A1436" t="str">
        <f>HYPERLINK("https://hsdes.intel.com/resource/14013178938","14013178938")</f>
        <v>14013178938</v>
      </c>
      <c r="B1436" t="s">
        <v>2995</v>
      </c>
      <c r="C1436" t="s">
        <v>3024</v>
      </c>
      <c r="D1436" t="s">
        <v>2996</v>
      </c>
      <c r="E1436" t="s">
        <v>14</v>
      </c>
      <c r="G1436" t="s">
        <v>111</v>
      </c>
      <c r="H1436" s="2">
        <v>44789</v>
      </c>
      <c r="I1436" t="s">
        <v>167</v>
      </c>
      <c r="J1436" t="s">
        <v>168</v>
      </c>
      <c r="L1436" t="s">
        <v>147</v>
      </c>
      <c r="M1436" t="s">
        <v>26</v>
      </c>
      <c r="R1436" t="s">
        <v>3080</v>
      </c>
    </row>
    <row r="1437" spans="1:18" x14ac:dyDescent="0.3">
      <c r="A1437" t="str">
        <f>HYPERLINK("https://hsdes.intel.com/resource/14013178942","14013178942")</f>
        <v>14013178942</v>
      </c>
      <c r="B1437" t="s">
        <v>2997</v>
      </c>
      <c r="C1437" t="s">
        <v>3024</v>
      </c>
      <c r="D1437" t="s">
        <v>2998</v>
      </c>
      <c r="E1437" t="s">
        <v>14</v>
      </c>
      <c r="G1437" t="s">
        <v>111</v>
      </c>
      <c r="H1437" s="2">
        <v>44789</v>
      </c>
      <c r="I1437" t="s">
        <v>167</v>
      </c>
      <c r="J1437" t="s">
        <v>168</v>
      </c>
      <c r="L1437" t="s">
        <v>147</v>
      </c>
      <c r="M1437" t="s">
        <v>26</v>
      </c>
      <c r="R1437" t="s">
        <v>3080</v>
      </c>
    </row>
    <row r="1438" spans="1:18" x14ac:dyDescent="0.3">
      <c r="A1438" t="str">
        <f>HYPERLINK("https://hsdes.intel.com/resource/14013179135","14013179135")</f>
        <v>14013179135</v>
      </c>
      <c r="B1438" t="s">
        <v>2999</v>
      </c>
      <c r="C1438" t="s">
        <v>3024</v>
      </c>
      <c r="D1438" t="s">
        <v>3000</v>
      </c>
      <c r="E1438" t="s">
        <v>14</v>
      </c>
      <c r="G1438" t="s">
        <v>111</v>
      </c>
      <c r="H1438" s="2">
        <v>44789</v>
      </c>
      <c r="I1438" t="s">
        <v>167</v>
      </c>
      <c r="J1438" t="s">
        <v>151</v>
      </c>
      <c r="L1438" t="s">
        <v>147</v>
      </c>
      <c r="M1438" t="s">
        <v>26</v>
      </c>
      <c r="R1438" t="s">
        <v>3074</v>
      </c>
    </row>
    <row r="1439" spans="1:18" x14ac:dyDescent="0.3">
      <c r="A1439" t="str">
        <f>HYPERLINK("https://hsdes.intel.com/resource/14013179137","14013179137")</f>
        <v>14013179137</v>
      </c>
      <c r="B1439" t="s">
        <v>3001</v>
      </c>
      <c r="C1439" t="s">
        <v>3024</v>
      </c>
      <c r="D1439" t="s">
        <v>3002</v>
      </c>
      <c r="E1439" t="s">
        <v>14</v>
      </c>
      <c r="G1439" t="s">
        <v>111</v>
      </c>
      <c r="H1439" s="2">
        <v>44790</v>
      </c>
      <c r="I1439" t="s">
        <v>167</v>
      </c>
      <c r="J1439" t="s">
        <v>168</v>
      </c>
      <c r="L1439" t="s">
        <v>147</v>
      </c>
      <c r="M1439" t="s">
        <v>26</v>
      </c>
      <c r="R1439" t="s">
        <v>3081</v>
      </c>
    </row>
    <row r="1440" spans="1:18" x14ac:dyDescent="0.3">
      <c r="A1440" t="str">
        <f>HYPERLINK("https://hsdes.intel.com/resource/14013184885","14013184885")</f>
        <v>14013184885</v>
      </c>
      <c r="B1440" t="s">
        <v>3003</v>
      </c>
      <c r="C1440" t="s">
        <v>3024</v>
      </c>
      <c r="D1440" t="s">
        <v>3004</v>
      </c>
      <c r="E1440" t="s">
        <v>14</v>
      </c>
      <c r="G1440" t="s">
        <v>111</v>
      </c>
      <c r="H1440" s="2">
        <v>44790</v>
      </c>
      <c r="I1440" t="s">
        <v>167</v>
      </c>
      <c r="J1440" t="s">
        <v>2063</v>
      </c>
      <c r="L1440" t="s">
        <v>147</v>
      </c>
      <c r="M1440" t="s">
        <v>26</v>
      </c>
      <c r="R1440" t="s">
        <v>3082</v>
      </c>
    </row>
    <row r="1441" spans="1:18" x14ac:dyDescent="0.3">
      <c r="A1441" t="str">
        <f>HYPERLINK("https://hsdes.intel.com/resource/14013184965","14013184965")</f>
        <v>14013184965</v>
      </c>
      <c r="B1441" t="s">
        <v>3005</v>
      </c>
      <c r="C1441" t="s">
        <v>3024</v>
      </c>
      <c r="D1441" t="s">
        <v>3006</v>
      </c>
      <c r="E1441" t="s">
        <v>14</v>
      </c>
      <c r="G1441" t="s">
        <v>111</v>
      </c>
      <c r="H1441" s="2">
        <v>44790</v>
      </c>
      <c r="I1441" t="s">
        <v>167</v>
      </c>
      <c r="J1441" t="s">
        <v>2063</v>
      </c>
      <c r="L1441" t="s">
        <v>147</v>
      </c>
      <c r="M1441" t="s">
        <v>26</v>
      </c>
      <c r="R1441" t="s">
        <v>3083</v>
      </c>
    </row>
    <row r="1442" spans="1:18" x14ac:dyDescent="0.3">
      <c r="A1442" t="str">
        <f>HYPERLINK("https://hsdes.intel.com/resource/14013185495","14013185495")</f>
        <v>14013185495</v>
      </c>
      <c r="B1442" t="s">
        <v>3007</v>
      </c>
      <c r="C1442" t="s">
        <v>3024</v>
      </c>
      <c r="D1442" t="s">
        <v>3008</v>
      </c>
      <c r="E1442" t="s">
        <v>14</v>
      </c>
      <c r="G1442" t="s">
        <v>111</v>
      </c>
      <c r="H1442" s="2">
        <v>44790</v>
      </c>
      <c r="I1442" t="s">
        <v>167</v>
      </c>
      <c r="J1442" t="s">
        <v>186</v>
      </c>
      <c r="L1442" t="s">
        <v>147</v>
      </c>
      <c r="M1442" t="s">
        <v>26</v>
      </c>
      <c r="R1442" t="s">
        <v>3084</v>
      </c>
    </row>
    <row r="1443" spans="1:18" x14ac:dyDescent="0.3">
      <c r="A1443" t="str">
        <f>HYPERLINK("https://hsdes.intel.com/resource/16012367017","16012367017")</f>
        <v>16012367017</v>
      </c>
      <c r="B1443" t="s">
        <v>3009</v>
      </c>
      <c r="C1443" t="s">
        <v>3024</v>
      </c>
      <c r="D1443" t="s">
        <v>3010</v>
      </c>
      <c r="E1443" t="s">
        <v>120</v>
      </c>
      <c r="F1443" t="s">
        <v>3085</v>
      </c>
      <c r="G1443" t="s">
        <v>111</v>
      </c>
      <c r="H1443" s="2">
        <v>44789</v>
      </c>
      <c r="I1443" t="s">
        <v>167</v>
      </c>
      <c r="J1443" t="s">
        <v>151</v>
      </c>
      <c r="L1443" t="s">
        <v>147</v>
      </c>
      <c r="M1443" t="s">
        <v>26</v>
      </c>
      <c r="R1443" t="s">
        <v>3086</v>
      </c>
    </row>
    <row r="1444" spans="1:18" x14ac:dyDescent="0.3">
      <c r="A1444" t="str">
        <f>HYPERLINK("https://hsdes.intel.com/resource/16013826362","16013826362")</f>
        <v>16013826362</v>
      </c>
      <c r="B1444" t="s">
        <v>3012</v>
      </c>
      <c r="C1444" t="s">
        <v>3024</v>
      </c>
      <c r="D1444" t="s">
        <v>3013</v>
      </c>
      <c r="E1444" t="s">
        <v>120</v>
      </c>
      <c r="F1444" t="s">
        <v>3056</v>
      </c>
      <c r="G1444" t="s">
        <v>111</v>
      </c>
      <c r="H1444" s="2">
        <v>44789</v>
      </c>
      <c r="I1444" t="s">
        <v>167</v>
      </c>
      <c r="J1444" t="s">
        <v>186</v>
      </c>
      <c r="L1444" t="s">
        <v>147</v>
      </c>
      <c r="M1444" t="s">
        <v>26</v>
      </c>
      <c r="R1444" t="s">
        <v>3087</v>
      </c>
    </row>
    <row r="1445" spans="1:18" x14ac:dyDescent="0.3">
      <c r="A1445" t="str">
        <f>HYPERLINK("https://hsdes.intel.com/resource/16014777355","16014777355")</f>
        <v>16014777355</v>
      </c>
      <c r="B1445" t="s">
        <v>3015</v>
      </c>
      <c r="C1445" t="s">
        <v>3024</v>
      </c>
      <c r="D1445" t="s">
        <v>2752</v>
      </c>
      <c r="E1445" t="s">
        <v>14</v>
      </c>
      <c r="G1445" t="s">
        <v>111</v>
      </c>
      <c r="H1445" s="2">
        <v>44789</v>
      </c>
      <c r="I1445" t="s">
        <v>167</v>
      </c>
      <c r="J1445" t="s">
        <v>168</v>
      </c>
      <c r="L1445" t="s">
        <v>147</v>
      </c>
      <c r="M1445" t="s">
        <v>26</v>
      </c>
      <c r="R1445" t="s">
        <v>3088</v>
      </c>
    </row>
    <row r="1446" spans="1:18" x14ac:dyDescent="0.3">
      <c r="A1446" t="str">
        <f>HYPERLINK("https://hsdes.intel.com/resource/16014841945","16014841945")</f>
        <v>16014841945</v>
      </c>
      <c r="B1446" t="s">
        <v>3016</v>
      </c>
      <c r="C1446" t="s">
        <v>3024</v>
      </c>
      <c r="D1446" t="s">
        <v>3013</v>
      </c>
      <c r="E1446" t="s">
        <v>120</v>
      </c>
      <c r="F1446" t="s">
        <v>3056</v>
      </c>
      <c r="G1446" t="s">
        <v>111</v>
      </c>
      <c r="H1446" s="2">
        <v>44789</v>
      </c>
      <c r="I1446" t="s">
        <v>167</v>
      </c>
      <c r="J1446" t="s">
        <v>186</v>
      </c>
      <c r="L1446" t="s">
        <v>147</v>
      </c>
      <c r="M1446" t="s">
        <v>26</v>
      </c>
      <c r="R1446" t="s">
        <v>3087</v>
      </c>
    </row>
    <row r="1447" spans="1:18" x14ac:dyDescent="0.3">
      <c r="A1447" t="str">
        <f>HYPERLINK("https://hsdes.intel.com/resource/16015067899","16015067899")</f>
        <v>16015067899</v>
      </c>
      <c r="B1447" t="s">
        <v>3018</v>
      </c>
      <c r="C1447" t="s">
        <v>3024</v>
      </c>
      <c r="D1447" t="s">
        <v>2752</v>
      </c>
      <c r="E1447" t="s">
        <v>14</v>
      </c>
      <c r="G1447" t="s">
        <v>111</v>
      </c>
      <c r="H1447" s="2">
        <v>44789</v>
      </c>
      <c r="I1447" t="s">
        <v>167</v>
      </c>
      <c r="J1447" t="s">
        <v>168</v>
      </c>
      <c r="L1447" t="s">
        <v>147</v>
      </c>
      <c r="M1447" t="s">
        <v>26</v>
      </c>
      <c r="R1447" t="s">
        <v>3089</v>
      </c>
    </row>
    <row r="1448" spans="1:18" x14ac:dyDescent="0.3">
      <c r="A1448" t="str">
        <f>HYPERLINK("https://hsdes.intel.com/resource/16015168939","16015168939")</f>
        <v>16015168939</v>
      </c>
      <c r="B1448" t="s">
        <v>3019</v>
      </c>
      <c r="C1448" t="s">
        <v>3024</v>
      </c>
      <c r="D1448" t="s">
        <v>2695</v>
      </c>
      <c r="E1448" t="s">
        <v>120</v>
      </c>
      <c r="F1448" t="s">
        <v>3090</v>
      </c>
      <c r="G1448" t="s">
        <v>111</v>
      </c>
      <c r="H1448" s="2">
        <v>44789</v>
      </c>
      <c r="I1448" t="s">
        <v>167</v>
      </c>
      <c r="J1448" t="s">
        <v>2697</v>
      </c>
      <c r="L1448" t="s">
        <v>147</v>
      </c>
      <c r="M1448" t="s">
        <v>26</v>
      </c>
      <c r="R1448" t="s">
        <v>3091</v>
      </c>
    </row>
    <row r="1449" spans="1:18" x14ac:dyDescent="0.3">
      <c r="A1449" t="str">
        <f>HYPERLINK("https://hsdes.intel.com/resource/16015170462","16015170462")</f>
        <v>16015170462</v>
      </c>
      <c r="B1449" t="s">
        <v>3021</v>
      </c>
      <c r="C1449" t="s">
        <v>3024</v>
      </c>
      <c r="E1449" t="s">
        <v>120</v>
      </c>
      <c r="F1449" t="s">
        <v>3051</v>
      </c>
      <c r="G1449" t="s">
        <v>111</v>
      </c>
      <c r="H1449" s="2">
        <v>44789</v>
      </c>
      <c r="I1449" t="s">
        <v>16</v>
      </c>
      <c r="J1449" t="s">
        <v>77</v>
      </c>
      <c r="L1449" t="s">
        <v>78</v>
      </c>
      <c r="M1449" t="s">
        <v>26</v>
      </c>
      <c r="R1449" t="s">
        <v>3091</v>
      </c>
    </row>
    <row r="1450" spans="1:18" x14ac:dyDescent="0.3">
      <c r="A1450" t="str">
        <f>HYPERLINK("https://hsdes.intel.com/resource/22011834358","22011834358")</f>
        <v>22011834358</v>
      </c>
      <c r="B1450" t="s">
        <v>3022</v>
      </c>
      <c r="C1450" t="s">
        <v>3024</v>
      </c>
      <c r="D1450" t="s">
        <v>3023</v>
      </c>
      <c r="E1450" t="s">
        <v>14</v>
      </c>
      <c r="F1450" t="s">
        <v>3092</v>
      </c>
      <c r="G1450" t="s">
        <v>111</v>
      </c>
      <c r="H1450" s="2">
        <v>44790</v>
      </c>
      <c r="I1450" t="s">
        <v>64</v>
      </c>
      <c r="J1450" t="s">
        <v>191</v>
      </c>
      <c r="L1450" t="s">
        <v>192</v>
      </c>
      <c r="M1450" t="s">
        <v>22</v>
      </c>
      <c r="R1450" t="s">
        <v>3093</v>
      </c>
    </row>
    <row r="1451" spans="1:18" x14ac:dyDescent="0.3">
      <c r="A1451" t="str">
        <f>HYPERLINK("https://hsdes.intel.com/resource/14013156734","14013156734")</f>
        <v>14013156734</v>
      </c>
      <c r="B1451" t="s">
        <v>3094</v>
      </c>
      <c r="C1451" t="s">
        <v>3095</v>
      </c>
      <c r="D1451" t="s">
        <v>3096</v>
      </c>
      <c r="E1451" t="s">
        <v>97</v>
      </c>
      <c r="F1451" t="s">
        <v>3097</v>
      </c>
      <c r="G1451" t="s">
        <v>43</v>
      </c>
      <c r="H1451" s="2">
        <v>44789</v>
      </c>
      <c r="I1451" t="s">
        <v>64</v>
      </c>
      <c r="J1451" t="s">
        <v>112</v>
      </c>
      <c r="L1451" t="s">
        <v>66</v>
      </c>
      <c r="M1451" t="s">
        <v>22</v>
      </c>
    </row>
    <row r="1452" spans="1:18" x14ac:dyDescent="0.3">
      <c r="A1452" t="str">
        <f>HYPERLINK("https://hsdes.intel.com/resource/14013156768","14013156768")</f>
        <v>14013156768</v>
      </c>
      <c r="B1452" t="s">
        <v>3099</v>
      </c>
      <c r="C1452" t="s">
        <v>3095</v>
      </c>
      <c r="D1452" t="s">
        <v>3100</v>
      </c>
      <c r="E1452" t="s">
        <v>1385</v>
      </c>
      <c r="F1452" s="2"/>
      <c r="G1452" t="s">
        <v>3098</v>
      </c>
      <c r="H1452" s="2">
        <v>44789</v>
      </c>
      <c r="I1452" t="s">
        <v>64</v>
      </c>
      <c r="J1452" t="s">
        <v>112</v>
      </c>
      <c r="L1452" t="s">
        <v>66</v>
      </c>
      <c r="M1452" t="s">
        <v>19</v>
      </c>
    </row>
    <row r="1453" spans="1:18" x14ac:dyDescent="0.3">
      <c r="A1453" t="str">
        <f>HYPERLINK("https://hsdes.intel.com/resource/14013156775","14013156775")</f>
        <v>14013156775</v>
      </c>
      <c r="B1453" t="s">
        <v>3101</v>
      </c>
      <c r="C1453" t="s">
        <v>3095</v>
      </c>
      <c r="D1453" t="s">
        <v>3102</v>
      </c>
      <c r="E1453" t="s">
        <v>1385</v>
      </c>
      <c r="F1453" s="2"/>
      <c r="G1453" t="s">
        <v>3098</v>
      </c>
      <c r="H1453" s="2">
        <v>44789</v>
      </c>
      <c r="I1453" t="s">
        <v>38</v>
      </c>
      <c r="J1453" t="s">
        <v>33</v>
      </c>
      <c r="L1453" t="s">
        <v>54</v>
      </c>
      <c r="M1453" t="s">
        <v>26</v>
      </c>
    </row>
    <row r="1454" spans="1:18" x14ac:dyDescent="0.3">
      <c r="A1454" t="str">
        <f>HYPERLINK("https://hsdes.intel.com/resource/14013158131","14013158131")</f>
        <v>14013158131</v>
      </c>
      <c r="B1454" t="s">
        <v>3103</v>
      </c>
      <c r="C1454" t="s">
        <v>3095</v>
      </c>
      <c r="D1454" t="s">
        <v>3104</v>
      </c>
      <c r="E1454" t="s">
        <v>120</v>
      </c>
      <c r="F1454" t="s">
        <v>3105</v>
      </c>
      <c r="G1454" t="s">
        <v>3098</v>
      </c>
      <c r="H1454" s="2">
        <v>44785</v>
      </c>
      <c r="I1454" t="s">
        <v>64</v>
      </c>
      <c r="J1454" t="s">
        <v>65</v>
      </c>
      <c r="L1454" t="s">
        <v>66</v>
      </c>
      <c r="M1454" t="s">
        <v>26</v>
      </c>
    </row>
    <row r="1455" spans="1:18" x14ac:dyDescent="0.3">
      <c r="A1455" t="str">
        <f>HYPERLINK("https://hsdes.intel.com/resource/14013160917","14013160917")</f>
        <v>14013160917</v>
      </c>
      <c r="B1455" t="s">
        <v>3106</v>
      </c>
      <c r="C1455" t="s">
        <v>3095</v>
      </c>
      <c r="D1455" t="s">
        <v>3107</v>
      </c>
      <c r="E1455" t="s">
        <v>120</v>
      </c>
      <c r="F1455" t="s">
        <v>3108</v>
      </c>
      <c r="G1455" t="s">
        <v>3098</v>
      </c>
      <c r="H1455" s="2">
        <v>44785</v>
      </c>
      <c r="I1455" t="s">
        <v>64</v>
      </c>
      <c r="J1455" t="s">
        <v>191</v>
      </c>
      <c r="L1455" t="s">
        <v>192</v>
      </c>
      <c r="M1455" t="s">
        <v>22</v>
      </c>
    </row>
    <row r="1456" spans="1:18" x14ac:dyDescent="0.3">
      <c r="A1456" t="str">
        <f>HYPERLINK("https://hsdes.intel.com/resource/14013163326","14013163326")</f>
        <v>14013163326</v>
      </c>
      <c r="B1456" t="s">
        <v>2923</v>
      </c>
      <c r="C1456" t="s">
        <v>3095</v>
      </c>
      <c r="D1456" t="s">
        <v>2924</v>
      </c>
      <c r="E1456" t="s">
        <v>120</v>
      </c>
      <c r="F1456" t="s">
        <v>951</v>
      </c>
      <c r="G1456" t="s">
        <v>3098</v>
      </c>
      <c r="H1456" s="2">
        <v>44785</v>
      </c>
      <c r="I1456" t="s">
        <v>16</v>
      </c>
      <c r="J1456" t="s">
        <v>17</v>
      </c>
      <c r="L1456" t="s">
        <v>18</v>
      </c>
      <c r="M1456" t="s">
        <v>26</v>
      </c>
    </row>
    <row r="1457" spans="1:13" x14ac:dyDescent="0.3">
      <c r="A1457" t="str">
        <f>HYPERLINK("https://hsdes.intel.com/resource/14013167076","14013167076")</f>
        <v>14013167076</v>
      </c>
      <c r="B1457" t="s">
        <v>2927</v>
      </c>
      <c r="C1457" t="s">
        <v>3095</v>
      </c>
      <c r="D1457" t="s">
        <v>2928</v>
      </c>
      <c r="E1457" t="s">
        <v>120</v>
      </c>
      <c r="F1457" s="13" t="s">
        <v>2929</v>
      </c>
      <c r="G1457" t="s">
        <v>3098</v>
      </c>
      <c r="H1457" s="2">
        <v>44790</v>
      </c>
      <c r="I1457" t="s">
        <v>48</v>
      </c>
      <c r="J1457" t="s">
        <v>49</v>
      </c>
      <c r="L1457" t="s">
        <v>50</v>
      </c>
      <c r="M1457" t="s">
        <v>22</v>
      </c>
    </row>
    <row r="1458" spans="1:13" x14ac:dyDescent="0.3">
      <c r="A1458" t="str">
        <f>HYPERLINK("https://hsdes.intel.com/resource/14013167092","14013167092")</f>
        <v>14013167092</v>
      </c>
      <c r="B1458" t="s">
        <v>2931</v>
      </c>
      <c r="C1458" t="s">
        <v>3095</v>
      </c>
      <c r="D1458" t="s">
        <v>2932</v>
      </c>
      <c r="E1458" t="s">
        <v>120</v>
      </c>
      <c r="F1458" s="13" t="s">
        <v>3109</v>
      </c>
      <c r="G1458" t="s">
        <v>3098</v>
      </c>
      <c r="H1458" s="2">
        <v>44790</v>
      </c>
      <c r="I1458" t="s">
        <v>48</v>
      </c>
      <c r="J1458" t="s">
        <v>49</v>
      </c>
      <c r="L1458" t="s">
        <v>50</v>
      </c>
      <c r="M1458" t="s">
        <v>22</v>
      </c>
    </row>
    <row r="1459" spans="1:13" x14ac:dyDescent="0.3">
      <c r="A1459" t="str">
        <f>HYPERLINK("https://hsdes.intel.com/resource/14013168276","14013168276")</f>
        <v>14013168276</v>
      </c>
      <c r="B1459" t="s">
        <v>3110</v>
      </c>
      <c r="C1459" t="s">
        <v>3095</v>
      </c>
      <c r="D1459" t="s">
        <v>3111</v>
      </c>
      <c r="E1459" t="s">
        <v>120</v>
      </c>
      <c r="F1459" t="s">
        <v>3108</v>
      </c>
      <c r="G1459" t="s">
        <v>3098</v>
      </c>
      <c r="H1459" s="2">
        <v>44785</v>
      </c>
      <c r="I1459" t="s">
        <v>64</v>
      </c>
      <c r="J1459" t="s">
        <v>191</v>
      </c>
      <c r="L1459" t="s">
        <v>192</v>
      </c>
      <c r="M1459" t="s">
        <v>26</v>
      </c>
    </row>
    <row r="1460" spans="1:13" x14ac:dyDescent="0.3">
      <c r="A1460" t="str">
        <f>HYPERLINK("https://hsdes.intel.com/resource/14013168584","14013168584")</f>
        <v>14013168584</v>
      </c>
      <c r="B1460" t="s">
        <v>3112</v>
      </c>
      <c r="C1460" t="s">
        <v>3095</v>
      </c>
      <c r="D1460" t="s">
        <v>3113</v>
      </c>
      <c r="E1460" t="s">
        <v>1385</v>
      </c>
      <c r="F1460" s="2"/>
      <c r="G1460" t="s">
        <v>3098</v>
      </c>
      <c r="H1460" s="2">
        <v>44789</v>
      </c>
      <c r="I1460" t="s">
        <v>64</v>
      </c>
      <c r="J1460" t="s">
        <v>191</v>
      </c>
      <c r="L1460" t="s">
        <v>192</v>
      </c>
      <c r="M1460" t="s">
        <v>22</v>
      </c>
    </row>
    <row r="1461" spans="1:13" x14ac:dyDescent="0.3">
      <c r="A1461" t="str">
        <f>HYPERLINK("https://hsdes.intel.com/resource/14013168646","14013168646")</f>
        <v>14013168646</v>
      </c>
      <c r="B1461" t="s">
        <v>3114</v>
      </c>
      <c r="C1461" t="s">
        <v>3095</v>
      </c>
      <c r="D1461" t="s">
        <v>3115</v>
      </c>
      <c r="E1461" t="s">
        <v>120</v>
      </c>
      <c r="F1461" t="s">
        <v>3108</v>
      </c>
      <c r="G1461" t="s">
        <v>3098</v>
      </c>
      <c r="H1461" s="2">
        <v>44785</v>
      </c>
      <c r="I1461" t="s">
        <v>64</v>
      </c>
      <c r="J1461" t="s">
        <v>191</v>
      </c>
      <c r="L1461" t="s">
        <v>192</v>
      </c>
      <c r="M1461" t="s">
        <v>22</v>
      </c>
    </row>
    <row r="1462" spans="1:13" x14ac:dyDescent="0.3">
      <c r="A1462" t="str">
        <f>HYPERLINK("https://hsdes.intel.com/resource/14013168655","14013168655")</f>
        <v>14013168655</v>
      </c>
      <c r="B1462" t="s">
        <v>3116</v>
      </c>
      <c r="C1462" t="s">
        <v>3095</v>
      </c>
      <c r="D1462" t="s">
        <v>3117</v>
      </c>
      <c r="E1462" t="s">
        <v>120</v>
      </c>
      <c r="G1462" t="s">
        <v>3098</v>
      </c>
      <c r="H1462" s="2">
        <v>44785</v>
      </c>
      <c r="I1462" t="s">
        <v>64</v>
      </c>
      <c r="J1462" t="s">
        <v>191</v>
      </c>
      <c r="L1462" t="s">
        <v>192</v>
      </c>
      <c r="M1462" t="s">
        <v>26</v>
      </c>
    </row>
    <row r="1463" spans="1:13" x14ac:dyDescent="0.3">
      <c r="A1463" t="str">
        <f>HYPERLINK("https://hsdes.intel.com/resource/14013168671","14013168671")</f>
        <v>14013168671</v>
      </c>
      <c r="B1463" t="s">
        <v>3118</v>
      </c>
      <c r="C1463" t="s">
        <v>3095</v>
      </c>
      <c r="D1463" t="s">
        <v>3119</v>
      </c>
      <c r="E1463" t="s">
        <v>120</v>
      </c>
      <c r="G1463" t="s">
        <v>3098</v>
      </c>
      <c r="I1463" t="s">
        <v>64</v>
      </c>
      <c r="J1463" t="s">
        <v>191</v>
      </c>
      <c r="L1463" t="s">
        <v>192</v>
      </c>
      <c r="M1463" t="s">
        <v>26</v>
      </c>
    </row>
    <row r="1464" spans="1:13" x14ac:dyDescent="0.3">
      <c r="A1464" t="str">
        <f>HYPERLINK("https://hsdes.intel.com/resource/14013174100","14013174100")</f>
        <v>14013174100</v>
      </c>
      <c r="B1464" t="s">
        <v>2955</v>
      </c>
      <c r="C1464" t="s">
        <v>3095</v>
      </c>
      <c r="D1464" t="s">
        <v>2956</v>
      </c>
      <c r="E1464" t="s">
        <v>1385</v>
      </c>
      <c r="F1464" s="2"/>
      <c r="G1464" t="s">
        <v>3098</v>
      </c>
      <c r="H1464" s="2">
        <v>44790</v>
      </c>
      <c r="I1464" t="s">
        <v>167</v>
      </c>
      <c r="J1464" t="s">
        <v>186</v>
      </c>
      <c r="L1464" t="s">
        <v>147</v>
      </c>
      <c r="M1464" t="s">
        <v>26</v>
      </c>
    </row>
    <row r="1465" spans="1:13" x14ac:dyDescent="0.3">
      <c r="A1465" t="str">
        <f>HYPERLINK("https://hsdes.intel.com/resource/14013174180","14013174180")</f>
        <v>14013174180</v>
      </c>
      <c r="B1465" t="s">
        <v>2958</v>
      </c>
      <c r="C1465" t="s">
        <v>3095</v>
      </c>
      <c r="D1465" t="s">
        <v>2959</v>
      </c>
      <c r="E1465" t="s">
        <v>1385</v>
      </c>
      <c r="F1465" s="2"/>
      <c r="G1465" t="s">
        <v>3098</v>
      </c>
      <c r="H1465" s="2">
        <v>44789</v>
      </c>
      <c r="I1465" t="s">
        <v>167</v>
      </c>
      <c r="J1465" t="s">
        <v>186</v>
      </c>
      <c r="L1465" t="s">
        <v>147</v>
      </c>
      <c r="M1465" t="s">
        <v>19</v>
      </c>
    </row>
    <row r="1466" spans="1:13" x14ac:dyDescent="0.3">
      <c r="A1466" t="str">
        <f>HYPERLINK("https://hsdes.intel.com/resource/14013174184","14013174184")</f>
        <v>14013174184</v>
      </c>
      <c r="B1466" t="s">
        <v>2960</v>
      </c>
      <c r="C1466" t="s">
        <v>3095</v>
      </c>
      <c r="D1466" t="s">
        <v>2961</v>
      </c>
      <c r="E1466" t="s">
        <v>1385</v>
      </c>
      <c r="F1466" t="s">
        <v>3120</v>
      </c>
      <c r="G1466" t="s">
        <v>3098</v>
      </c>
      <c r="H1466" s="2">
        <v>44790</v>
      </c>
      <c r="I1466" t="s">
        <v>167</v>
      </c>
      <c r="J1466" t="s">
        <v>186</v>
      </c>
      <c r="L1466" t="s">
        <v>147</v>
      </c>
      <c r="M1466" t="s">
        <v>26</v>
      </c>
    </row>
    <row r="1467" spans="1:13" x14ac:dyDescent="0.3">
      <c r="A1467" t="str">
        <f>HYPERLINK("https://hsdes.intel.com/resource/14013174240","14013174240")</f>
        <v>14013174240</v>
      </c>
      <c r="B1467" t="s">
        <v>2963</v>
      </c>
      <c r="C1467" t="s">
        <v>3095</v>
      </c>
      <c r="D1467" t="s">
        <v>2964</v>
      </c>
      <c r="E1467" t="s">
        <v>120</v>
      </c>
      <c r="F1467" t="s">
        <v>2109</v>
      </c>
      <c r="G1467" t="s">
        <v>3098</v>
      </c>
      <c r="H1467" s="2">
        <v>44790</v>
      </c>
      <c r="I1467" t="s">
        <v>167</v>
      </c>
      <c r="J1467" t="s">
        <v>186</v>
      </c>
      <c r="L1467" t="s">
        <v>147</v>
      </c>
      <c r="M1467" t="s">
        <v>19</v>
      </c>
    </row>
    <row r="1468" spans="1:13" x14ac:dyDescent="0.3">
      <c r="A1468" t="str">
        <f>HYPERLINK("https://hsdes.intel.com/resource/14013174293","14013174293")</f>
        <v>14013174293</v>
      </c>
      <c r="B1468" t="s">
        <v>2965</v>
      </c>
      <c r="C1468" t="s">
        <v>3095</v>
      </c>
      <c r="D1468" t="s">
        <v>2966</v>
      </c>
      <c r="E1468" t="s">
        <v>1385</v>
      </c>
      <c r="G1468" t="s">
        <v>3098</v>
      </c>
      <c r="H1468" s="2">
        <v>44789</v>
      </c>
      <c r="I1468" t="s">
        <v>167</v>
      </c>
      <c r="J1468" t="s">
        <v>186</v>
      </c>
      <c r="L1468" t="s">
        <v>147</v>
      </c>
      <c r="M1468" t="s">
        <v>19</v>
      </c>
    </row>
    <row r="1469" spans="1:13" x14ac:dyDescent="0.3">
      <c r="A1469" t="str">
        <f>HYPERLINK("https://hsdes.intel.com/resource/14013174959","14013174959")</f>
        <v>14013174959</v>
      </c>
      <c r="B1469" t="s">
        <v>2982</v>
      </c>
      <c r="C1469" t="s">
        <v>3095</v>
      </c>
      <c r="D1469" t="s">
        <v>2983</v>
      </c>
      <c r="E1469" t="s">
        <v>1385</v>
      </c>
      <c r="G1469" t="s">
        <v>3098</v>
      </c>
      <c r="H1469" s="2">
        <v>44790</v>
      </c>
      <c r="I1469" t="s">
        <v>167</v>
      </c>
      <c r="J1469" t="s">
        <v>186</v>
      </c>
      <c r="L1469" t="s">
        <v>147</v>
      </c>
      <c r="M1469" t="s">
        <v>26</v>
      </c>
    </row>
    <row r="1470" spans="1:13" x14ac:dyDescent="0.3">
      <c r="A1470" t="str">
        <f>HYPERLINK("https://hsdes.intel.com/resource/14013175911","14013175911")</f>
        <v>14013175911</v>
      </c>
      <c r="B1470" t="s">
        <v>3121</v>
      </c>
      <c r="C1470" t="s">
        <v>3095</v>
      </c>
      <c r="D1470" t="s">
        <v>3122</v>
      </c>
      <c r="E1470" t="s">
        <v>1385</v>
      </c>
      <c r="F1470" s="2"/>
      <c r="G1470" t="s">
        <v>3098</v>
      </c>
      <c r="H1470" s="2">
        <v>44789</v>
      </c>
      <c r="I1470" t="s">
        <v>64</v>
      </c>
      <c r="J1470" t="s">
        <v>112</v>
      </c>
      <c r="L1470" t="s">
        <v>66</v>
      </c>
      <c r="M1470" t="s">
        <v>22</v>
      </c>
    </row>
    <row r="1471" spans="1:13" x14ac:dyDescent="0.3">
      <c r="A1471" t="str">
        <f>HYPERLINK("https://hsdes.intel.com/resource/14013175956","14013175956")</f>
        <v>14013175956</v>
      </c>
      <c r="B1471" t="s">
        <v>3123</v>
      </c>
      <c r="C1471" t="s">
        <v>3095</v>
      </c>
      <c r="D1471" t="s">
        <v>3124</v>
      </c>
      <c r="E1471" t="s">
        <v>120</v>
      </c>
      <c r="F1471" t="s">
        <v>3125</v>
      </c>
      <c r="G1471" t="s">
        <v>3098</v>
      </c>
      <c r="H1471" s="2">
        <v>44790</v>
      </c>
      <c r="I1471" t="s">
        <v>64</v>
      </c>
      <c r="J1471" t="s">
        <v>112</v>
      </c>
      <c r="L1471" t="s">
        <v>66</v>
      </c>
      <c r="M1471" t="s">
        <v>19</v>
      </c>
    </row>
    <row r="1472" spans="1:13" x14ac:dyDescent="0.3">
      <c r="A1472" t="str">
        <f>HYPERLINK("https://hsdes.intel.com/resource/14013175962","14013175962")</f>
        <v>14013175962</v>
      </c>
      <c r="B1472" t="s">
        <v>3126</v>
      </c>
      <c r="C1472" t="s">
        <v>3095</v>
      </c>
      <c r="D1472" t="s">
        <v>3127</v>
      </c>
      <c r="E1472" t="s">
        <v>120</v>
      </c>
      <c r="F1472" t="s">
        <v>3128</v>
      </c>
      <c r="G1472" t="s">
        <v>3098</v>
      </c>
      <c r="H1472" s="2">
        <v>44790</v>
      </c>
      <c r="I1472" t="s">
        <v>64</v>
      </c>
      <c r="J1472" t="s">
        <v>112</v>
      </c>
      <c r="L1472" t="s">
        <v>66</v>
      </c>
      <c r="M1472" t="s">
        <v>19</v>
      </c>
    </row>
    <row r="1473" spans="1:13" x14ac:dyDescent="0.3">
      <c r="A1473" t="str">
        <f>HYPERLINK("https://hsdes.intel.com/resource/14013176217","14013176217")</f>
        <v>14013176217</v>
      </c>
      <c r="B1473" t="s">
        <v>3129</v>
      </c>
      <c r="C1473" t="s">
        <v>3095</v>
      </c>
      <c r="D1473" t="s">
        <v>3130</v>
      </c>
      <c r="E1473" t="s">
        <v>97</v>
      </c>
      <c r="F1473" s="17" t="s">
        <v>3131</v>
      </c>
      <c r="G1473" t="s">
        <v>43</v>
      </c>
      <c r="H1473" s="2">
        <v>44792</v>
      </c>
      <c r="I1473" t="s">
        <v>64</v>
      </c>
      <c r="J1473" t="s">
        <v>112</v>
      </c>
      <c r="L1473" t="s">
        <v>66</v>
      </c>
      <c r="M1473" t="s">
        <v>26</v>
      </c>
    </row>
    <row r="1474" spans="1:13" x14ac:dyDescent="0.3">
      <c r="A1474" t="str">
        <f>HYPERLINK("https://hsdes.intel.com/resource/14013176221","14013176221")</f>
        <v>14013176221</v>
      </c>
      <c r="B1474" t="s">
        <v>3132</v>
      </c>
      <c r="C1474" t="s">
        <v>3095</v>
      </c>
      <c r="D1474" t="s">
        <v>3133</v>
      </c>
      <c r="E1474" t="s">
        <v>120</v>
      </c>
      <c r="F1474" s="13" t="s">
        <v>3134</v>
      </c>
      <c r="G1474" t="s">
        <v>3098</v>
      </c>
      <c r="H1474" s="2">
        <v>44789</v>
      </c>
      <c r="I1474" t="s">
        <v>64</v>
      </c>
      <c r="J1474" t="s">
        <v>112</v>
      </c>
      <c r="L1474" t="s">
        <v>66</v>
      </c>
      <c r="M1474" t="s">
        <v>26</v>
      </c>
    </row>
    <row r="1475" spans="1:13" x14ac:dyDescent="0.3">
      <c r="A1475" t="str">
        <f>HYPERLINK("https://hsdes.intel.com/resource/14013176430","14013176430")</f>
        <v>14013176430</v>
      </c>
      <c r="B1475" t="s">
        <v>3135</v>
      </c>
      <c r="C1475" t="s">
        <v>3095</v>
      </c>
      <c r="D1475" t="s">
        <v>3136</v>
      </c>
      <c r="E1475" t="s">
        <v>612</v>
      </c>
      <c r="F1475" t="s">
        <v>3137</v>
      </c>
      <c r="G1475" t="s">
        <v>3098</v>
      </c>
      <c r="H1475" s="2">
        <v>44785</v>
      </c>
      <c r="I1475" t="s">
        <v>64</v>
      </c>
      <c r="J1475" t="s">
        <v>112</v>
      </c>
      <c r="L1475" t="s">
        <v>66</v>
      </c>
      <c r="M1475" t="s">
        <v>22</v>
      </c>
    </row>
    <row r="1476" spans="1:13" x14ac:dyDescent="0.3">
      <c r="A1476" t="str">
        <f>HYPERLINK("https://hsdes.intel.com/resource/14013176534","14013176534")</f>
        <v>14013176534</v>
      </c>
      <c r="B1476" t="s">
        <v>3138</v>
      </c>
      <c r="C1476" t="s">
        <v>3095</v>
      </c>
      <c r="D1476" t="s">
        <v>3139</v>
      </c>
      <c r="E1476" t="s">
        <v>1385</v>
      </c>
      <c r="G1476" t="s">
        <v>3098</v>
      </c>
      <c r="H1476" s="2">
        <v>44790</v>
      </c>
      <c r="I1476" t="s">
        <v>64</v>
      </c>
      <c r="J1476" t="s">
        <v>112</v>
      </c>
      <c r="L1476" t="s">
        <v>66</v>
      </c>
      <c r="M1476" t="s">
        <v>26</v>
      </c>
    </row>
    <row r="1477" spans="1:13" x14ac:dyDescent="0.3">
      <c r="A1477" t="str">
        <f>HYPERLINK("https://hsdes.intel.com/resource/14013176538","14013176538")</f>
        <v>14013176538</v>
      </c>
      <c r="B1477" t="s">
        <v>3140</v>
      </c>
      <c r="C1477" t="s">
        <v>3095</v>
      </c>
      <c r="D1477" t="s">
        <v>3141</v>
      </c>
      <c r="E1477" t="s">
        <v>1385</v>
      </c>
      <c r="F1477" t="s">
        <v>3142</v>
      </c>
      <c r="G1477" t="s">
        <v>3098</v>
      </c>
      <c r="H1477" s="2">
        <v>44791</v>
      </c>
      <c r="I1477" t="s">
        <v>64</v>
      </c>
      <c r="J1477" t="s">
        <v>112</v>
      </c>
      <c r="L1477" t="s">
        <v>66</v>
      </c>
      <c r="M1477" t="s">
        <v>26</v>
      </c>
    </row>
    <row r="1478" spans="1:13" x14ac:dyDescent="0.3">
      <c r="A1478" t="str">
        <f>HYPERLINK("https://hsdes.intel.com/resource/14013176742","14013176742")</f>
        <v>14013176742</v>
      </c>
      <c r="B1478" t="s">
        <v>3143</v>
      </c>
      <c r="C1478" t="s">
        <v>3095</v>
      </c>
      <c r="D1478" t="s">
        <v>3144</v>
      </c>
      <c r="E1478" t="s">
        <v>1385</v>
      </c>
      <c r="F1478" s="2"/>
      <c r="G1478" t="s">
        <v>3098</v>
      </c>
      <c r="H1478" s="2">
        <v>44789</v>
      </c>
      <c r="I1478" t="s">
        <v>64</v>
      </c>
      <c r="J1478" t="s">
        <v>112</v>
      </c>
      <c r="L1478" t="s">
        <v>66</v>
      </c>
      <c r="M1478" t="s">
        <v>22</v>
      </c>
    </row>
    <row r="1479" spans="1:13" x14ac:dyDescent="0.3">
      <c r="A1479" t="str">
        <f>HYPERLINK("https://hsdes.intel.com/resource/14013176963","14013176963")</f>
        <v>14013176963</v>
      </c>
      <c r="B1479" t="s">
        <v>3145</v>
      </c>
      <c r="C1479" t="s">
        <v>3095</v>
      </c>
      <c r="D1479" t="s">
        <v>3146</v>
      </c>
      <c r="E1479" t="s">
        <v>1385</v>
      </c>
      <c r="F1479" s="2"/>
      <c r="G1479" t="s">
        <v>3098</v>
      </c>
      <c r="H1479" s="2">
        <v>44789</v>
      </c>
      <c r="I1479" t="s">
        <v>38</v>
      </c>
      <c r="J1479" t="s">
        <v>299</v>
      </c>
      <c r="L1479" t="s">
        <v>54</v>
      </c>
      <c r="M1479" t="s">
        <v>26</v>
      </c>
    </row>
    <row r="1480" spans="1:13" x14ac:dyDescent="0.3">
      <c r="A1480" t="str">
        <f>HYPERLINK("https://hsdes.intel.com/resource/14013177021","14013177021")</f>
        <v>14013177021</v>
      </c>
      <c r="B1480" t="s">
        <v>3147</v>
      </c>
      <c r="C1480" t="s">
        <v>3095</v>
      </c>
      <c r="D1480" t="s">
        <v>3148</v>
      </c>
      <c r="E1480" t="s">
        <v>1385</v>
      </c>
      <c r="F1480" s="2"/>
      <c r="G1480" t="s">
        <v>3098</v>
      </c>
      <c r="H1480" s="2">
        <v>44789</v>
      </c>
      <c r="I1480" t="s">
        <v>64</v>
      </c>
      <c r="J1480" t="s">
        <v>112</v>
      </c>
      <c r="L1480" t="s">
        <v>66</v>
      </c>
      <c r="M1480" t="s">
        <v>19</v>
      </c>
    </row>
    <row r="1481" spans="1:13" x14ac:dyDescent="0.3">
      <c r="A1481" t="str">
        <f>HYPERLINK("https://hsdes.intel.com/resource/14013177040","14013177040")</f>
        <v>14013177040</v>
      </c>
      <c r="B1481" t="s">
        <v>3149</v>
      </c>
      <c r="C1481" t="s">
        <v>3095</v>
      </c>
      <c r="D1481" t="s">
        <v>3150</v>
      </c>
      <c r="E1481" t="s">
        <v>1385</v>
      </c>
      <c r="G1481" t="s">
        <v>3098</v>
      </c>
      <c r="H1481" s="2">
        <v>44789</v>
      </c>
      <c r="I1481" t="s">
        <v>64</v>
      </c>
      <c r="J1481" t="s">
        <v>112</v>
      </c>
      <c r="L1481" t="s">
        <v>66</v>
      </c>
      <c r="M1481" t="s">
        <v>26</v>
      </c>
    </row>
    <row r="1482" spans="1:13" x14ac:dyDescent="0.3">
      <c r="A1482" t="str">
        <f>HYPERLINK("https://hsdes.intel.com/resource/14013177122","14013177122")</f>
        <v>14013177122</v>
      </c>
      <c r="B1482" t="s">
        <v>3151</v>
      </c>
      <c r="C1482" t="s">
        <v>3095</v>
      </c>
      <c r="D1482" t="s">
        <v>3152</v>
      </c>
      <c r="E1482" t="s">
        <v>97</v>
      </c>
      <c r="F1482" t="s">
        <v>3153</v>
      </c>
      <c r="G1482" t="s">
        <v>43</v>
      </c>
      <c r="H1482" s="2">
        <v>44802</v>
      </c>
      <c r="I1482" t="s">
        <v>64</v>
      </c>
      <c r="J1482" t="s">
        <v>112</v>
      </c>
      <c r="L1482" t="s">
        <v>66</v>
      </c>
      <c r="M1482" t="s">
        <v>26</v>
      </c>
    </row>
    <row r="1483" spans="1:13" x14ac:dyDescent="0.3">
      <c r="A1483" t="str">
        <f>HYPERLINK("https://hsdes.intel.com/resource/14013177684","14013177684")</f>
        <v>14013177684</v>
      </c>
      <c r="B1483" t="s">
        <v>3154</v>
      </c>
      <c r="C1483" t="s">
        <v>3095</v>
      </c>
      <c r="D1483" t="s">
        <v>3155</v>
      </c>
      <c r="E1483" t="s">
        <v>1385</v>
      </c>
      <c r="G1483" t="s">
        <v>3098</v>
      </c>
      <c r="H1483" s="2">
        <v>44790</v>
      </c>
      <c r="I1483" t="s">
        <v>64</v>
      </c>
      <c r="J1483" t="s">
        <v>112</v>
      </c>
      <c r="L1483" t="s">
        <v>66</v>
      </c>
      <c r="M1483" t="s">
        <v>19</v>
      </c>
    </row>
    <row r="1484" spans="1:13" x14ac:dyDescent="0.3">
      <c r="A1484" t="str">
        <f>HYPERLINK("https://hsdes.intel.com/resource/14013177804","14013177804")</f>
        <v>14013177804</v>
      </c>
      <c r="B1484" t="s">
        <v>3156</v>
      </c>
      <c r="C1484" t="s">
        <v>3095</v>
      </c>
      <c r="D1484" t="s">
        <v>3157</v>
      </c>
      <c r="E1484" t="s">
        <v>97</v>
      </c>
      <c r="F1484" t="s">
        <v>3097</v>
      </c>
      <c r="G1484" t="s">
        <v>43</v>
      </c>
      <c r="H1484" s="2">
        <v>44789</v>
      </c>
      <c r="I1484" t="s">
        <v>64</v>
      </c>
      <c r="J1484" t="s">
        <v>112</v>
      </c>
      <c r="L1484" t="s">
        <v>66</v>
      </c>
      <c r="M1484" t="s">
        <v>19</v>
      </c>
    </row>
    <row r="1485" spans="1:13" x14ac:dyDescent="0.3">
      <c r="A1485" t="str">
        <f>HYPERLINK("https://hsdes.intel.com/resource/14013177806","14013177806")</f>
        <v>14013177806</v>
      </c>
      <c r="B1485" t="s">
        <v>3158</v>
      </c>
      <c r="C1485" t="s">
        <v>3095</v>
      </c>
      <c r="D1485" t="s">
        <v>3159</v>
      </c>
      <c r="E1485" t="s">
        <v>97</v>
      </c>
      <c r="F1485" t="s">
        <v>3097</v>
      </c>
      <c r="G1485" t="s">
        <v>43</v>
      </c>
      <c r="H1485" s="2">
        <v>44789</v>
      </c>
      <c r="I1485" t="s">
        <v>64</v>
      </c>
      <c r="J1485" t="s">
        <v>112</v>
      </c>
      <c r="L1485" t="s">
        <v>66</v>
      </c>
      <c r="M1485" t="s">
        <v>19</v>
      </c>
    </row>
    <row r="1486" spans="1:13" x14ac:dyDescent="0.3">
      <c r="A1486" t="str">
        <f>HYPERLINK("https://hsdes.intel.com/resource/14013177808","14013177808")</f>
        <v>14013177808</v>
      </c>
      <c r="B1486" t="s">
        <v>3160</v>
      </c>
      <c r="C1486" t="s">
        <v>3095</v>
      </c>
      <c r="D1486" t="s">
        <v>3161</v>
      </c>
      <c r="E1486" t="s">
        <v>97</v>
      </c>
      <c r="F1486" t="s">
        <v>3097</v>
      </c>
      <c r="G1486" t="s">
        <v>43</v>
      </c>
      <c r="H1486" s="2">
        <v>44789</v>
      </c>
      <c r="I1486" t="s">
        <v>64</v>
      </c>
      <c r="J1486" t="s">
        <v>112</v>
      </c>
      <c r="L1486" t="s">
        <v>66</v>
      </c>
      <c r="M1486" t="s">
        <v>19</v>
      </c>
    </row>
    <row r="1487" spans="1:13" x14ac:dyDescent="0.3">
      <c r="A1487" t="str">
        <f>HYPERLINK("https://hsdes.intel.com/resource/14013177811","14013177811")</f>
        <v>14013177811</v>
      </c>
      <c r="B1487" t="s">
        <v>3162</v>
      </c>
      <c r="C1487" t="s">
        <v>3095</v>
      </c>
      <c r="D1487" t="s">
        <v>3163</v>
      </c>
      <c r="E1487" t="s">
        <v>97</v>
      </c>
      <c r="F1487" t="s">
        <v>3097</v>
      </c>
      <c r="G1487" t="s">
        <v>43</v>
      </c>
      <c r="H1487" s="2">
        <v>44789</v>
      </c>
      <c r="I1487" t="s">
        <v>64</v>
      </c>
      <c r="J1487" t="s">
        <v>112</v>
      </c>
      <c r="L1487" t="s">
        <v>66</v>
      </c>
      <c r="M1487" t="s">
        <v>19</v>
      </c>
    </row>
    <row r="1488" spans="1:13" x14ac:dyDescent="0.3">
      <c r="A1488" t="str">
        <f>HYPERLINK("https://hsdes.intel.com/resource/14013177813","14013177813")</f>
        <v>14013177813</v>
      </c>
      <c r="B1488" t="s">
        <v>3164</v>
      </c>
      <c r="C1488" t="s">
        <v>3095</v>
      </c>
      <c r="D1488" t="s">
        <v>3165</v>
      </c>
      <c r="E1488" t="s">
        <v>97</v>
      </c>
      <c r="F1488" t="s">
        <v>3097</v>
      </c>
      <c r="G1488" t="s">
        <v>43</v>
      </c>
      <c r="H1488" s="2">
        <v>44789</v>
      </c>
      <c r="I1488" t="s">
        <v>64</v>
      </c>
      <c r="J1488" t="s">
        <v>112</v>
      </c>
      <c r="L1488" t="s">
        <v>66</v>
      </c>
      <c r="M1488" t="s">
        <v>19</v>
      </c>
    </row>
    <row r="1489" spans="1:13" x14ac:dyDescent="0.3">
      <c r="A1489" t="str">
        <f>HYPERLINK("https://hsdes.intel.com/resource/14013177838","14013177838")</f>
        <v>14013177838</v>
      </c>
      <c r="B1489" t="s">
        <v>3166</v>
      </c>
      <c r="C1489" t="s">
        <v>3095</v>
      </c>
      <c r="D1489" t="s">
        <v>3167</v>
      </c>
      <c r="E1489" t="s">
        <v>1385</v>
      </c>
      <c r="F1489" t="s">
        <v>3168</v>
      </c>
      <c r="G1489" t="s">
        <v>3098</v>
      </c>
      <c r="H1489" s="2">
        <v>44789</v>
      </c>
      <c r="I1489" t="s">
        <v>64</v>
      </c>
      <c r="J1489" t="s">
        <v>112</v>
      </c>
      <c r="L1489" t="s">
        <v>66</v>
      </c>
      <c r="M1489" t="s">
        <v>19</v>
      </c>
    </row>
    <row r="1490" spans="1:13" x14ac:dyDescent="0.3">
      <c r="A1490" t="str">
        <f>HYPERLINK("https://hsdes.intel.com/resource/14013178383","14013178383")</f>
        <v>14013178383</v>
      </c>
      <c r="B1490" t="s">
        <v>3169</v>
      </c>
      <c r="C1490" t="s">
        <v>3095</v>
      </c>
      <c r="D1490" t="s">
        <v>3170</v>
      </c>
      <c r="E1490" t="s">
        <v>120</v>
      </c>
      <c r="F1490" t="s">
        <v>3171</v>
      </c>
      <c r="G1490" t="s">
        <v>3098</v>
      </c>
      <c r="H1490" s="2">
        <v>44790</v>
      </c>
      <c r="I1490" t="s">
        <v>64</v>
      </c>
      <c r="J1490" t="s">
        <v>112</v>
      </c>
      <c r="L1490" t="s">
        <v>66</v>
      </c>
      <c r="M1490" t="s">
        <v>19</v>
      </c>
    </row>
    <row r="1491" spans="1:13" x14ac:dyDescent="0.3">
      <c r="A1491" t="str">
        <f>HYPERLINK("https://hsdes.intel.com/resource/14013178384","14013178384")</f>
        <v>14013178384</v>
      </c>
      <c r="B1491" t="s">
        <v>3172</v>
      </c>
      <c r="C1491" t="s">
        <v>3095</v>
      </c>
      <c r="D1491" t="s">
        <v>3173</v>
      </c>
      <c r="E1491" t="s">
        <v>120</v>
      </c>
      <c r="F1491" t="s">
        <v>3171</v>
      </c>
      <c r="G1491" t="s">
        <v>3098</v>
      </c>
      <c r="H1491" s="2">
        <v>44790</v>
      </c>
      <c r="I1491" t="s">
        <v>64</v>
      </c>
      <c r="J1491" t="s">
        <v>112</v>
      </c>
      <c r="L1491" t="s">
        <v>66</v>
      </c>
      <c r="M1491" t="s">
        <v>19</v>
      </c>
    </row>
    <row r="1492" spans="1:13" x14ac:dyDescent="0.3">
      <c r="A1492" t="str">
        <f>HYPERLINK("https://hsdes.intel.com/resource/14013178417","14013178417")</f>
        <v>14013178417</v>
      </c>
      <c r="B1492" t="s">
        <v>3174</v>
      </c>
      <c r="C1492" t="s">
        <v>3095</v>
      </c>
      <c r="D1492" t="s">
        <v>3175</v>
      </c>
      <c r="E1492" t="s">
        <v>1385</v>
      </c>
      <c r="F1492" t="s">
        <v>3142</v>
      </c>
      <c r="G1492" t="s">
        <v>3098</v>
      </c>
      <c r="H1492" s="2">
        <v>44791</v>
      </c>
      <c r="I1492" t="s">
        <v>64</v>
      </c>
      <c r="J1492" t="s">
        <v>112</v>
      </c>
      <c r="L1492" t="s">
        <v>66</v>
      </c>
      <c r="M1492" t="s">
        <v>26</v>
      </c>
    </row>
    <row r="1493" spans="1:13" x14ac:dyDescent="0.3">
      <c r="A1493" t="str">
        <f>HYPERLINK("https://hsdes.intel.com/resource/14013178799","14013178799")</f>
        <v>14013178799</v>
      </c>
      <c r="B1493" t="s">
        <v>3176</v>
      </c>
      <c r="C1493" t="s">
        <v>3095</v>
      </c>
      <c r="D1493" t="s">
        <v>3177</v>
      </c>
      <c r="E1493" t="s">
        <v>120</v>
      </c>
      <c r="F1493" t="s">
        <v>3171</v>
      </c>
      <c r="G1493" t="s">
        <v>3098</v>
      </c>
      <c r="H1493" s="2">
        <v>44790</v>
      </c>
      <c r="I1493" t="s">
        <v>64</v>
      </c>
      <c r="J1493" t="s">
        <v>112</v>
      </c>
      <c r="L1493" t="s">
        <v>66</v>
      </c>
      <c r="M1493" t="s">
        <v>19</v>
      </c>
    </row>
    <row r="1494" spans="1:13" x14ac:dyDescent="0.3">
      <c r="A1494" t="str">
        <f>HYPERLINK("https://hsdes.intel.com/resource/14013178862","14013178862")</f>
        <v>14013178862</v>
      </c>
      <c r="B1494" t="s">
        <v>3178</v>
      </c>
      <c r="C1494" t="s">
        <v>3095</v>
      </c>
      <c r="D1494" t="s">
        <v>3179</v>
      </c>
      <c r="E1494" t="s">
        <v>1385</v>
      </c>
      <c r="F1494" t="s">
        <v>3142</v>
      </c>
      <c r="G1494" t="s">
        <v>3098</v>
      </c>
      <c r="H1494" s="2">
        <v>44791</v>
      </c>
      <c r="I1494" t="s">
        <v>64</v>
      </c>
      <c r="J1494" t="s">
        <v>112</v>
      </c>
      <c r="L1494" t="s">
        <v>66</v>
      </c>
      <c r="M1494" t="s">
        <v>19</v>
      </c>
    </row>
    <row r="1495" spans="1:13" x14ac:dyDescent="0.3">
      <c r="A1495" t="str">
        <f>HYPERLINK("https://hsdes.intel.com/resource/14013179039","14013179039")</f>
        <v>14013179039</v>
      </c>
      <c r="B1495" t="s">
        <v>3180</v>
      </c>
      <c r="C1495" t="s">
        <v>3095</v>
      </c>
      <c r="D1495" t="s">
        <v>3181</v>
      </c>
      <c r="E1495" t="s">
        <v>120</v>
      </c>
      <c r="F1495" t="s">
        <v>3125</v>
      </c>
      <c r="G1495" t="s">
        <v>3098</v>
      </c>
      <c r="H1495" s="2">
        <v>44790</v>
      </c>
      <c r="I1495" t="s">
        <v>64</v>
      </c>
      <c r="J1495" t="s">
        <v>112</v>
      </c>
      <c r="L1495" t="s">
        <v>66</v>
      </c>
      <c r="M1495" t="s">
        <v>19</v>
      </c>
    </row>
    <row r="1496" spans="1:13" x14ac:dyDescent="0.3">
      <c r="A1496" t="str">
        <f>HYPERLINK("https://hsdes.intel.com/resource/14013179044","14013179044")</f>
        <v>14013179044</v>
      </c>
      <c r="B1496" t="s">
        <v>3182</v>
      </c>
      <c r="C1496" t="s">
        <v>3095</v>
      </c>
      <c r="D1496" t="s">
        <v>3183</v>
      </c>
      <c r="E1496" t="s">
        <v>120</v>
      </c>
      <c r="F1496" t="s">
        <v>3125</v>
      </c>
      <c r="G1496" t="s">
        <v>3098</v>
      </c>
      <c r="H1496" s="2">
        <v>44790</v>
      </c>
      <c r="I1496" t="s">
        <v>64</v>
      </c>
      <c r="J1496" t="s">
        <v>112</v>
      </c>
      <c r="L1496" t="s">
        <v>66</v>
      </c>
      <c r="M1496" t="s">
        <v>19</v>
      </c>
    </row>
    <row r="1497" spans="1:13" x14ac:dyDescent="0.3">
      <c r="A1497" t="str">
        <f>HYPERLINK("https://hsdes.intel.com/resource/14013184885","14013184885")</f>
        <v>14013184885</v>
      </c>
      <c r="B1497" t="s">
        <v>3003</v>
      </c>
      <c r="C1497" t="s">
        <v>3095</v>
      </c>
      <c r="D1497" t="s">
        <v>3004</v>
      </c>
      <c r="E1497" t="s">
        <v>1385</v>
      </c>
      <c r="F1497" s="2"/>
      <c r="G1497" t="s">
        <v>3098</v>
      </c>
      <c r="H1497" s="2">
        <v>44789</v>
      </c>
      <c r="I1497" t="s">
        <v>167</v>
      </c>
      <c r="J1497" t="s">
        <v>2063</v>
      </c>
      <c r="L1497" t="s">
        <v>147</v>
      </c>
      <c r="M1497" t="s">
        <v>26</v>
      </c>
    </row>
    <row r="1498" spans="1:13" x14ac:dyDescent="0.3">
      <c r="A1498" t="str">
        <f>HYPERLINK("https://hsdes.intel.com/resource/14013184965","14013184965")</f>
        <v>14013184965</v>
      </c>
      <c r="B1498" t="s">
        <v>3005</v>
      </c>
      <c r="C1498" t="s">
        <v>3095</v>
      </c>
      <c r="D1498" t="s">
        <v>3006</v>
      </c>
      <c r="E1498" t="s">
        <v>1385</v>
      </c>
      <c r="F1498" s="2"/>
      <c r="G1498" t="s">
        <v>3098</v>
      </c>
      <c r="H1498" s="2">
        <v>44789</v>
      </c>
      <c r="I1498" t="s">
        <v>167</v>
      </c>
      <c r="J1498" t="s">
        <v>2063</v>
      </c>
      <c r="L1498" t="s">
        <v>147</v>
      </c>
      <c r="M1498" t="s">
        <v>26</v>
      </c>
    </row>
    <row r="1499" spans="1:13" x14ac:dyDescent="0.3">
      <c r="A1499" t="str">
        <f>HYPERLINK("https://hsdes.intel.com/resource/16012367017","16012367017")</f>
        <v>16012367017</v>
      </c>
      <c r="B1499" t="s">
        <v>3009</v>
      </c>
      <c r="C1499" t="s">
        <v>3095</v>
      </c>
      <c r="D1499" t="s">
        <v>3010</v>
      </c>
      <c r="E1499" t="s">
        <v>97</v>
      </c>
      <c r="F1499" t="s">
        <v>3184</v>
      </c>
      <c r="G1499" t="s">
        <v>43</v>
      </c>
      <c r="H1499" s="2">
        <v>44802</v>
      </c>
      <c r="I1499" t="s">
        <v>167</v>
      </c>
      <c r="J1499" t="s">
        <v>151</v>
      </c>
      <c r="L1499" t="s">
        <v>147</v>
      </c>
      <c r="M1499" t="s">
        <v>26</v>
      </c>
    </row>
    <row r="1500" spans="1:13" x14ac:dyDescent="0.3">
      <c r="A1500" t="str">
        <f>HYPERLINK("https://hsdes.intel.com/resource/16013826362","16013826362")</f>
        <v>16013826362</v>
      </c>
      <c r="B1500" t="s">
        <v>3012</v>
      </c>
      <c r="C1500" t="s">
        <v>3095</v>
      </c>
      <c r="D1500" t="s">
        <v>3013</v>
      </c>
      <c r="E1500" t="s">
        <v>1385</v>
      </c>
      <c r="G1500" t="s">
        <v>3098</v>
      </c>
      <c r="H1500" s="2">
        <v>44789</v>
      </c>
      <c r="I1500" t="s">
        <v>167</v>
      </c>
      <c r="J1500" t="s">
        <v>186</v>
      </c>
      <c r="L1500" t="s">
        <v>147</v>
      </c>
      <c r="M1500" t="s">
        <v>26</v>
      </c>
    </row>
    <row r="1501" spans="1:13" x14ac:dyDescent="0.3">
      <c r="A1501" t="str">
        <f>HYPERLINK("https://hsdes.intel.com/resource/16014036554","16014036554")</f>
        <v>16014036554</v>
      </c>
      <c r="B1501" t="s">
        <v>3185</v>
      </c>
      <c r="C1501" t="s">
        <v>3095</v>
      </c>
      <c r="D1501" t="s">
        <v>3186</v>
      </c>
      <c r="E1501" t="s">
        <v>97</v>
      </c>
      <c r="F1501" t="s">
        <v>3187</v>
      </c>
      <c r="G1501" t="s">
        <v>43</v>
      </c>
      <c r="H1501" s="2">
        <v>44802</v>
      </c>
      <c r="I1501" t="s">
        <v>167</v>
      </c>
      <c r="J1501" t="s">
        <v>186</v>
      </c>
      <c r="L1501" t="s">
        <v>147</v>
      </c>
      <c r="M1501" t="s">
        <v>22</v>
      </c>
    </row>
    <row r="1502" spans="1:13" x14ac:dyDescent="0.3">
      <c r="A1502" t="str">
        <f>HYPERLINK("https://hsdes.intel.com/resource/16014841945","16014841945")</f>
        <v>16014841945</v>
      </c>
      <c r="B1502" t="s">
        <v>3016</v>
      </c>
      <c r="C1502" t="s">
        <v>3095</v>
      </c>
      <c r="D1502" t="s">
        <v>3013</v>
      </c>
      <c r="E1502" t="s">
        <v>97</v>
      </c>
      <c r="F1502" t="s">
        <v>3188</v>
      </c>
      <c r="G1502" t="s">
        <v>43</v>
      </c>
      <c r="H1502" s="2">
        <v>44790</v>
      </c>
      <c r="I1502" t="s">
        <v>167</v>
      </c>
      <c r="J1502" t="s">
        <v>186</v>
      </c>
      <c r="L1502" t="s">
        <v>147</v>
      </c>
      <c r="M1502" t="s">
        <v>26</v>
      </c>
    </row>
    <row r="1503" spans="1:13" x14ac:dyDescent="0.3">
      <c r="A1503" t="str">
        <f>HYPERLINK("https://hsdes.intel.com/resource/14013114989","14013114989")</f>
        <v>14013114989</v>
      </c>
      <c r="B1503" t="s">
        <v>2865</v>
      </c>
      <c r="C1503" t="s">
        <v>3189</v>
      </c>
      <c r="D1503" t="s">
        <v>2867</v>
      </c>
      <c r="E1503" t="s">
        <v>14</v>
      </c>
      <c r="G1503" t="s">
        <v>3190</v>
      </c>
      <c r="H1503" s="2">
        <v>44802</v>
      </c>
      <c r="I1503" t="s">
        <v>16</v>
      </c>
      <c r="J1503" t="s">
        <v>77</v>
      </c>
      <c r="L1503" t="s">
        <v>157</v>
      </c>
      <c r="M1503" t="s">
        <v>26</v>
      </c>
    </row>
    <row r="1504" spans="1:13" x14ac:dyDescent="0.3">
      <c r="A1504" t="str">
        <f>HYPERLINK("https://hsdes.intel.com/resource/14013115011","14013115011")</f>
        <v>14013115011</v>
      </c>
      <c r="B1504" t="s">
        <v>2869</v>
      </c>
      <c r="C1504" t="s">
        <v>3189</v>
      </c>
      <c r="D1504" t="s">
        <v>2870</v>
      </c>
      <c r="E1504" t="s">
        <v>14</v>
      </c>
      <c r="G1504" t="s">
        <v>3190</v>
      </c>
      <c r="H1504" s="2">
        <v>44800</v>
      </c>
      <c r="I1504" t="s">
        <v>16</v>
      </c>
      <c r="J1504" t="s">
        <v>17</v>
      </c>
      <c r="L1504" t="s">
        <v>18</v>
      </c>
      <c r="M1504" t="s">
        <v>19</v>
      </c>
    </row>
    <row r="1505" spans="1:13" x14ac:dyDescent="0.3">
      <c r="A1505" t="str">
        <f>HYPERLINK("https://hsdes.intel.com/resource/14013115043","14013115043")</f>
        <v>14013115043</v>
      </c>
      <c r="B1505" t="s">
        <v>2871</v>
      </c>
      <c r="C1505" t="s">
        <v>3189</v>
      </c>
      <c r="D1505" t="s">
        <v>2872</v>
      </c>
      <c r="E1505" t="s">
        <v>14</v>
      </c>
      <c r="G1505" t="s">
        <v>3190</v>
      </c>
      <c r="H1505" s="2">
        <v>44800</v>
      </c>
      <c r="I1505" t="s">
        <v>16</v>
      </c>
      <c r="J1505" t="s">
        <v>77</v>
      </c>
      <c r="L1505" t="s">
        <v>157</v>
      </c>
      <c r="M1505" t="s">
        <v>22</v>
      </c>
    </row>
    <row r="1506" spans="1:13" x14ac:dyDescent="0.3">
      <c r="A1506" t="str">
        <f>HYPERLINK("https://hsdes.intel.com/resource/14013117056","14013117056")</f>
        <v>14013117056</v>
      </c>
      <c r="B1506" t="s">
        <v>3191</v>
      </c>
      <c r="C1506" t="s">
        <v>3189</v>
      </c>
      <c r="D1506" t="s">
        <v>3192</v>
      </c>
      <c r="E1506" t="s">
        <v>14</v>
      </c>
      <c r="G1506" t="s">
        <v>3193</v>
      </c>
      <c r="H1506" s="2">
        <v>44800</v>
      </c>
      <c r="I1506" t="s">
        <v>167</v>
      </c>
      <c r="J1506" t="s">
        <v>168</v>
      </c>
      <c r="L1506" t="s">
        <v>147</v>
      </c>
      <c r="M1506" t="s">
        <v>22</v>
      </c>
    </row>
    <row r="1507" spans="1:13" x14ac:dyDescent="0.3">
      <c r="A1507" t="str">
        <f>HYPERLINK("https://hsdes.intel.com/resource/14013119063","14013119063")</f>
        <v>14013119063</v>
      </c>
      <c r="B1507" t="s">
        <v>3194</v>
      </c>
      <c r="C1507" t="s">
        <v>3189</v>
      </c>
      <c r="D1507" t="s">
        <v>3195</v>
      </c>
      <c r="E1507" t="s">
        <v>1385</v>
      </c>
      <c r="G1507" t="s">
        <v>3196</v>
      </c>
      <c r="I1507" t="s">
        <v>167</v>
      </c>
      <c r="J1507" t="s">
        <v>186</v>
      </c>
      <c r="L1507" t="s">
        <v>147</v>
      </c>
      <c r="M1507" t="s">
        <v>26</v>
      </c>
    </row>
    <row r="1508" spans="1:13" x14ac:dyDescent="0.3">
      <c r="A1508" t="str">
        <f>HYPERLINK("https://hsdes.intel.com/resource/14013119215","14013119215")</f>
        <v>14013119215</v>
      </c>
      <c r="B1508" t="s">
        <v>2875</v>
      </c>
      <c r="C1508" t="s">
        <v>3189</v>
      </c>
      <c r="D1508" t="s">
        <v>2876</v>
      </c>
      <c r="E1508" t="s">
        <v>120</v>
      </c>
      <c r="F1508" t="s">
        <v>3197</v>
      </c>
      <c r="G1508" t="s">
        <v>81</v>
      </c>
      <c r="I1508" t="s">
        <v>48</v>
      </c>
      <c r="J1508" t="s">
        <v>151</v>
      </c>
      <c r="L1508" t="s">
        <v>152</v>
      </c>
      <c r="M1508" t="s">
        <v>26</v>
      </c>
    </row>
    <row r="1509" spans="1:13" x14ac:dyDescent="0.3">
      <c r="A1509" t="str">
        <f>HYPERLINK("https://hsdes.intel.com/resource/14013156734","14013156734")</f>
        <v>14013156734</v>
      </c>
      <c r="B1509" t="s">
        <v>3094</v>
      </c>
      <c r="C1509" t="s">
        <v>3189</v>
      </c>
      <c r="D1509" t="s">
        <v>3096</v>
      </c>
      <c r="E1509" t="s">
        <v>14</v>
      </c>
      <c r="G1509" t="s">
        <v>3193</v>
      </c>
      <c r="H1509" s="2">
        <v>44800</v>
      </c>
      <c r="I1509" t="s">
        <v>64</v>
      </c>
      <c r="J1509" t="s">
        <v>112</v>
      </c>
      <c r="L1509" t="s">
        <v>66</v>
      </c>
      <c r="M1509" t="s">
        <v>22</v>
      </c>
    </row>
    <row r="1510" spans="1:13" x14ac:dyDescent="0.3">
      <c r="A1510" t="str">
        <f>HYPERLINK("https://hsdes.intel.com/resource/14013156768","14013156768")</f>
        <v>14013156768</v>
      </c>
      <c r="B1510" t="s">
        <v>3099</v>
      </c>
      <c r="C1510" t="s">
        <v>3189</v>
      </c>
      <c r="D1510" t="s">
        <v>3100</v>
      </c>
      <c r="E1510" t="s">
        <v>14</v>
      </c>
      <c r="G1510" t="s">
        <v>3193</v>
      </c>
      <c r="H1510" s="2">
        <v>44800</v>
      </c>
      <c r="I1510" t="s">
        <v>64</v>
      </c>
      <c r="J1510" t="s">
        <v>112</v>
      </c>
      <c r="L1510" t="s">
        <v>66</v>
      </c>
      <c r="M1510" t="s">
        <v>19</v>
      </c>
    </row>
    <row r="1511" spans="1:13" x14ac:dyDescent="0.3">
      <c r="A1511" t="str">
        <f>HYPERLINK("https://hsdes.intel.com/resource/14013158131","14013158131")</f>
        <v>14013158131</v>
      </c>
      <c r="B1511" t="s">
        <v>3103</v>
      </c>
      <c r="C1511" t="s">
        <v>3189</v>
      </c>
      <c r="D1511" t="s">
        <v>3104</v>
      </c>
      <c r="E1511" t="s">
        <v>120</v>
      </c>
      <c r="F1511" t="s">
        <v>3198</v>
      </c>
      <c r="G1511" t="s">
        <v>81</v>
      </c>
      <c r="I1511" t="s">
        <v>64</v>
      </c>
      <c r="J1511" t="s">
        <v>65</v>
      </c>
      <c r="L1511" t="s">
        <v>66</v>
      </c>
      <c r="M1511" t="s">
        <v>26</v>
      </c>
    </row>
    <row r="1512" spans="1:13" x14ac:dyDescent="0.3">
      <c r="A1512" t="str">
        <f>HYPERLINK("https://hsdes.intel.com/resource/14013158232","14013158232")</f>
        <v>14013158232</v>
      </c>
      <c r="B1512" t="s">
        <v>2878</v>
      </c>
      <c r="C1512" t="s">
        <v>3189</v>
      </c>
      <c r="D1512" t="s">
        <v>2879</v>
      </c>
      <c r="E1512" t="s">
        <v>14</v>
      </c>
      <c r="G1512" t="s">
        <v>3190</v>
      </c>
      <c r="H1512" s="2">
        <v>44800</v>
      </c>
      <c r="I1512" t="s">
        <v>167</v>
      </c>
      <c r="J1512" t="s">
        <v>151</v>
      </c>
      <c r="L1512" t="s">
        <v>147</v>
      </c>
      <c r="M1512" t="s">
        <v>26</v>
      </c>
    </row>
    <row r="1513" spans="1:13" x14ac:dyDescent="0.3">
      <c r="A1513" t="str">
        <f>HYPERLINK("https://hsdes.intel.com/resource/14013158295","14013158295")</f>
        <v>14013158295</v>
      </c>
      <c r="B1513" t="s">
        <v>2882</v>
      </c>
      <c r="C1513" t="s">
        <v>3189</v>
      </c>
      <c r="D1513" t="s">
        <v>2883</v>
      </c>
      <c r="E1513" t="s">
        <v>14</v>
      </c>
      <c r="G1513" t="s">
        <v>3190</v>
      </c>
      <c r="H1513" s="2">
        <v>44802</v>
      </c>
      <c r="I1513" t="s">
        <v>16</v>
      </c>
      <c r="J1513" t="s">
        <v>439</v>
      </c>
      <c r="L1513" t="s">
        <v>157</v>
      </c>
      <c r="M1513" t="s">
        <v>19</v>
      </c>
    </row>
    <row r="1514" spans="1:13" x14ac:dyDescent="0.3">
      <c r="A1514" t="str">
        <f>HYPERLINK("https://hsdes.intel.com/resource/14013158827","14013158827")</f>
        <v>14013158827</v>
      </c>
      <c r="B1514" t="s">
        <v>2886</v>
      </c>
      <c r="C1514" t="s">
        <v>3189</v>
      </c>
      <c r="D1514" t="s">
        <v>2887</v>
      </c>
      <c r="E1514" t="s">
        <v>14</v>
      </c>
      <c r="G1514" t="s">
        <v>3190</v>
      </c>
      <c r="H1514" s="2">
        <v>44802</v>
      </c>
      <c r="I1514" t="s">
        <v>16</v>
      </c>
      <c r="J1514" t="s">
        <v>17</v>
      </c>
      <c r="L1514" t="s">
        <v>18</v>
      </c>
      <c r="M1514" t="s">
        <v>19</v>
      </c>
    </row>
    <row r="1515" spans="1:13" x14ac:dyDescent="0.3">
      <c r="A1515" t="str">
        <f>HYPERLINK("https://hsdes.intel.com/resource/14013158828","14013158828")</f>
        <v>14013158828</v>
      </c>
      <c r="B1515" t="s">
        <v>2889</v>
      </c>
      <c r="C1515" t="s">
        <v>3189</v>
      </c>
      <c r="D1515" t="s">
        <v>2890</v>
      </c>
      <c r="E1515" t="s">
        <v>14</v>
      </c>
      <c r="G1515" t="s">
        <v>3190</v>
      </c>
      <c r="H1515" s="2">
        <v>44800</v>
      </c>
      <c r="I1515" t="s">
        <v>16</v>
      </c>
      <c r="J1515" t="s">
        <v>17</v>
      </c>
      <c r="L1515" t="s">
        <v>18</v>
      </c>
      <c r="M1515" t="s">
        <v>19</v>
      </c>
    </row>
    <row r="1516" spans="1:13" x14ac:dyDescent="0.3">
      <c r="A1516" t="str">
        <f>HYPERLINK("https://hsdes.intel.com/resource/14013158830","14013158830")</f>
        <v>14013158830</v>
      </c>
      <c r="B1516" t="s">
        <v>2891</v>
      </c>
      <c r="C1516" t="s">
        <v>3189</v>
      </c>
      <c r="D1516" t="s">
        <v>2892</v>
      </c>
      <c r="E1516" t="s">
        <v>14</v>
      </c>
      <c r="G1516" t="s">
        <v>3190</v>
      </c>
      <c r="H1516" s="2">
        <v>44800</v>
      </c>
      <c r="I1516" t="s">
        <v>16</v>
      </c>
      <c r="J1516" t="s">
        <v>17</v>
      </c>
      <c r="L1516" t="s">
        <v>18</v>
      </c>
      <c r="M1516" t="s">
        <v>19</v>
      </c>
    </row>
    <row r="1517" spans="1:13" x14ac:dyDescent="0.3">
      <c r="A1517" t="str">
        <f>HYPERLINK("https://hsdes.intel.com/resource/14013159287","14013159287")</f>
        <v>14013159287</v>
      </c>
      <c r="B1517" t="s">
        <v>2903</v>
      </c>
      <c r="C1517" t="s">
        <v>3189</v>
      </c>
      <c r="D1517" t="s">
        <v>2904</v>
      </c>
      <c r="E1517" t="s">
        <v>14</v>
      </c>
      <c r="G1517" t="s">
        <v>3190</v>
      </c>
      <c r="H1517" s="2">
        <v>44800</v>
      </c>
      <c r="I1517" t="s">
        <v>16</v>
      </c>
      <c r="J1517" t="s">
        <v>17</v>
      </c>
      <c r="L1517" t="s">
        <v>18</v>
      </c>
      <c r="M1517" t="s">
        <v>22</v>
      </c>
    </row>
    <row r="1518" spans="1:13" x14ac:dyDescent="0.3">
      <c r="A1518" t="str">
        <f>HYPERLINK("https://hsdes.intel.com/resource/14013160917","14013160917")</f>
        <v>14013160917</v>
      </c>
      <c r="B1518" t="s">
        <v>3106</v>
      </c>
      <c r="C1518" t="s">
        <v>3189</v>
      </c>
      <c r="D1518" t="s">
        <v>3107</v>
      </c>
      <c r="E1518" t="s">
        <v>14</v>
      </c>
      <c r="G1518" t="s">
        <v>3193</v>
      </c>
      <c r="H1518" s="2">
        <v>44800</v>
      </c>
      <c r="I1518" t="s">
        <v>64</v>
      </c>
      <c r="J1518" t="s">
        <v>191</v>
      </c>
      <c r="L1518" t="s">
        <v>192</v>
      </c>
      <c r="M1518" t="s">
        <v>22</v>
      </c>
    </row>
    <row r="1519" spans="1:13" x14ac:dyDescent="0.3">
      <c r="A1519" t="str">
        <f>HYPERLINK("https://hsdes.intel.com/resource/14013161484","14013161484")</f>
        <v>14013161484</v>
      </c>
      <c r="B1519" t="s">
        <v>3199</v>
      </c>
      <c r="C1519" t="s">
        <v>3189</v>
      </c>
      <c r="D1519" t="s">
        <v>3200</v>
      </c>
      <c r="E1519" t="s">
        <v>120</v>
      </c>
      <c r="F1519" t="s">
        <v>3197</v>
      </c>
      <c r="G1519" t="s">
        <v>81</v>
      </c>
      <c r="I1519" t="s">
        <v>48</v>
      </c>
      <c r="J1519" t="s">
        <v>151</v>
      </c>
      <c r="L1519" t="s">
        <v>152</v>
      </c>
      <c r="M1519" t="s">
        <v>19</v>
      </c>
    </row>
    <row r="1520" spans="1:13" x14ac:dyDescent="0.3">
      <c r="A1520" t="str">
        <f>HYPERLINK("https://hsdes.intel.com/resource/14013161491","14013161491")</f>
        <v>14013161491</v>
      </c>
      <c r="B1520" t="s">
        <v>3043</v>
      </c>
      <c r="C1520" t="s">
        <v>3189</v>
      </c>
      <c r="D1520" t="s">
        <v>2922</v>
      </c>
      <c r="E1520" t="s">
        <v>120</v>
      </c>
      <c r="F1520" t="s">
        <v>3197</v>
      </c>
      <c r="G1520" t="s">
        <v>81</v>
      </c>
      <c r="I1520" t="s">
        <v>48</v>
      </c>
      <c r="J1520" t="s">
        <v>151</v>
      </c>
      <c r="L1520" t="s">
        <v>152</v>
      </c>
      <c r="M1520" t="s">
        <v>26</v>
      </c>
    </row>
    <row r="1521" spans="1:13" x14ac:dyDescent="0.3">
      <c r="A1521" t="str">
        <f>HYPERLINK("https://hsdes.intel.com/resource/14013163326","14013163326")</f>
        <v>14013163326</v>
      </c>
      <c r="B1521" t="s">
        <v>2923</v>
      </c>
      <c r="C1521" t="s">
        <v>3189</v>
      </c>
      <c r="D1521" t="s">
        <v>2924</v>
      </c>
      <c r="E1521" t="s">
        <v>120</v>
      </c>
      <c r="F1521" t="s">
        <v>3201</v>
      </c>
      <c r="G1521" t="s">
        <v>81</v>
      </c>
      <c r="I1521" t="s">
        <v>16</v>
      </c>
      <c r="J1521" t="s">
        <v>17</v>
      </c>
      <c r="L1521" t="s">
        <v>18</v>
      </c>
      <c r="M1521" t="s">
        <v>26</v>
      </c>
    </row>
    <row r="1522" spans="1:13" x14ac:dyDescent="0.3">
      <c r="A1522" t="str">
        <f>HYPERLINK("https://hsdes.intel.com/resource/14013163952","14013163952")</f>
        <v>14013163952</v>
      </c>
      <c r="B1522" t="s">
        <v>2925</v>
      </c>
      <c r="C1522" t="s">
        <v>3189</v>
      </c>
      <c r="D1522" t="s">
        <v>2926</v>
      </c>
      <c r="E1522" t="s">
        <v>120</v>
      </c>
      <c r="F1522" t="s">
        <v>3197</v>
      </c>
      <c r="G1522" t="s">
        <v>81</v>
      </c>
      <c r="I1522" t="s">
        <v>48</v>
      </c>
      <c r="J1522" t="s">
        <v>151</v>
      </c>
      <c r="L1522" t="s">
        <v>152</v>
      </c>
      <c r="M1522" t="s">
        <v>26</v>
      </c>
    </row>
    <row r="1523" spans="1:13" x14ac:dyDescent="0.3">
      <c r="A1523" t="str">
        <f>HYPERLINK("https://hsdes.intel.com/resource/14013168276","14013168276")</f>
        <v>14013168276</v>
      </c>
      <c r="B1523" t="s">
        <v>3110</v>
      </c>
      <c r="C1523" t="s">
        <v>3189</v>
      </c>
      <c r="D1523" t="s">
        <v>3111</v>
      </c>
      <c r="E1523" t="s">
        <v>120</v>
      </c>
      <c r="F1523" t="s">
        <v>3202</v>
      </c>
      <c r="G1523" t="s">
        <v>81</v>
      </c>
      <c r="I1523" t="s">
        <v>64</v>
      </c>
      <c r="J1523" t="s">
        <v>191</v>
      </c>
      <c r="L1523" t="s">
        <v>192</v>
      </c>
      <c r="M1523" t="s">
        <v>26</v>
      </c>
    </row>
    <row r="1524" spans="1:13" x14ac:dyDescent="0.3">
      <c r="A1524" t="str">
        <f>HYPERLINK("https://hsdes.intel.com/resource/14013168646","14013168646")</f>
        <v>14013168646</v>
      </c>
      <c r="B1524" t="s">
        <v>3114</v>
      </c>
      <c r="C1524" t="s">
        <v>3189</v>
      </c>
      <c r="D1524" t="s">
        <v>3115</v>
      </c>
      <c r="E1524" t="s">
        <v>14</v>
      </c>
      <c r="G1524" t="s">
        <v>3193</v>
      </c>
      <c r="H1524" s="2">
        <v>44800</v>
      </c>
      <c r="I1524" t="s">
        <v>64</v>
      </c>
      <c r="J1524" t="s">
        <v>191</v>
      </c>
      <c r="L1524" t="s">
        <v>192</v>
      </c>
      <c r="M1524" t="s">
        <v>22</v>
      </c>
    </row>
    <row r="1525" spans="1:13" x14ac:dyDescent="0.3">
      <c r="A1525" t="str">
        <f>HYPERLINK("https://hsdes.intel.com/resource/14013168655","14013168655")</f>
        <v>14013168655</v>
      </c>
      <c r="B1525" t="s">
        <v>3116</v>
      </c>
      <c r="C1525" t="s">
        <v>3189</v>
      </c>
      <c r="D1525" t="s">
        <v>3117</v>
      </c>
      <c r="E1525" t="s">
        <v>120</v>
      </c>
      <c r="F1525" t="s">
        <v>3202</v>
      </c>
      <c r="G1525" t="s">
        <v>81</v>
      </c>
      <c r="I1525" t="s">
        <v>64</v>
      </c>
      <c r="J1525" t="s">
        <v>191</v>
      </c>
      <c r="L1525" t="s">
        <v>192</v>
      </c>
      <c r="M1525" t="s">
        <v>26</v>
      </c>
    </row>
    <row r="1526" spans="1:13" x14ac:dyDescent="0.3">
      <c r="A1526" t="str">
        <f>HYPERLINK("https://hsdes.intel.com/resource/14013168671","14013168671")</f>
        <v>14013168671</v>
      </c>
      <c r="B1526" t="s">
        <v>3118</v>
      </c>
      <c r="C1526" t="s">
        <v>3189</v>
      </c>
      <c r="D1526" t="s">
        <v>3119</v>
      </c>
      <c r="E1526" t="s">
        <v>120</v>
      </c>
      <c r="F1526" t="s">
        <v>3202</v>
      </c>
      <c r="G1526" t="s">
        <v>81</v>
      </c>
      <c r="I1526" t="s">
        <v>64</v>
      </c>
      <c r="J1526" t="s">
        <v>191</v>
      </c>
      <c r="L1526" t="s">
        <v>192</v>
      </c>
      <c r="M1526" t="s">
        <v>26</v>
      </c>
    </row>
    <row r="1527" spans="1:13" x14ac:dyDescent="0.3">
      <c r="A1527" t="str">
        <f>HYPERLINK("https://hsdes.intel.com/resource/14013168846","14013168846")</f>
        <v>14013168846</v>
      </c>
      <c r="B1527" t="s">
        <v>2934</v>
      </c>
      <c r="C1527" t="s">
        <v>3189</v>
      </c>
      <c r="D1527" t="s">
        <v>2935</v>
      </c>
      <c r="E1527" t="s">
        <v>14</v>
      </c>
      <c r="G1527" t="s">
        <v>3193</v>
      </c>
      <c r="H1527" s="2">
        <v>44800</v>
      </c>
      <c r="I1527" t="s">
        <v>64</v>
      </c>
      <c r="J1527" t="s">
        <v>191</v>
      </c>
      <c r="L1527" t="s">
        <v>192</v>
      </c>
      <c r="M1527" t="s">
        <v>22</v>
      </c>
    </row>
    <row r="1528" spans="1:13" x14ac:dyDescent="0.3">
      <c r="A1528" t="str">
        <f>HYPERLINK("https://hsdes.intel.com/resource/14013168950","14013168950")</f>
        <v>14013168950</v>
      </c>
      <c r="B1528" t="s">
        <v>2936</v>
      </c>
      <c r="C1528" t="s">
        <v>3189</v>
      </c>
      <c r="D1528" t="s">
        <v>2937</v>
      </c>
      <c r="E1528" t="s">
        <v>14</v>
      </c>
      <c r="G1528" t="s">
        <v>3190</v>
      </c>
      <c r="H1528" s="2">
        <v>44802</v>
      </c>
      <c r="I1528" t="s">
        <v>64</v>
      </c>
      <c r="J1528" t="s">
        <v>191</v>
      </c>
      <c r="L1528" t="s">
        <v>50</v>
      </c>
      <c r="M1528" t="s">
        <v>22</v>
      </c>
    </row>
    <row r="1529" spans="1:13" x14ac:dyDescent="0.3">
      <c r="A1529" t="str">
        <f>HYPERLINK("https://hsdes.intel.com/resource/14013169130","14013169130")</f>
        <v>14013169130</v>
      </c>
      <c r="B1529" t="s">
        <v>2939</v>
      </c>
      <c r="C1529" t="s">
        <v>3189</v>
      </c>
      <c r="D1529" t="s">
        <v>2940</v>
      </c>
      <c r="E1529" t="s">
        <v>14</v>
      </c>
      <c r="G1529" t="s">
        <v>37</v>
      </c>
      <c r="H1529" s="2">
        <v>44802</v>
      </c>
      <c r="I1529" t="s">
        <v>64</v>
      </c>
      <c r="J1529" t="s">
        <v>191</v>
      </c>
      <c r="L1529" t="s">
        <v>50</v>
      </c>
      <c r="M1529" t="s">
        <v>22</v>
      </c>
    </row>
    <row r="1530" spans="1:13" x14ac:dyDescent="0.3">
      <c r="A1530" t="str">
        <f>HYPERLINK("https://hsdes.intel.com/resource/14013174002","14013174002")</f>
        <v>14013174002</v>
      </c>
      <c r="B1530" t="s">
        <v>2944</v>
      </c>
      <c r="C1530" t="s">
        <v>3189</v>
      </c>
      <c r="D1530" t="s">
        <v>2945</v>
      </c>
      <c r="E1530" t="s">
        <v>14</v>
      </c>
      <c r="G1530" t="s">
        <v>3190</v>
      </c>
      <c r="H1530" s="2">
        <v>44800</v>
      </c>
      <c r="I1530" t="s">
        <v>167</v>
      </c>
      <c r="J1530" t="s">
        <v>151</v>
      </c>
      <c r="L1530" t="s">
        <v>147</v>
      </c>
      <c r="M1530" t="s">
        <v>22</v>
      </c>
    </row>
    <row r="1531" spans="1:13" x14ac:dyDescent="0.3">
      <c r="A1531" t="str">
        <f>HYPERLINK("https://hsdes.intel.com/resource/14013174027","14013174027")</f>
        <v>14013174027</v>
      </c>
      <c r="B1531" t="s">
        <v>2946</v>
      </c>
      <c r="C1531" t="s">
        <v>3189</v>
      </c>
      <c r="D1531" t="s">
        <v>2947</v>
      </c>
      <c r="E1531" t="s">
        <v>14</v>
      </c>
      <c r="G1531" t="s">
        <v>3190</v>
      </c>
      <c r="H1531" s="2">
        <v>44800</v>
      </c>
      <c r="I1531" t="s">
        <v>167</v>
      </c>
      <c r="J1531" t="s">
        <v>151</v>
      </c>
      <c r="L1531" t="s">
        <v>147</v>
      </c>
      <c r="M1531" t="s">
        <v>26</v>
      </c>
    </row>
    <row r="1532" spans="1:13" x14ac:dyDescent="0.3">
      <c r="A1532" t="str">
        <f>HYPERLINK("https://hsdes.intel.com/resource/14013174046","14013174046")</f>
        <v>14013174046</v>
      </c>
      <c r="B1532" t="s">
        <v>2948</v>
      </c>
      <c r="C1532" t="s">
        <v>3189</v>
      </c>
      <c r="D1532" t="s">
        <v>2949</v>
      </c>
      <c r="E1532" t="s">
        <v>14</v>
      </c>
      <c r="G1532" t="s">
        <v>3190</v>
      </c>
      <c r="H1532" s="2">
        <v>44800</v>
      </c>
      <c r="I1532" t="s">
        <v>167</v>
      </c>
      <c r="J1532" t="s">
        <v>151</v>
      </c>
      <c r="L1532" t="s">
        <v>147</v>
      </c>
      <c r="M1532" t="s">
        <v>26</v>
      </c>
    </row>
    <row r="1533" spans="1:13" x14ac:dyDescent="0.3">
      <c r="A1533" t="str">
        <f>HYPERLINK("https://hsdes.intel.com/resource/14013174100","14013174100")</f>
        <v>14013174100</v>
      </c>
      <c r="B1533" t="s">
        <v>2955</v>
      </c>
      <c r="C1533" t="s">
        <v>3189</v>
      </c>
      <c r="D1533" t="s">
        <v>2956</v>
      </c>
      <c r="E1533" t="s">
        <v>1385</v>
      </c>
      <c r="F1533" t="s">
        <v>3203</v>
      </c>
      <c r="G1533" t="s">
        <v>3204</v>
      </c>
      <c r="I1533" t="s">
        <v>167</v>
      </c>
      <c r="J1533" t="s">
        <v>186</v>
      </c>
      <c r="L1533" t="s">
        <v>147</v>
      </c>
      <c r="M1533" t="s">
        <v>26</v>
      </c>
    </row>
    <row r="1534" spans="1:13" x14ac:dyDescent="0.3">
      <c r="A1534" t="str">
        <f>HYPERLINK("https://hsdes.intel.com/resource/14013174153","14013174153")</f>
        <v>14013174153</v>
      </c>
      <c r="B1534" t="s">
        <v>3205</v>
      </c>
      <c r="C1534" t="s">
        <v>3189</v>
      </c>
      <c r="D1534" t="s">
        <v>3206</v>
      </c>
      <c r="E1534" t="s">
        <v>1385</v>
      </c>
      <c r="G1534" t="s">
        <v>3204</v>
      </c>
      <c r="I1534" t="s">
        <v>167</v>
      </c>
      <c r="J1534" t="s">
        <v>186</v>
      </c>
      <c r="L1534" t="s">
        <v>147</v>
      </c>
      <c r="M1534" t="s">
        <v>26</v>
      </c>
    </row>
    <row r="1535" spans="1:13" x14ac:dyDescent="0.3">
      <c r="A1535" s="16" t="str">
        <f>HYPERLINK("https://hsdes.intel.com/resource/14013174175","14013174175")</f>
        <v>14013174175</v>
      </c>
      <c r="B1535" t="s">
        <v>3207</v>
      </c>
      <c r="C1535" t="s">
        <v>3189</v>
      </c>
      <c r="D1535" t="s">
        <v>3208</v>
      </c>
      <c r="E1535" t="s">
        <v>1385</v>
      </c>
      <c r="G1535" t="s">
        <v>3196</v>
      </c>
      <c r="I1535" t="s">
        <v>167</v>
      </c>
      <c r="J1535" t="s">
        <v>186</v>
      </c>
      <c r="L1535" t="s">
        <v>147</v>
      </c>
      <c r="M1535" t="s">
        <v>26</v>
      </c>
    </row>
    <row r="1536" spans="1:13" x14ac:dyDescent="0.3">
      <c r="A1536" t="str">
        <f>HYPERLINK("https://hsdes.intel.com/resource/14013174184","14013174184")</f>
        <v>14013174184</v>
      </c>
      <c r="B1536" t="s">
        <v>2960</v>
      </c>
      <c r="C1536" t="s">
        <v>3189</v>
      </c>
      <c r="D1536" t="s">
        <v>2961</v>
      </c>
      <c r="E1536" t="s">
        <v>1385</v>
      </c>
      <c r="G1536" t="s">
        <v>3204</v>
      </c>
      <c r="I1536" t="s">
        <v>167</v>
      </c>
      <c r="J1536" t="s">
        <v>186</v>
      </c>
      <c r="L1536" t="s">
        <v>147</v>
      </c>
      <c r="M1536" t="s">
        <v>26</v>
      </c>
    </row>
    <row r="1537" spans="1:13" x14ac:dyDescent="0.3">
      <c r="A1537" t="str">
        <f>HYPERLINK("https://hsdes.intel.com/resource/14013174191","14013174191")</f>
        <v>14013174191</v>
      </c>
      <c r="B1537" t="s">
        <v>3209</v>
      </c>
      <c r="C1537" t="s">
        <v>3189</v>
      </c>
      <c r="D1537" t="s">
        <v>3210</v>
      </c>
      <c r="E1537" t="s">
        <v>1385</v>
      </c>
      <c r="G1537" t="s">
        <v>3204</v>
      </c>
      <c r="I1537" t="s">
        <v>167</v>
      </c>
      <c r="J1537" t="s">
        <v>186</v>
      </c>
      <c r="L1537" t="s">
        <v>147</v>
      </c>
      <c r="M1537" t="s">
        <v>26</v>
      </c>
    </row>
    <row r="1538" spans="1:13" x14ac:dyDescent="0.3">
      <c r="A1538" t="str">
        <f>HYPERLINK("https://hsdes.intel.com/resource/14013174254","14013174254")</f>
        <v>14013174254</v>
      </c>
      <c r="B1538" t="s">
        <v>3211</v>
      </c>
      <c r="C1538" t="s">
        <v>3189</v>
      </c>
      <c r="D1538" t="s">
        <v>3212</v>
      </c>
      <c r="E1538" t="s">
        <v>1385</v>
      </c>
      <c r="G1538" t="s">
        <v>3204</v>
      </c>
      <c r="I1538" t="s">
        <v>167</v>
      </c>
      <c r="J1538" t="s">
        <v>186</v>
      </c>
      <c r="L1538" t="s">
        <v>147</v>
      </c>
      <c r="M1538" t="s">
        <v>26</v>
      </c>
    </row>
    <row r="1539" spans="1:13" x14ac:dyDescent="0.3">
      <c r="A1539" t="str">
        <f>HYPERLINK("https://hsdes.intel.com/resource/14013174256","14013174256")</f>
        <v>14013174256</v>
      </c>
      <c r="B1539" t="s">
        <v>3213</v>
      </c>
      <c r="C1539" t="s">
        <v>3189</v>
      </c>
      <c r="D1539" t="s">
        <v>3214</v>
      </c>
      <c r="E1539" t="s">
        <v>1385</v>
      </c>
      <c r="G1539" t="s">
        <v>3204</v>
      </c>
      <c r="I1539" t="s">
        <v>167</v>
      </c>
      <c r="J1539" t="s">
        <v>186</v>
      </c>
      <c r="L1539" t="s">
        <v>147</v>
      </c>
      <c r="M1539" t="s">
        <v>22</v>
      </c>
    </row>
    <row r="1540" spans="1:13" x14ac:dyDescent="0.3">
      <c r="A1540" t="str">
        <f>HYPERLINK("https://hsdes.intel.com/resource/14013174293","14013174293")</f>
        <v>14013174293</v>
      </c>
      <c r="B1540" t="s">
        <v>2965</v>
      </c>
      <c r="C1540" t="s">
        <v>3189</v>
      </c>
      <c r="D1540" t="s">
        <v>2966</v>
      </c>
      <c r="E1540" t="s">
        <v>1385</v>
      </c>
      <c r="G1540" t="s">
        <v>3204</v>
      </c>
      <c r="I1540" t="s">
        <v>167</v>
      </c>
      <c r="J1540" t="s">
        <v>186</v>
      </c>
      <c r="L1540" t="s">
        <v>147</v>
      </c>
      <c r="M1540" t="s">
        <v>19</v>
      </c>
    </row>
    <row r="1541" spans="1:13" x14ac:dyDescent="0.3">
      <c r="A1541" t="str">
        <f>HYPERLINK("https://hsdes.intel.com/resource/14013174301","14013174301")</f>
        <v>14013174301</v>
      </c>
      <c r="B1541" t="s">
        <v>3215</v>
      </c>
      <c r="C1541" t="s">
        <v>3189</v>
      </c>
      <c r="D1541" t="s">
        <v>3216</v>
      </c>
      <c r="E1541" t="s">
        <v>1385</v>
      </c>
      <c r="G1541" t="s">
        <v>3204</v>
      </c>
      <c r="I1541" t="s">
        <v>167</v>
      </c>
      <c r="J1541" t="s">
        <v>186</v>
      </c>
      <c r="L1541" t="s">
        <v>147</v>
      </c>
      <c r="M1541" t="s">
        <v>19</v>
      </c>
    </row>
    <row r="1542" spans="1:13" x14ac:dyDescent="0.3">
      <c r="A1542" t="str">
        <f>HYPERLINK("https://hsdes.intel.com/resource/14013174471","14013174471")</f>
        <v>14013174471</v>
      </c>
      <c r="B1542" t="s">
        <v>2967</v>
      </c>
      <c r="C1542" t="s">
        <v>3189</v>
      </c>
      <c r="D1542" t="s">
        <v>2968</v>
      </c>
      <c r="E1542" t="s">
        <v>1385</v>
      </c>
      <c r="I1542" t="s">
        <v>167</v>
      </c>
      <c r="J1542" t="s">
        <v>151</v>
      </c>
      <c r="L1542" t="s">
        <v>147</v>
      </c>
      <c r="M1542" t="s">
        <v>26</v>
      </c>
    </row>
    <row r="1543" spans="1:13" x14ac:dyDescent="0.3">
      <c r="A1543" t="str">
        <f>HYPERLINK("https://hsdes.intel.com/resource/14013174569","14013174569")</f>
        <v>14013174569</v>
      </c>
      <c r="B1543" t="s">
        <v>2969</v>
      </c>
      <c r="C1543" t="s">
        <v>3189</v>
      </c>
      <c r="D1543" t="s">
        <v>2970</v>
      </c>
      <c r="E1543" t="s">
        <v>14</v>
      </c>
      <c r="G1543" t="s">
        <v>3190</v>
      </c>
      <c r="H1543" s="2">
        <v>44800</v>
      </c>
      <c r="I1543" t="s">
        <v>167</v>
      </c>
      <c r="J1543" t="s">
        <v>151</v>
      </c>
      <c r="L1543" t="s">
        <v>147</v>
      </c>
      <c r="M1543" t="s">
        <v>26</v>
      </c>
    </row>
    <row r="1544" spans="1:13" x14ac:dyDescent="0.3">
      <c r="A1544" t="str">
        <f>HYPERLINK("https://hsdes.intel.com/resource/14013174748","14013174748")</f>
        <v>14013174748</v>
      </c>
      <c r="B1544" t="s">
        <v>2973</v>
      </c>
      <c r="C1544" t="s">
        <v>3189</v>
      </c>
      <c r="D1544" t="s">
        <v>2974</v>
      </c>
      <c r="E1544" t="s">
        <v>14</v>
      </c>
      <c r="G1544" t="s">
        <v>3217</v>
      </c>
      <c r="H1544" s="2">
        <v>44801</v>
      </c>
      <c r="I1544" t="s">
        <v>167</v>
      </c>
      <c r="J1544" t="s">
        <v>168</v>
      </c>
      <c r="L1544" t="s">
        <v>147</v>
      </c>
      <c r="M1544" t="s">
        <v>26</v>
      </c>
    </row>
    <row r="1545" spans="1:13" x14ac:dyDescent="0.3">
      <c r="A1545" t="str">
        <f>HYPERLINK("https://hsdes.intel.com/resource/14013174839","14013174839")</f>
        <v>14013174839</v>
      </c>
      <c r="B1545" t="s">
        <v>2980</v>
      </c>
      <c r="C1545" t="s">
        <v>3189</v>
      </c>
      <c r="D1545" t="s">
        <v>2981</v>
      </c>
      <c r="E1545" t="s">
        <v>1385</v>
      </c>
      <c r="I1545" t="s">
        <v>167</v>
      </c>
      <c r="J1545" t="s">
        <v>151</v>
      </c>
      <c r="L1545" t="s">
        <v>147</v>
      </c>
      <c r="M1545" t="s">
        <v>26</v>
      </c>
    </row>
    <row r="1546" spans="1:13" x14ac:dyDescent="0.3">
      <c r="A1546" t="str">
        <f>HYPERLINK("https://hsdes.intel.com/resource/14013175022","14013175022")</f>
        <v>14013175022</v>
      </c>
      <c r="B1546" t="s">
        <v>3218</v>
      </c>
      <c r="C1546" t="s">
        <v>3189</v>
      </c>
      <c r="D1546" t="s">
        <v>3219</v>
      </c>
      <c r="E1546" t="s">
        <v>1385</v>
      </c>
      <c r="G1546" t="s">
        <v>3204</v>
      </c>
      <c r="I1546" t="s">
        <v>167</v>
      </c>
      <c r="J1546" t="s">
        <v>186</v>
      </c>
      <c r="L1546" t="s">
        <v>147</v>
      </c>
      <c r="M1546" t="s">
        <v>19</v>
      </c>
    </row>
    <row r="1547" spans="1:13" x14ac:dyDescent="0.3">
      <c r="A1547" t="str">
        <f>HYPERLINK("https://hsdes.intel.com/resource/14013175026","14013175026")</f>
        <v>14013175026</v>
      </c>
      <c r="B1547" t="s">
        <v>3220</v>
      </c>
      <c r="C1547" t="s">
        <v>3189</v>
      </c>
      <c r="D1547" t="s">
        <v>3221</v>
      </c>
      <c r="E1547" t="s">
        <v>1385</v>
      </c>
      <c r="G1547" t="s">
        <v>3204</v>
      </c>
      <c r="I1547" t="s">
        <v>167</v>
      </c>
      <c r="J1547" t="s">
        <v>186</v>
      </c>
      <c r="L1547" t="s">
        <v>147</v>
      </c>
      <c r="M1547" t="s">
        <v>26</v>
      </c>
    </row>
    <row r="1548" spans="1:13" x14ac:dyDescent="0.3">
      <c r="A1548" t="str">
        <f>HYPERLINK("https://hsdes.intel.com/resource/14013175171","14013175171")</f>
        <v>14013175171</v>
      </c>
      <c r="B1548" t="s">
        <v>3222</v>
      </c>
      <c r="C1548" t="s">
        <v>3189</v>
      </c>
      <c r="D1548" t="s">
        <v>3223</v>
      </c>
      <c r="E1548" t="s">
        <v>1385</v>
      </c>
      <c r="G1548" t="s">
        <v>3204</v>
      </c>
      <c r="I1548" t="s">
        <v>167</v>
      </c>
      <c r="J1548" t="s">
        <v>186</v>
      </c>
      <c r="L1548" t="s">
        <v>147</v>
      </c>
      <c r="M1548" t="s">
        <v>22</v>
      </c>
    </row>
    <row r="1549" spans="1:13" x14ac:dyDescent="0.3">
      <c r="A1549" t="str">
        <f>HYPERLINK("https://hsdes.intel.com/resource/14013175174","14013175174")</f>
        <v>14013175174</v>
      </c>
      <c r="B1549" t="s">
        <v>3224</v>
      </c>
      <c r="C1549" t="s">
        <v>3189</v>
      </c>
      <c r="D1549" t="s">
        <v>3225</v>
      </c>
      <c r="E1549" t="s">
        <v>1385</v>
      </c>
      <c r="G1549" t="s">
        <v>3204</v>
      </c>
      <c r="I1549" t="s">
        <v>167</v>
      </c>
      <c r="J1549" t="s">
        <v>186</v>
      </c>
      <c r="L1549" t="s">
        <v>147</v>
      </c>
      <c r="M1549" t="s">
        <v>22</v>
      </c>
    </row>
    <row r="1550" spans="1:13" x14ac:dyDescent="0.3">
      <c r="A1550" t="str">
        <f>HYPERLINK("https://hsdes.intel.com/resource/14013175412","14013175412")</f>
        <v>14013175412</v>
      </c>
      <c r="B1550" t="s">
        <v>3226</v>
      </c>
      <c r="C1550" t="s">
        <v>3189</v>
      </c>
      <c r="D1550" t="s">
        <v>3227</v>
      </c>
      <c r="E1550" t="s">
        <v>1385</v>
      </c>
      <c r="G1550" t="s">
        <v>3204</v>
      </c>
      <c r="I1550" t="s">
        <v>167</v>
      </c>
      <c r="J1550" t="s">
        <v>186</v>
      </c>
      <c r="L1550" t="s">
        <v>147</v>
      </c>
      <c r="M1550" t="s">
        <v>26</v>
      </c>
    </row>
    <row r="1551" spans="1:13" x14ac:dyDescent="0.3">
      <c r="A1551" t="str">
        <f>HYPERLINK("https://hsdes.intel.com/resource/14013175419","14013175419")</f>
        <v>14013175419</v>
      </c>
      <c r="B1551" t="s">
        <v>2985</v>
      </c>
      <c r="C1551" t="s">
        <v>3189</v>
      </c>
      <c r="D1551" t="s">
        <v>2986</v>
      </c>
      <c r="E1551" t="s">
        <v>14</v>
      </c>
      <c r="G1551" t="s">
        <v>3190</v>
      </c>
      <c r="H1551" s="2">
        <v>44800</v>
      </c>
      <c r="I1551" t="s">
        <v>167</v>
      </c>
      <c r="J1551" t="s">
        <v>151</v>
      </c>
      <c r="L1551" t="s">
        <v>147</v>
      </c>
      <c r="M1551" t="s">
        <v>26</v>
      </c>
    </row>
    <row r="1552" spans="1:13" x14ac:dyDescent="0.3">
      <c r="A1552" t="str">
        <f>HYPERLINK("https://hsdes.intel.com/resource/14013175491","14013175491")</f>
        <v>14013175491</v>
      </c>
      <c r="B1552" t="s">
        <v>3228</v>
      </c>
      <c r="C1552" t="s">
        <v>3189</v>
      </c>
      <c r="D1552" t="s">
        <v>3229</v>
      </c>
      <c r="E1552" t="s">
        <v>1385</v>
      </c>
      <c r="G1552" t="s">
        <v>3204</v>
      </c>
      <c r="H1552" s="2">
        <v>44802</v>
      </c>
      <c r="I1552" t="s">
        <v>167</v>
      </c>
      <c r="J1552" t="s">
        <v>186</v>
      </c>
      <c r="L1552" t="s">
        <v>147</v>
      </c>
      <c r="M1552" t="s">
        <v>22</v>
      </c>
    </row>
    <row r="1553" spans="1:13" x14ac:dyDescent="0.3">
      <c r="A1553" t="str">
        <f>HYPERLINK("https://hsdes.intel.com/resource/14013176172","14013176172")</f>
        <v>14013176172</v>
      </c>
      <c r="B1553" t="s">
        <v>2987</v>
      </c>
      <c r="C1553" t="s">
        <v>3189</v>
      </c>
      <c r="D1553" t="s">
        <v>2988</v>
      </c>
      <c r="E1553" t="s">
        <v>120</v>
      </c>
      <c r="F1553" t="s">
        <v>3197</v>
      </c>
      <c r="G1553" t="s">
        <v>81</v>
      </c>
      <c r="I1553" t="s">
        <v>48</v>
      </c>
      <c r="J1553" t="s">
        <v>151</v>
      </c>
      <c r="L1553" t="s">
        <v>152</v>
      </c>
      <c r="M1553" t="s">
        <v>26</v>
      </c>
    </row>
    <row r="1554" spans="1:13" x14ac:dyDescent="0.3">
      <c r="A1554" t="str">
        <f>HYPERLINK("https://hsdes.intel.com/resource/14013176269","14013176269")</f>
        <v>14013176269</v>
      </c>
      <c r="B1554" t="s">
        <v>2989</v>
      </c>
      <c r="C1554" t="s">
        <v>3189</v>
      </c>
      <c r="D1554" t="s">
        <v>2990</v>
      </c>
      <c r="E1554" t="s">
        <v>14</v>
      </c>
      <c r="G1554" t="s">
        <v>3193</v>
      </c>
      <c r="H1554" s="2">
        <v>44800</v>
      </c>
      <c r="I1554" t="s">
        <v>167</v>
      </c>
      <c r="J1554" t="s">
        <v>168</v>
      </c>
      <c r="L1554" t="s">
        <v>147</v>
      </c>
      <c r="M1554" t="s">
        <v>26</v>
      </c>
    </row>
    <row r="1555" spans="1:13" x14ac:dyDescent="0.3">
      <c r="A1555" t="str">
        <f>HYPERLINK("https://hsdes.intel.com/resource/14013176742","14013176742")</f>
        <v>14013176742</v>
      </c>
      <c r="B1555" t="s">
        <v>3143</v>
      </c>
      <c r="C1555" t="s">
        <v>3189</v>
      </c>
      <c r="D1555" t="s">
        <v>3144</v>
      </c>
      <c r="E1555" t="s">
        <v>14</v>
      </c>
      <c r="G1555" t="s">
        <v>3193</v>
      </c>
      <c r="H1555" s="2">
        <v>44800</v>
      </c>
      <c r="I1555" t="s">
        <v>64</v>
      </c>
      <c r="J1555" t="s">
        <v>112</v>
      </c>
      <c r="L1555" t="s">
        <v>66</v>
      </c>
      <c r="M1555" t="s">
        <v>22</v>
      </c>
    </row>
    <row r="1556" spans="1:13" x14ac:dyDescent="0.3">
      <c r="A1556" t="str">
        <f>HYPERLINK("https://hsdes.intel.com/resource/14013177021","14013177021")</f>
        <v>14013177021</v>
      </c>
      <c r="B1556" t="s">
        <v>3147</v>
      </c>
      <c r="C1556" t="s">
        <v>3189</v>
      </c>
      <c r="D1556" t="s">
        <v>3148</v>
      </c>
      <c r="E1556" t="s">
        <v>14</v>
      </c>
      <c r="G1556" t="s">
        <v>3193</v>
      </c>
      <c r="H1556" s="2">
        <v>44800</v>
      </c>
      <c r="I1556" t="s">
        <v>64</v>
      </c>
      <c r="J1556" t="s">
        <v>112</v>
      </c>
      <c r="L1556" t="s">
        <v>66</v>
      </c>
      <c r="M1556" t="s">
        <v>19</v>
      </c>
    </row>
    <row r="1557" spans="1:13" x14ac:dyDescent="0.3">
      <c r="A1557" t="str">
        <f>HYPERLINK("https://hsdes.intel.com/resource/14013177684","14013177684")</f>
        <v>14013177684</v>
      </c>
      <c r="B1557" t="s">
        <v>3154</v>
      </c>
      <c r="C1557" t="s">
        <v>3189</v>
      </c>
      <c r="D1557" t="s">
        <v>3155</v>
      </c>
      <c r="E1557" t="s">
        <v>14</v>
      </c>
      <c r="G1557" t="s">
        <v>3193</v>
      </c>
      <c r="H1557" s="2">
        <v>44800</v>
      </c>
      <c r="I1557" t="s">
        <v>64</v>
      </c>
      <c r="J1557" t="s">
        <v>112</v>
      </c>
      <c r="L1557" t="s">
        <v>66</v>
      </c>
      <c r="M1557" t="s">
        <v>19</v>
      </c>
    </row>
    <row r="1558" spans="1:13" x14ac:dyDescent="0.3">
      <c r="A1558" t="str">
        <f>HYPERLINK("https://hsdes.intel.com/resource/14013177838","14013177838")</f>
        <v>14013177838</v>
      </c>
      <c r="B1558" t="s">
        <v>3166</v>
      </c>
      <c r="C1558" t="s">
        <v>3189</v>
      </c>
      <c r="D1558" t="s">
        <v>3167</v>
      </c>
      <c r="E1558" t="s">
        <v>14</v>
      </c>
      <c r="G1558" t="s">
        <v>3190</v>
      </c>
      <c r="H1558" s="2">
        <v>44802</v>
      </c>
      <c r="I1558" t="s">
        <v>64</v>
      </c>
      <c r="J1558" t="s">
        <v>112</v>
      </c>
      <c r="L1558" t="s">
        <v>66</v>
      </c>
      <c r="M1558" t="s">
        <v>19</v>
      </c>
    </row>
    <row r="1559" spans="1:13" x14ac:dyDescent="0.3">
      <c r="A1559" t="str">
        <f>HYPERLINK("https://hsdes.intel.com/resource/14013178043","14013178043")</f>
        <v>14013178043</v>
      </c>
      <c r="B1559" t="s">
        <v>2991</v>
      </c>
      <c r="C1559" t="s">
        <v>3189</v>
      </c>
      <c r="D1559" t="s">
        <v>2992</v>
      </c>
      <c r="E1559" t="s">
        <v>120</v>
      </c>
      <c r="F1559" t="s">
        <v>3197</v>
      </c>
      <c r="G1559" t="s">
        <v>81</v>
      </c>
      <c r="I1559" t="s">
        <v>48</v>
      </c>
      <c r="J1559" t="s">
        <v>151</v>
      </c>
      <c r="L1559" t="s">
        <v>152</v>
      </c>
      <c r="M1559" t="s">
        <v>22</v>
      </c>
    </row>
    <row r="1560" spans="1:13" x14ac:dyDescent="0.3">
      <c r="A1560" t="str">
        <f>HYPERLINK("https://hsdes.intel.com/resource/14013178862","14013178862")</f>
        <v>14013178862</v>
      </c>
      <c r="B1560" t="s">
        <v>3178</v>
      </c>
      <c r="C1560" t="s">
        <v>3189</v>
      </c>
      <c r="D1560" t="s">
        <v>3179</v>
      </c>
      <c r="E1560" t="s">
        <v>120</v>
      </c>
      <c r="F1560" t="s">
        <v>3230</v>
      </c>
      <c r="G1560" t="s">
        <v>81</v>
      </c>
      <c r="I1560" t="s">
        <v>64</v>
      </c>
      <c r="J1560" t="s">
        <v>112</v>
      </c>
      <c r="L1560" t="s">
        <v>66</v>
      </c>
      <c r="M1560" t="s">
        <v>19</v>
      </c>
    </row>
    <row r="1561" spans="1:13" x14ac:dyDescent="0.3">
      <c r="A1561" t="str">
        <f>HYPERLINK("https://hsdes.intel.com/resource/14013179099","14013179099")</f>
        <v>14013179099</v>
      </c>
      <c r="B1561" t="s">
        <v>3231</v>
      </c>
      <c r="C1561" t="s">
        <v>3189</v>
      </c>
      <c r="D1561" t="s">
        <v>3232</v>
      </c>
      <c r="E1561" t="s">
        <v>120</v>
      </c>
      <c r="F1561" t="s">
        <v>3233</v>
      </c>
      <c r="G1561" t="s">
        <v>81</v>
      </c>
      <c r="I1561" t="s">
        <v>167</v>
      </c>
      <c r="J1561" t="s">
        <v>115</v>
      </c>
      <c r="L1561" t="s">
        <v>147</v>
      </c>
      <c r="M1561" t="s">
        <v>26</v>
      </c>
    </row>
    <row r="1562" spans="1:13" x14ac:dyDescent="0.3">
      <c r="A1562" t="str">
        <f>HYPERLINK("https://hsdes.intel.com/resource/14013179137","14013179137")</f>
        <v>14013179137</v>
      </c>
      <c r="B1562" t="s">
        <v>3001</v>
      </c>
      <c r="C1562" t="s">
        <v>3189</v>
      </c>
      <c r="D1562" t="s">
        <v>3002</v>
      </c>
      <c r="E1562" t="s">
        <v>14</v>
      </c>
      <c r="F1562" t="s">
        <v>25</v>
      </c>
      <c r="G1562" t="s">
        <v>3193</v>
      </c>
      <c r="H1562" s="2">
        <v>44800</v>
      </c>
      <c r="I1562" t="s">
        <v>167</v>
      </c>
      <c r="J1562" t="s">
        <v>168</v>
      </c>
      <c r="L1562" t="s">
        <v>147</v>
      </c>
      <c r="M1562" t="s">
        <v>26</v>
      </c>
    </row>
    <row r="1563" spans="1:13" x14ac:dyDescent="0.3">
      <c r="A1563" t="str">
        <f>HYPERLINK("https://hsdes.intel.com/resource/14013184885","14013184885")</f>
        <v>14013184885</v>
      </c>
      <c r="B1563" t="s">
        <v>3003</v>
      </c>
      <c r="C1563" t="s">
        <v>3189</v>
      </c>
      <c r="D1563" t="s">
        <v>3004</v>
      </c>
      <c r="E1563" t="s">
        <v>14</v>
      </c>
      <c r="G1563" t="s">
        <v>3217</v>
      </c>
      <c r="H1563" s="2">
        <v>44801</v>
      </c>
      <c r="I1563" t="s">
        <v>167</v>
      </c>
      <c r="J1563" t="s">
        <v>2063</v>
      </c>
      <c r="L1563" t="s">
        <v>147</v>
      </c>
      <c r="M1563" t="s">
        <v>26</v>
      </c>
    </row>
    <row r="1564" spans="1:13" x14ac:dyDescent="0.3">
      <c r="A1564" t="str">
        <f>HYPERLINK("https://hsdes.intel.com/resource/14013184965","14013184965")</f>
        <v>14013184965</v>
      </c>
      <c r="B1564" t="s">
        <v>3005</v>
      </c>
      <c r="C1564" t="s">
        <v>3189</v>
      </c>
      <c r="D1564" t="s">
        <v>3006</v>
      </c>
      <c r="E1564" t="s">
        <v>14</v>
      </c>
      <c r="G1564" t="s">
        <v>3190</v>
      </c>
      <c r="H1564" s="2">
        <v>44802</v>
      </c>
      <c r="I1564" t="s">
        <v>167</v>
      </c>
      <c r="J1564" t="s">
        <v>2063</v>
      </c>
      <c r="L1564" t="s">
        <v>147</v>
      </c>
      <c r="M1564" t="s">
        <v>26</v>
      </c>
    </row>
    <row r="1565" spans="1:13" x14ac:dyDescent="0.3">
      <c r="A1565" t="str">
        <f>HYPERLINK("https://hsdes.intel.com/resource/14013185495","14013185495")</f>
        <v>14013185495</v>
      </c>
      <c r="B1565" t="s">
        <v>3007</v>
      </c>
      <c r="C1565" t="s">
        <v>3189</v>
      </c>
      <c r="D1565" t="s">
        <v>3008</v>
      </c>
      <c r="E1565" t="s">
        <v>14</v>
      </c>
      <c r="G1565" t="s">
        <v>3193</v>
      </c>
      <c r="H1565" s="2">
        <v>44800</v>
      </c>
      <c r="I1565" t="s">
        <v>167</v>
      </c>
      <c r="J1565" t="s">
        <v>186</v>
      </c>
      <c r="L1565" t="s">
        <v>147</v>
      </c>
      <c r="M1565" t="s">
        <v>26</v>
      </c>
    </row>
    <row r="1566" spans="1:13" x14ac:dyDescent="0.3">
      <c r="A1566" t="str">
        <f>HYPERLINK("https://hsdes.intel.com/resource/14013187971","14013187971")</f>
        <v>14013187971</v>
      </c>
      <c r="B1566" t="s">
        <v>3234</v>
      </c>
      <c r="C1566" t="s">
        <v>3189</v>
      </c>
      <c r="D1566" t="s">
        <v>3235</v>
      </c>
      <c r="E1566" t="s">
        <v>612</v>
      </c>
      <c r="F1566" t="s">
        <v>3236</v>
      </c>
      <c r="G1566" t="s">
        <v>3190</v>
      </c>
      <c r="H1566" s="2">
        <v>44803</v>
      </c>
      <c r="I1566" t="s">
        <v>167</v>
      </c>
      <c r="J1566" t="s">
        <v>2039</v>
      </c>
      <c r="L1566" t="s">
        <v>147</v>
      </c>
      <c r="M1566" t="s">
        <v>26</v>
      </c>
    </row>
    <row r="1567" spans="1:13" x14ac:dyDescent="0.3">
      <c r="A1567" t="str">
        <f>HYPERLINK("https://hsdes.intel.com/resource/16012367017","16012367017")</f>
        <v>16012367017</v>
      </c>
      <c r="B1567" t="s">
        <v>3009</v>
      </c>
      <c r="C1567" t="s">
        <v>3189</v>
      </c>
      <c r="D1567" t="s">
        <v>3010</v>
      </c>
      <c r="E1567" t="s">
        <v>97</v>
      </c>
      <c r="F1567" t="s">
        <v>3237</v>
      </c>
      <c r="G1567" t="s">
        <v>57</v>
      </c>
      <c r="I1567" t="s">
        <v>167</v>
      </c>
      <c r="J1567" t="s">
        <v>151</v>
      </c>
      <c r="L1567" t="s">
        <v>147</v>
      </c>
      <c r="M1567" t="s">
        <v>26</v>
      </c>
    </row>
    <row r="1568" spans="1:13" x14ac:dyDescent="0.3">
      <c r="A1568" t="str">
        <f>HYPERLINK("https://hsdes.intel.com/resource/16013328015","16013328015")</f>
        <v>16013328015</v>
      </c>
      <c r="B1568" t="s">
        <v>3238</v>
      </c>
      <c r="C1568" t="s">
        <v>3189</v>
      </c>
      <c r="D1568" t="s">
        <v>3186</v>
      </c>
      <c r="E1568" t="s">
        <v>1385</v>
      </c>
      <c r="G1568" t="s">
        <v>3204</v>
      </c>
      <c r="H1568" s="2">
        <v>44802</v>
      </c>
      <c r="I1568" t="s">
        <v>167</v>
      </c>
      <c r="J1568" t="s">
        <v>186</v>
      </c>
      <c r="L1568" t="s">
        <v>147</v>
      </c>
      <c r="M1568" t="s">
        <v>22</v>
      </c>
    </row>
    <row r="1569" spans="1:13" x14ac:dyDescent="0.3">
      <c r="A1569" t="str">
        <f>HYPERLINK("https://hsdes.intel.com/resource/16013328615","16013328615")</f>
        <v>16013328615</v>
      </c>
      <c r="B1569" t="s">
        <v>3239</v>
      </c>
      <c r="C1569" t="s">
        <v>3189</v>
      </c>
      <c r="D1569" t="s">
        <v>3186</v>
      </c>
      <c r="E1569" t="s">
        <v>1385</v>
      </c>
      <c r="G1569" t="s">
        <v>3204</v>
      </c>
      <c r="I1569" t="s">
        <v>167</v>
      </c>
      <c r="J1569" t="s">
        <v>186</v>
      </c>
      <c r="L1569" t="s">
        <v>147</v>
      </c>
      <c r="M1569" t="s">
        <v>22</v>
      </c>
    </row>
    <row r="1570" spans="1:13" x14ac:dyDescent="0.3">
      <c r="A1570" t="str">
        <f>HYPERLINK("https://hsdes.intel.com/resource/16014777355","16014777355")</f>
        <v>16014777355</v>
      </c>
      <c r="B1570" t="s">
        <v>3015</v>
      </c>
      <c r="C1570" t="s">
        <v>3189</v>
      </c>
      <c r="D1570" t="s">
        <v>2752</v>
      </c>
      <c r="E1570" t="s">
        <v>14</v>
      </c>
      <c r="G1570" t="s">
        <v>3217</v>
      </c>
      <c r="H1570" s="2">
        <v>44801</v>
      </c>
      <c r="I1570" t="s">
        <v>167</v>
      </c>
      <c r="J1570" t="s">
        <v>168</v>
      </c>
      <c r="L1570" t="s">
        <v>147</v>
      </c>
      <c r="M1570" t="s">
        <v>26</v>
      </c>
    </row>
    <row r="1571" spans="1:13" x14ac:dyDescent="0.3">
      <c r="A1571" t="str">
        <f>HYPERLINK("https://hsdes.intel.com/resource/16015067899","16015067899")</f>
        <v>16015067899</v>
      </c>
      <c r="B1571" t="s">
        <v>3018</v>
      </c>
      <c r="C1571" t="s">
        <v>3189</v>
      </c>
      <c r="D1571" t="s">
        <v>2752</v>
      </c>
      <c r="E1571" t="s">
        <v>14</v>
      </c>
      <c r="G1571" t="s">
        <v>3217</v>
      </c>
      <c r="H1571" s="2">
        <v>44801</v>
      </c>
      <c r="I1571" t="s">
        <v>167</v>
      </c>
      <c r="J1571" t="s">
        <v>168</v>
      </c>
      <c r="L1571" t="s">
        <v>147</v>
      </c>
      <c r="M1571" t="s">
        <v>26</v>
      </c>
    </row>
    <row r="1572" spans="1:13" x14ac:dyDescent="0.3">
      <c r="A1572" t="str">
        <f>HYPERLINK("https://hsdes.intel.com/resource/16015168939","16015168939")</f>
        <v>16015168939</v>
      </c>
      <c r="B1572" t="s">
        <v>3019</v>
      </c>
      <c r="C1572" t="s">
        <v>3189</v>
      </c>
      <c r="D1572" t="s">
        <v>2695</v>
      </c>
      <c r="E1572" t="s">
        <v>120</v>
      </c>
      <c r="G1572" t="s">
        <v>3204</v>
      </c>
      <c r="I1572" t="s">
        <v>167</v>
      </c>
      <c r="J1572" t="s">
        <v>2697</v>
      </c>
      <c r="L1572" t="s">
        <v>147</v>
      </c>
      <c r="M1572" t="s">
        <v>26</v>
      </c>
    </row>
    <row r="1573" spans="1:13" x14ac:dyDescent="0.3">
      <c r="A1573" t="str">
        <f>HYPERLINK("https://hsdes.intel.com/resource/22011834358","22011834358")</f>
        <v>22011834358</v>
      </c>
      <c r="B1573" t="s">
        <v>3022</v>
      </c>
      <c r="C1573" t="s">
        <v>3189</v>
      </c>
      <c r="D1573" t="s">
        <v>3023</v>
      </c>
      <c r="E1573" t="s">
        <v>14</v>
      </c>
      <c r="F1573" t="s">
        <v>3240</v>
      </c>
      <c r="G1573" t="s">
        <v>3193</v>
      </c>
      <c r="H1573" s="2">
        <v>44800</v>
      </c>
      <c r="I1573" t="s">
        <v>64</v>
      </c>
      <c r="J1573" t="s">
        <v>191</v>
      </c>
      <c r="L1573" t="s">
        <v>192</v>
      </c>
      <c r="M1573" t="s">
        <v>22</v>
      </c>
    </row>
    <row r="1574" spans="1:13" x14ac:dyDescent="0.3">
      <c r="A1574" t="str">
        <f>HYPERLINK("https://hsdes.intel.com/resource/14013156734","14013156734")</f>
        <v>14013156734</v>
      </c>
      <c r="B1574" t="s">
        <v>3094</v>
      </c>
      <c r="C1574" t="s">
        <v>3241</v>
      </c>
      <c r="D1574" t="s">
        <v>3096</v>
      </c>
      <c r="E1574" t="s">
        <v>14</v>
      </c>
      <c r="F1574" t="s">
        <v>3242</v>
      </c>
      <c r="G1574" t="s">
        <v>37</v>
      </c>
      <c r="H1574" s="2">
        <v>44784</v>
      </c>
      <c r="I1574" t="s">
        <v>64</v>
      </c>
      <c r="J1574" t="s">
        <v>112</v>
      </c>
      <c r="L1574" t="s">
        <v>66</v>
      </c>
      <c r="M1574" t="s">
        <v>22</v>
      </c>
    </row>
    <row r="1575" spans="1:13" x14ac:dyDescent="0.3">
      <c r="A1575" t="str">
        <f>HYPERLINK("https://hsdes.intel.com/resource/14013156768","14013156768")</f>
        <v>14013156768</v>
      </c>
      <c r="B1575" t="s">
        <v>3099</v>
      </c>
      <c r="C1575" t="s">
        <v>3241</v>
      </c>
      <c r="D1575" t="s">
        <v>3100</v>
      </c>
      <c r="E1575" t="s">
        <v>14</v>
      </c>
      <c r="F1575" t="s">
        <v>3243</v>
      </c>
      <c r="G1575" t="s">
        <v>37</v>
      </c>
      <c r="H1575" s="2">
        <v>44802</v>
      </c>
      <c r="I1575" t="s">
        <v>64</v>
      </c>
      <c r="J1575" t="s">
        <v>112</v>
      </c>
      <c r="L1575" t="s">
        <v>66</v>
      </c>
      <c r="M1575" t="s">
        <v>19</v>
      </c>
    </row>
    <row r="1576" spans="1:13" x14ac:dyDescent="0.3">
      <c r="A1576" t="str">
        <f>HYPERLINK("https://hsdes.intel.com/resource/14013158827","14013158827")</f>
        <v>14013158827</v>
      </c>
      <c r="B1576" t="s">
        <v>2886</v>
      </c>
      <c r="C1576" t="s">
        <v>3241</v>
      </c>
      <c r="D1576" t="s">
        <v>2887</v>
      </c>
      <c r="E1576" t="s">
        <v>14</v>
      </c>
      <c r="F1576" t="s">
        <v>3243</v>
      </c>
      <c r="G1576" t="s">
        <v>37</v>
      </c>
      <c r="H1576" s="2">
        <v>44802</v>
      </c>
      <c r="I1576" t="s">
        <v>16</v>
      </c>
      <c r="J1576" t="s">
        <v>17</v>
      </c>
      <c r="L1576" t="s">
        <v>18</v>
      </c>
      <c r="M1576" t="s">
        <v>19</v>
      </c>
    </row>
    <row r="1577" spans="1:13" x14ac:dyDescent="0.3">
      <c r="A1577" t="str">
        <f>HYPERLINK("https://hsdes.intel.com/resource/14013158828","14013158828")</f>
        <v>14013158828</v>
      </c>
      <c r="B1577" t="s">
        <v>2889</v>
      </c>
      <c r="C1577" t="s">
        <v>3241</v>
      </c>
      <c r="D1577" t="s">
        <v>2890</v>
      </c>
      <c r="E1577" t="s">
        <v>14</v>
      </c>
      <c r="F1577" t="s">
        <v>3243</v>
      </c>
      <c r="G1577" t="s">
        <v>3190</v>
      </c>
      <c r="H1577" s="2">
        <v>44800</v>
      </c>
      <c r="I1577" t="s">
        <v>16</v>
      </c>
      <c r="J1577" t="s">
        <v>17</v>
      </c>
      <c r="L1577" t="s">
        <v>18</v>
      </c>
      <c r="M1577" t="s">
        <v>19</v>
      </c>
    </row>
    <row r="1578" spans="1:13" x14ac:dyDescent="0.3">
      <c r="A1578" t="str">
        <f>HYPERLINK("https://hsdes.intel.com/resource/14013158830","14013158830")</f>
        <v>14013158830</v>
      </c>
      <c r="B1578" t="s">
        <v>2891</v>
      </c>
      <c r="C1578" t="s">
        <v>3241</v>
      </c>
      <c r="D1578" t="s">
        <v>2892</v>
      </c>
      <c r="E1578" t="s">
        <v>14</v>
      </c>
      <c r="F1578" t="s">
        <v>3243</v>
      </c>
      <c r="G1578" t="s">
        <v>3190</v>
      </c>
      <c r="H1578" s="2">
        <v>44800</v>
      </c>
      <c r="I1578" t="s">
        <v>16</v>
      </c>
      <c r="J1578" t="s">
        <v>17</v>
      </c>
      <c r="L1578" t="s">
        <v>18</v>
      </c>
      <c r="M1578" t="s">
        <v>19</v>
      </c>
    </row>
    <row r="1579" spans="1:13" x14ac:dyDescent="0.3">
      <c r="A1579" t="str">
        <f>HYPERLINK("https://hsdes.intel.com/resource/14013159287","14013159287")</f>
        <v>14013159287</v>
      </c>
      <c r="B1579" t="s">
        <v>2903</v>
      </c>
      <c r="C1579" t="s">
        <v>3241</v>
      </c>
      <c r="D1579" t="s">
        <v>2904</v>
      </c>
      <c r="E1579" t="s">
        <v>14</v>
      </c>
      <c r="F1579" t="s">
        <v>3243</v>
      </c>
      <c r="G1579" t="s">
        <v>37</v>
      </c>
      <c r="H1579" s="2">
        <v>44802</v>
      </c>
      <c r="I1579" t="s">
        <v>16</v>
      </c>
      <c r="J1579" t="s">
        <v>17</v>
      </c>
      <c r="L1579" t="s">
        <v>18</v>
      </c>
      <c r="M1579" t="s">
        <v>22</v>
      </c>
    </row>
    <row r="1580" spans="1:13" x14ac:dyDescent="0.3">
      <c r="A1580" t="str">
        <f>HYPERLINK("https://hsdes.intel.com/resource/14013160917","14013160917")</f>
        <v>14013160917</v>
      </c>
      <c r="B1580" t="s">
        <v>3106</v>
      </c>
      <c r="C1580" t="s">
        <v>3241</v>
      </c>
      <c r="D1580" t="s">
        <v>3107</v>
      </c>
      <c r="E1580" t="s">
        <v>14</v>
      </c>
      <c r="F1580" t="s">
        <v>3242</v>
      </c>
      <c r="G1580" t="s">
        <v>37</v>
      </c>
      <c r="H1580" s="2">
        <v>44784</v>
      </c>
      <c r="I1580" t="s">
        <v>64</v>
      </c>
      <c r="J1580" t="s">
        <v>191</v>
      </c>
      <c r="L1580" t="s">
        <v>192</v>
      </c>
      <c r="M1580" t="s">
        <v>22</v>
      </c>
    </row>
    <row r="1581" spans="1:13" x14ac:dyDescent="0.3">
      <c r="A1581" t="str">
        <f>HYPERLINK("https://hsdes.intel.com/resource/14013163326","14013163326")</f>
        <v>14013163326</v>
      </c>
      <c r="B1581" t="s">
        <v>2923</v>
      </c>
      <c r="C1581" t="s">
        <v>3241</v>
      </c>
      <c r="D1581" t="s">
        <v>2924</v>
      </c>
      <c r="E1581" t="s">
        <v>120</v>
      </c>
      <c r="F1581" t="s">
        <v>3243</v>
      </c>
      <c r="G1581" t="s">
        <v>37</v>
      </c>
      <c r="H1581" s="2">
        <v>44802</v>
      </c>
      <c r="I1581" t="s">
        <v>16</v>
      </c>
      <c r="J1581" t="s">
        <v>17</v>
      </c>
      <c r="L1581" t="s">
        <v>18</v>
      </c>
      <c r="M1581" t="s">
        <v>26</v>
      </c>
    </row>
    <row r="1582" spans="1:13" x14ac:dyDescent="0.3">
      <c r="A1582" t="str">
        <f>HYPERLINK("https://hsdes.intel.com/resource/14013168276","14013168276")</f>
        <v>14013168276</v>
      </c>
      <c r="B1582" t="s">
        <v>3110</v>
      </c>
      <c r="C1582" t="s">
        <v>3241</v>
      </c>
      <c r="D1582" t="s">
        <v>3111</v>
      </c>
      <c r="E1582" t="s">
        <v>14</v>
      </c>
      <c r="F1582" t="s">
        <v>3242</v>
      </c>
      <c r="G1582" t="s">
        <v>37</v>
      </c>
      <c r="I1582" t="s">
        <v>64</v>
      </c>
      <c r="J1582" t="s">
        <v>191</v>
      </c>
      <c r="L1582" t="s">
        <v>192</v>
      </c>
      <c r="M1582" t="s">
        <v>26</v>
      </c>
    </row>
    <row r="1583" spans="1:13" x14ac:dyDescent="0.3">
      <c r="A1583" t="str">
        <f>HYPERLINK("https://hsdes.intel.com/resource/14013168584","14013168584")</f>
        <v>14013168584</v>
      </c>
      <c r="B1583" t="s">
        <v>3112</v>
      </c>
      <c r="C1583" t="s">
        <v>3241</v>
      </c>
      <c r="D1583" t="s">
        <v>3113</v>
      </c>
      <c r="E1583" t="s">
        <v>14</v>
      </c>
      <c r="F1583" t="s">
        <v>3242</v>
      </c>
      <c r="G1583" t="s">
        <v>37</v>
      </c>
      <c r="I1583" t="s">
        <v>64</v>
      </c>
      <c r="J1583" t="s">
        <v>191</v>
      </c>
      <c r="K1583" t="s">
        <v>3244</v>
      </c>
      <c r="L1583" t="s">
        <v>192</v>
      </c>
      <c r="M1583" t="s">
        <v>22</v>
      </c>
    </row>
    <row r="1584" spans="1:13" x14ac:dyDescent="0.3">
      <c r="A1584" t="str">
        <f>HYPERLINK("https://hsdes.intel.com/resource/14013168646","14013168646")</f>
        <v>14013168646</v>
      </c>
      <c r="B1584" t="s">
        <v>3114</v>
      </c>
      <c r="C1584" t="s">
        <v>3241</v>
      </c>
      <c r="D1584" t="s">
        <v>3115</v>
      </c>
      <c r="E1584" t="s">
        <v>14</v>
      </c>
      <c r="F1584" t="s">
        <v>3242</v>
      </c>
      <c r="G1584" t="s">
        <v>37</v>
      </c>
      <c r="I1584" t="s">
        <v>64</v>
      </c>
      <c r="J1584" t="s">
        <v>191</v>
      </c>
      <c r="K1584" t="s">
        <v>3244</v>
      </c>
      <c r="L1584" t="s">
        <v>192</v>
      </c>
      <c r="M1584" t="s">
        <v>22</v>
      </c>
    </row>
    <row r="1585" spans="1:13" x14ac:dyDescent="0.3">
      <c r="A1585" t="str">
        <f>HYPERLINK("https://hsdes.intel.com/resource/14013168655","14013168655")</f>
        <v>14013168655</v>
      </c>
      <c r="B1585" t="s">
        <v>3116</v>
      </c>
      <c r="C1585" t="s">
        <v>3241</v>
      </c>
      <c r="D1585" t="s">
        <v>3117</v>
      </c>
      <c r="E1585" t="s">
        <v>14</v>
      </c>
      <c r="F1585" t="s">
        <v>3242</v>
      </c>
      <c r="G1585" t="s">
        <v>37</v>
      </c>
      <c r="I1585" t="s">
        <v>64</v>
      </c>
      <c r="J1585" t="s">
        <v>191</v>
      </c>
      <c r="K1585" t="s">
        <v>3244</v>
      </c>
      <c r="L1585" t="s">
        <v>192</v>
      </c>
      <c r="M1585" t="s">
        <v>26</v>
      </c>
    </row>
    <row r="1586" spans="1:13" x14ac:dyDescent="0.3">
      <c r="A1586" t="str">
        <f>HYPERLINK("https://hsdes.intel.com/resource/14013168671","14013168671")</f>
        <v>14013168671</v>
      </c>
      <c r="B1586" t="s">
        <v>3118</v>
      </c>
      <c r="C1586" t="s">
        <v>3241</v>
      </c>
      <c r="D1586" t="s">
        <v>3119</v>
      </c>
      <c r="E1586" t="s">
        <v>14</v>
      </c>
      <c r="F1586" t="s">
        <v>3242</v>
      </c>
      <c r="G1586" t="s">
        <v>37</v>
      </c>
      <c r="I1586" t="s">
        <v>64</v>
      </c>
      <c r="J1586" t="s">
        <v>191</v>
      </c>
      <c r="K1586" t="s">
        <v>3244</v>
      </c>
      <c r="L1586" t="s">
        <v>192</v>
      </c>
      <c r="M1586" t="s">
        <v>26</v>
      </c>
    </row>
    <row r="1587" spans="1:13" x14ac:dyDescent="0.3">
      <c r="A1587" t="str">
        <f>HYPERLINK("https://hsdes.intel.com/resource/14013176742","14013176742")</f>
        <v>14013176742</v>
      </c>
      <c r="B1587" t="s">
        <v>3143</v>
      </c>
      <c r="C1587" t="s">
        <v>3241</v>
      </c>
      <c r="D1587" t="s">
        <v>3144</v>
      </c>
      <c r="E1587" t="s">
        <v>14</v>
      </c>
      <c r="F1587" t="s">
        <v>3242</v>
      </c>
      <c r="G1587" t="s">
        <v>37</v>
      </c>
      <c r="I1587" t="s">
        <v>64</v>
      </c>
      <c r="J1587" t="s">
        <v>112</v>
      </c>
      <c r="L1587" t="s">
        <v>66</v>
      </c>
      <c r="M1587" t="s">
        <v>22</v>
      </c>
    </row>
    <row r="1588" spans="1:13" x14ac:dyDescent="0.3">
      <c r="A1588" t="str">
        <f>HYPERLINK("https://hsdes.intel.com/resource/14013177021","14013177021")</f>
        <v>14013177021</v>
      </c>
      <c r="B1588" t="s">
        <v>3147</v>
      </c>
      <c r="C1588" t="s">
        <v>3241</v>
      </c>
      <c r="D1588" t="s">
        <v>3148</v>
      </c>
      <c r="E1588" t="s">
        <v>14</v>
      </c>
      <c r="F1588" t="s">
        <v>3243</v>
      </c>
      <c r="G1588" t="s">
        <v>37</v>
      </c>
      <c r="H1588" s="2">
        <v>44802</v>
      </c>
      <c r="I1588" t="s">
        <v>64</v>
      </c>
      <c r="J1588" t="s">
        <v>112</v>
      </c>
      <c r="L1588" t="s">
        <v>66</v>
      </c>
      <c r="M1588" t="s">
        <v>19</v>
      </c>
    </row>
    <row r="1589" spans="1:13" x14ac:dyDescent="0.3">
      <c r="A1589" t="str">
        <f>HYPERLINK("https://hsdes.intel.com/resource/14013177684","14013177684")</f>
        <v>14013177684</v>
      </c>
      <c r="B1589" t="s">
        <v>3154</v>
      </c>
      <c r="C1589" t="s">
        <v>3241</v>
      </c>
      <c r="D1589" t="s">
        <v>3155</v>
      </c>
      <c r="E1589" t="s">
        <v>14</v>
      </c>
      <c r="G1589" t="s">
        <v>37</v>
      </c>
      <c r="I1589" t="s">
        <v>64</v>
      </c>
      <c r="J1589" t="s">
        <v>112</v>
      </c>
      <c r="L1589" t="s">
        <v>66</v>
      </c>
      <c r="M1589" t="s">
        <v>19</v>
      </c>
    </row>
    <row r="1590" spans="1:13" x14ac:dyDescent="0.3">
      <c r="A1590" t="str">
        <f>HYPERLINK("https://hsdes.intel.com/resource/14013177838","14013177838")</f>
        <v>14013177838</v>
      </c>
      <c r="B1590" t="s">
        <v>3166</v>
      </c>
      <c r="C1590" t="s">
        <v>3241</v>
      </c>
      <c r="D1590" t="s">
        <v>3167</v>
      </c>
      <c r="E1590" t="s">
        <v>14</v>
      </c>
      <c r="G1590" t="s">
        <v>37</v>
      </c>
      <c r="I1590" t="s">
        <v>64</v>
      </c>
      <c r="J1590" t="s">
        <v>112</v>
      </c>
      <c r="L1590" t="s">
        <v>66</v>
      </c>
      <c r="M1590" t="s">
        <v>19</v>
      </c>
    </row>
    <row r="1591" spans="1:13" x14ac:dyDescent="0.3">
      <c r="A1591" t="str">
        <f>HYPERLINK("https://hsdes.intel.com/resource/14013178862","14013178862")</f>
        <v>14013178862</v>
      </c>
      <c r="B1591" t="s">
        <v>3178</v>
      </c>
      <c r="C1591" t="s">
        <v>3241</v>
      </c>
      <c r="D1591" t="s">
        <v>3179</v>
      </c>
      <c r="E1591" t="s">
        <v>120</v>
      </c>
      <c r="F1591" t="s">
        <v>3245</v>
      </c>
      <c r="G1591" t="s">
        <v>37</v>
      </c>
      <c r="I1591" t="s">
        <v>64</v>
      </c>
      <c r="J1591" t="s">
        <v>112</v>
      </c>
      <c r="L1591" t="s">
        <v>66</v>
      </c>
      <c r="M1591" t="s">
        <v>19</v>
      </c>
    </row>
    <row r="1592" spans="1:13" x14ac:dyDescent="0.3">
      <c r="A1592" t="str">
        <f>HYPERLINK("https://hsdes.intel.com/resource/14013184885","14013184885")</f>
        <v>14013184885</v>
      </c>
      <c r="B1592" t="s">
        <v>3003</v>
      </c>
      <c r="C1592" t="s">
        <v>3241</v>
      </c>
      <c r="D1592" t="s">
        <v>3004</v>
      </c>
      <c r="E1592" t="s">
        <v>14</v>
      </c>
      <c r="F1592" t="s">
        <v>3242</v>
      </c>
      <c r="G1592" t="s">
        <v>37</v>
      </c>
      <c r="I1592" t="s">
        <v>167</v>
      </c>
      <c r="J1592" t="s">
        <v>2063</v>
      </c>
      <c r="L1592" t="s">
        <v>147</v>
      </c>
      <c r="M1592" t="s">
        <v>26</v>
      </c>
    </row>
    <row r="1593" spans="1:13" x14ac:dyDescent="0.3">
      <c r="A1593" t="str">
        <f>HYPERLINK("https://hsdes.intel.com/resource/14013184965","14013184965")</f>
        <v>14013184965</v>
      </c>
      <c r="B1593" t="s">
        <v>3005</v>
      </c>
      <c r="C1593" t="s">
        <v>3241</v>
      </c>
      <c r="D1593" t="s">
        <v>3006</v>
      </c>
      <c r="E1593" t="s">
        <v>14</v>
      </c>
      <c r="F1593" t="s">
        <v>3242</v>
      </c>
      <c r="G1593" t="s">
        <v>37</v>
      </c>
      <c r="I1593" t="s">
        <v>167</v>
      </c>
      <c r="J1593" t="s">
        <v>2063</v>
      </c>
      <c r="L1593" t="s">
        <v>147</v>
      </c>
      <c r="M1593" t="s">
        <v>26</v>
      </c>
    </row>
    <row r="1594" spans="1:13" x14ac:dyDescent="0.3">
      <c r="A1594" t="str">
        <f>HYPERLINK("https://hsdes.intel.com/resource/16012367017","16012367017")</f>
        <v>16012367017</v>
      </c>
      <c r="B1594" t="s">
        <v>3009</v>
      </c>
      <c r="C1594" t="s">
        <v>3241</v>
      </c>
      <c r="D1594" t="s">
        <v>3010</v>
      </c>
      <c r="E1594" t="s">
        <v>120</v>
      </c>
      <c r="G1594" t="s">
        <v>37</v>
      </c>
      <c r="H1594" s="2">
        <v>44802</v>
      </c>
      <c r="I1594" t="s">
        <v>167</v>
      </c>
      <c r="J1594" t="s">
        <v>151</v>
      </c>
      <c r="L1594" t="s">
        <v>147</v>
      </c>
      <c r="M1594" t="s">
        <v>26</v>
      </c>
    </row>
    <row r="1595" spans="1:13" x14ac:dyDescent="0.3">
      <c r="A1595" t="str">
        <f>HYPERLINK("https://hsdes.intel.com/resource/14013118973","14013118973")</f>
        <v>14013118973</v>
      </c>
      <c r="B1595" t="s">
        <v>3246</v>
      </c>
      <c r="C1595" t="s">
        <v>3247</v>
      </c>
      <c r="D1595" t="s">
        <v>3248</v>
      </c>
      <c r="E1595" t="s">
        <v>14</v>
      </c>
      <c r="G1595" t="s">
        <v>63</v>
      </c>
      <c r="H1595" s="2">
        <v>44791</v>
      </c>
      <c r="I1595" t="s">
        <v>32</v>
      </c>
      <c r="J1595" t="s">
        <v>82</v>
      </c>
      <c r="L1595" t="s">
        <v>34</v>
      </c>
      <c r="M1595" t="s">
        <v>26</v>
      </c>
    </row>
    <row r="1596" spans="1:13" x14ac:dyDescent="0.3">
      <c r="A1596" t="str">
        <f>HYPERLINK("https://hsdes.intel.com/resource/14013119215","14013119215")</f>
        <v>14013119215</v>
      </c>
      <c r="B1596" t="s">
        <v>2875</v>
      </c>
      <c r="C1596" t="s">
        <v>3247</v>
      </c>
      <c r="D1596" t="s">
        <v>2876</v>
      </c>
      <c r="E1596" t="s">
        <v>14</v>
      </c>
      <c r="G1596" t="s">
        <v>69</v>
      </c>
      <c r="H1596" s="2">
        <v>44800</v>
      </c>
      <c r="I1596" t="s">
        <v>48</v>
      </c>
      <c r="J1596" t="s">
        <v>151</v>
      </c>
      <c r="L1596" t="s">
        <v>152</v>
      </c>
      <c r="M1596" t="s">
        <v>26</v>
      </c>
    </row>
    <row r="1597" spans="1:13" x14ac:dyDescent="0.3">
      <c r="A1597" t="str">
        <f>HYPERLINK("https://hsdes.intel.com/resource/14013120134","14013120134")</f>
        <v>14013120134</v>
      </c>
      <c r="B1597" t="s">
        <v>3249</v>
      </c>
      <c r="C1597" t="s">
        <v>3247</v>
      </c>
      <c r="D1597" t="s">
        <v>3250</v>
      </c>
      <c r="E1597" t="s">
        <v>97</v>
      </c>
      <c r="F1597" s="7" t="s">
        <v>3251</v>
      </c>
      <c r="G1597" t="s">
        <v>63</v>
      </c>
      <c r="H1597" s="2">
        <v>44791</v>
      </c>
      <c r="I1597" t="s">
        <v>32</v>
      </c>
      <c r="J1597" t="s">
        <v>82</v>
      </c>
      <c r="L1597" t="s">
        <v>34</v>
      </c>
      <c r="M1597" t="s">
        <v>19</v>
      </c>
    </row>
    <row r="1598" spans="1:13" x14ac:dyDescent="0.3">
      <c r="A1598" t="str">
        <f>HYPERLINK("https://hsdes.intel.com/resource/14013156768","14013156768")</f>
        <v>14013156768</v>
      </c>
      <c r="B1598" t="s">
        <v>3099</v>
      </c>
      <c r="C1598" t="s">
        <v>3247</v>
      </c>
      <c r="D1598" t="s">
        <v>3100</v>
      </c>
      <c r="E1598" t="s">
        <v>14</v>
      </c>
      <c r="G1598" t="s">
        <v>63</v>
      </c>
      <c r="H1598" s="2">
        <v>44799</v>
      </c>
      <c r="I1598" t="s">
        <v>64</v>
      </c>
      <c r="J1598" t="s">
        <v>112</v>
      </c>
      <c r="L1598" t="s">
        <v>66</v>
      </c>
      <c r="M1598" t="s">
        <v>19</v>
      </c>
    </row>
    <row r="1599" spans="1:13" x14ac:dyDescent="0.3">
      <c r="A1599" t="str">
        <f>HYPERLINK("https://hsdes.intel.com/resource/14013156843","14013156843")</f>
        <v>14013156843</v>
      </c>
      <c r="B1599" t="s">
        <v>3252</v>
      </c>
      <c r="C1599" t="s">
        <v>3247</v>
      </c>
      <c r="D1599" t="s">
        <v>3253</v>
      </c>
      <c r="E1599" t="s">
        <v>14</v>
      </c>
      <c r="G1599" t="s">
        <v>63</v>
      </c>
      <c r="H1599" s="2">
        <v>44791</v>
      </c>
      <c r="I1599" t="s">
        <v>32</v>
      </c>
      <c r="J1599" t="s">
        <v>33</v>
      </c>
      <c r="L1599" t="s">
        <v>34</v>
      </c>
      <c r="M1599" t="s">
        <v>26</v>
      </c>
    </row>
    <row r="1600" spans="1:13" x14ac:dyDescent="0.3">
      <c r="A1600" t="str">
        <f>HYPERLINK("https://hsdes.intel.com/resource/14013156857","14013156857")</f>
        <v>14013156857</v>
      </c>
      <c r="B1600" t="s">
        <v>3254</v>
      </c>
      <c r="C1600" t="s">
        <v>3247</v>
      </c>
      <c r="D1600" t="s">
        <v>3255</v>
      </c>
      <c r="E1600" t="s">
        <v>14</v>
      </c>
      <c r="G1600" t="s">
        <v>63</v>
      </c>
      <c r="H1600" s="2">
        <v>44791</v>
      </c>
      <c r="I1600" t="s">
        <v>32</v>
      </c>
      <c r="J1600" t="s">
        <v>33</v>
      </c>
      <c r="L1600" t="s">
        <v>34</v>
      </c>
      <c r="M1600" t="s">
        <v>26</v>
      </c>
    </row>
    <row r="1601" spans="1:13" x14ac:dyDescent="0.3">
      <c r="A1601" t="str">
        <f>HYPERLINK("https://hsdes.intel.com/resource/14013157081","14013157081")</f>
        <v>14013157081</v>
      </c>
      <c r="B1601" t="s">
        <v>3256</v>
      </c>
      <c r="C1601" t="s">
        <v>3247</v>
      </c>
      <c r="D1601" t="s">
        <v>3257</v>
      </c>
      <c r="E1601" t="s">
        <v>14</v>
      </c>
      <c r="F1601" s="15" t="s">
        <v>3258</v>
      </c>
      <c r="G1601" t="s">
        <v>63</v>
      </c>
      <c r="H1601" s="2">
        <v>44791</v>
      </c>
      <c r="I1601" t="s">
        <v>32</v>
      </c>
      <c r="J1601" t="s">
        <v>33</v>
      </c>
      <c r="L1601" t="s">
        <v>34</v>
      </c>
      <c r="M1601" t="s">
        <v>26</v>
      </c>
    </row>
    <row r="1602" spans="1:13" x14ac:dyDescent="0.3">
      <c r="A1602" t="str">
        <f>HYPERLINK("https://hsdes.intel.com/resource/14013157188","14013157188")</f>
        <v>14013157188</v>
      </c>
      <c r="B1602" t="s">
        <v>3259</v>
      </c>
      <c r="C1602" t="s">
        <v>3247</v>
      </c>
      <c r="D1602" t="s">
        <v>3260</v>
      </c>
      <c r="E1602" t="s">
        <v>14</v>
      </c>
      <c r="F1602" t="s">
        <v>3261</v>
      </c>
      <c r="G1602" t="s">
        <v>3262</v>
      </c>
      <c r="H1602" s="2">
        <v>44791</v>
      </c>
      <c r="I1602" t="s">
        <v>132</v>
      </c>
      <c r="J1602" t="s">
        <v>3263</v>
      </c>
      <c r="L1602" t="s">
        <v>615</v>
      </c>
      <c r="M1602" t="s">
        <v>26</v>
      </c>
    </row>
    <row r="1603" spans="1:13" x14ac:dyDescent="0.3">
      <c r="A1603" t="str">
        <f>HYPERLINK("https://hsdes.intel.com/resource/14013157767","14013157767")</f>
        <v>14013157767</v>
      </c>
      <c r="B1603" t="s">
        <v>3264</v>
      </c>
      <c r="C1603" t="s">
        <v>3247</v>
      </c>
      <c r="D1603" t="s">
        <v>3265</v>
      </c>
      <c r="E1603" t="s">
        <v>97</v>
      </c>
      <c r="F1603" t="s">
        <v>3266</v>
      </c>
      <c r="G1603" t="s">
        <v>57</v>
      </c>
      <c r="H1603" s="2">
        <v>44792</v>
      </c>
      <c r="I1603" t="s">
        <v>32</v>
      </c>
      <c r="L1603" t="s">
        <v>177</v>
      </c>
      <c r="M1603" t="s">
        <v>26</v>
      </c>
    </row>
    <row r="1604" spans="1:13" x14ac:dyDescent="0.3">
      <c r="A1604" t="str">
        <f>HYPERLINK("https://hsdes.intel.com/resource/14013157781","14013157781")</f>
        <v>14013157781</v>
      </c>
      <c r="B1604" t="s">
        <v>3267</v>
      </c>
      <c r="C1604" t="s">
        <v>3247</v>
      </c>
      <c r="D1604" t="s">
        <v>3268</v>
      </c>
      <c r="E1604" t="s">
        <v>14</v>
      </c>
      <c r="G1604" t="s">
        <v>3262</v>
      </c>
      <c r="H1604" s="2">
        <v>44790</v>
      </c>
      <c r="I1604" t="s">
        <v>132</v>
      </c>
      <c r="J1604" t="s">
        <v>3263</v>
      </c>
      <c r="L1604" t="s">
        <v>615</v>
      </c>
      <c r="M1604" t="s">
        <v>26</v>
      </c>
    </row>
    <row r="1605" spans="1:13" x14ac:dyDescent="0.3">
      <c r="A1605" t="str">
        <f>HYPERLINK("https://hsdes.intel.com/resource/14013158122","14013158122")</f>
        <v>14013158122</v>
      </c>
      <c r="B1605" t="s">
        <v>3269</v>
      </c>
      <c r="C1605" t="s">
        <v>3247</v>
      </c>
      <c r="D1605" t="s">
        <v>3270</v>
      </c>
      <c r="E1605" t="s">
        <v>14</v>
      </c>
      <c r="G1605" t="s">
        <v>63</v>
      </c>
      <c r="H1605" s="2">
        <v>44791</v>
      </c>
      <c r="I1605" t="s">
        <v>32</v>
      </c>
      <c r="J1605" t="s">
        <v>82</v>
      </c>
      <c r="L1605" t="s">
        <v>34</v>
      </c>
      <c r="M1605" t="s">
        <v>26</v>
      </c>
    </row>
    <row r="1606" spans="1:13" x14ac:dyDescent="0.3">
      <c r="A1606" t="str">
        <f>HYPERLINK("https://hsdes.intel.com/resource/14013158193","14013158193")</f>
        <v>14013158193</v>
      </c>
      <c r="B1606" t="s">
        <v>3271</v>
      </c>
      <c r="C1606" t="s">
        <v>3247</v>
      </c>
      <c r="D1606" t="s">
        <v>3272</v>
      </c>
      <c r="E1606" t="s">
        <v>14</v>
      </c>
      <c r="G1606" t="s">
        <v>3262</v>
      </c>
      <c r="H1606" s="2">
        <v>44796</v>
      </c>
      <c r="I1606" t="s">
        <v>132</v>
      </c>
      <c r="J1606" t="s">
        <v>3273</v>
      </c>
      <c r="L1606" t="s">
        <v>615</v>
      </c>
      <c r="M1606" t="s">
        <v>26</v>
      </c>
    </row>
    <row r="1607" spans="1:13" x14ac:dyDescent="0.3">
      <c r="A1607" t="str">
        <f>HYPERLINK("https://hsdes.intel.com/resource/14013158200","14013158200")</f>
        <v>14013158200</v>
      </c>
      <c r="B1607" t="s">
        <v>3274</v>
      </c>
      <c r="C1607" t="s">
        <v>3247</v>
      </c>
      <c r="D1607" t="s">
        <v>3275</v>
      </c>
      <c r="E1607" t="s">
        <v>14</v>
      </c>
      <c r="G1607" t="s">
        <v>63</v>
      </c>
      <c r="H1607" s="2">
        <v>44791</v>
      </c>
      <c r="I1607" t="s">
        <v>32</v>
      </c>
      <c r="J1607" t="s">
        <v>33</v>
      </c>
      <c r="L1607" t="s">
        <v>34</v>
      </c>
      <c r="M1607" t="s">
        <v>26</v>
      </c>
    </row>
    <row r="1608" spans="1:13" x14ac:dyDescent="0.3">
      <c r="A1608" t="str">
        <f>HYPERLINK("https://hsdes.intel.com/resource/14013158232","14013158232")</f>
        <v>14013158232</v>
      </c>
      <c r="B1608" t="s">
        <v>2878</v>
      </c>
      <c r="C1608" t="s">
        <v>3247</v>
      </c>
      <c r="D1608" t="s">
        <v>2879</v>
      </c>
      <c r="E1608" t="s">
        <v>14</v>
      </c>
      <c r="G1608" t="s">
        <v>63</v>
      </c>
      <c r="H1608" s="2">
        <v>44799</v>
      </c>
      <c r="I1608" t="s">
        <v>167</v>
      </c>
      <c r="J1608" t="s">
        <v>151</v>
      </c>
      <c r="L1608" t="s">
        <v>147</v>
      </c>
      <c r="M1608" t="s">
        <v>26</v>
      </c>
    </row>
    <row r="1609" spans="1:13" x14ac:dyDescent="0.3">
      <c r="A1609" t="str">
        <f>HYPERLINK("https://hsdes.intel.com/resource/14013158240","14013158240")</f>
        <v>14013158240</v>
      </c>
      <c r="B1609" t="s">
        <v>2880</v>
      </c>
      <c r="C1609" t="s">
        <v>3247</v>
      </c>
      <c r="D1609" t="s">
        <v>2881</v>
      </c>
      <c r="E1609" t="s">
        <v>14</v>
      </c>
      <c r="F1609" s="2"/>
      <c r="G1609" t="s">
        <v>63</v>
      </c>
      <c r="H1609" s="2">
        <v>44799</v>
      </c>
      <c r="I1609" t="s">
        <v>167</v>
      </c>
      <c r="J1609" t="s">
        <v>151</v>
      </c>
      <c r="L1609" t="s">
        <v>147</v>
      </c>
      <c r="M1609" t="s">
        <v>26</v>
      </c>
    </row>
    <row r="1610" spans="1:13" x14ac:dyDescent="0.3">
      <c r="A1610" t="str">
        <f>HYPERLINK("https://hsdes.intel.com/resource/14013158384","14013158384")</f>
        <v>14013158384</v>
      </c>
      <c r="B1610" t="s">
        <v>3276</v>
      </c>
      <c r="C1610" t="s">
        <v>3247</v>
      </c>
      <c r="D1610" t="s">
        <v>3277</v>
      </c>
      <c r="E1610" t="s">
        <v>14</v>
      </c>
      <c r="G1610" t="s">
        <v>63</v>
      </c>
      <c r="H1610" s="2">
        <v>44791</v>
      </c>
      <c r="I1610" t="s">
        <v>32</v>
      </c>
      <c r="J1610" t="s">
        <v>33</v>
      </c>
      <c r="L1610" t="s">
        <v>34</v>
      </c>
      <c r="M1610" t="s">
        <v>26</v>
      </c>
    </row>
    <row r="1611" spans="1:13" x14ac:dyDescent="0.3">
      <c r="A1611" t="str">
        <f>HYPERLINK("https://hsdes.intel.com/resource/14013158414","14013158414")</f>
        <v>14013158414</v>
      </c>
      <c r="B1611" t="s">
        <v>3278</v>
      </c>
      <c r="C1611" t="s">
        <v>3247</v>
      </c>
      <c r="D1611" t="s">
        <v>3279</v>
      </c>
      <c r="E1611" t="s">
        <v>14</v>
      </c>
      <c r="G1611" t="s">
        <v>3262</v>
      </c>
      <c r="H1611" s="2">
        <v>44795</v>
      </c>
      <c r="I1611" t="s">
        <v>132</v>
      </c>
      <c r="J1611" t="s">
        <v>614</v>
      </c>
      <c r="L1611" t="s">
        <v>615</v>
      </c>
      <c r="M1611" t="s">
        <v>26</v>
      </c>
    </row>
    <row r="1612" spans="1:13" x14ac:dyDescent="0.3">
      <c r="A1612" t="str">
        <f>HYPERLINK("https://hsdes.intel.com/resource/14013158498","14013158498")</f>
        <v>14013158498</v>
      </c>
      <c r="B1612" t="s">
        <v>3280</v>
      </c>
      <c r="C1612" t="s">
        <v>3247</v>
      </c>
      <c r="D1612" t="s">
        <v>3281</v>
      </c>
      <c r="E1612" t="s">
        <v>14</v>
      </c>
      <c r="G1612" t="s">
        <v>63</v>
      </c>
      <c r="H1612" s="2">
        <v>44791</v>
      </c>
      <c r="I1612" t="s">
        <v>32</v>
      </c>
      <c r="J1612" t="s">
        <v>33</v>
      </c>
      <c r="L1612" t="s">
        <v>125</v>
      </c>
      <c r="M1612" t="s">
        <v>26</v>
      </c>
    </row>
    <row r="1613" spans="1:13" x14ac:dyDescent="0.3">
      <c r="A1613" t="str">
        <f>HYPERLINK("https://hsdes.intel.com/resource/14013158728","14013158728")</f>
        <v>14013158728</v>
      </c>
      <c r="B1613" t="s">
        <v>3282</v>
      </c>
      <c r="C1613" t="s">
        <v>3247</v>
      </c>
      <c r="D1613" t="s">
        <v>3283</v>
      </c>
      <c r="E1613" t="s">
        <v>14</v>
      </c>
      <c r="F1613" t="s">
        <v>3284</v>
      </c>
      <c r="G1613" t="s">
        <v>3262</v>
      </c>
      <c r="H1613" s="2">
        <v>44790</v>
      </c>
      <c r="I1613" t="s">
        <v>132</v>
      </c>
      <c r="J1613" t="s">
        <v>614</v>
      </c>
      <c r="L1613" t="s">
        <v>615</v>
      </c>
      <c r="M1613" t="s">
        <v>26</v>
      </c>
    </row>
    <row r="1614" spans="1:13" x14ac:dyDescent="0.3">
      <c r="A1614" t="str">
        <f>HYPERLINK("https://hsdes.intel.com/resource/14013158827","14013158827")</f>
        <v>14013158827</v>
      </c>
      <c r="B1614" t="s">
        <v>2886</v>
      </c>
      <c r="C1614" t="s">
        <v>3247</v>
      </c>
      <c r="D1614" t="s">
        <v>2887</v>
      </c>
      <c r="E1614" t="s">
        <v>14</v>
      </c>
      <c r="G1614" t="s">
        <v>3285</v>
      </c>
      <c r="H1614" s="2">
        <v>44792</v>
      </c>
      <c r="I1614" t="s">
        <v>16</v>
      </c>
      <c r="J1614" t="s">
        <v>17</v>
      </c>
      <c r="L1614" t="s">
        <v>18</v>
      </c>
      <c r="M1614" t="s">
        <v>19</v>
      </c>
    </row>
    <row r="1615" spans="1:13" x14ac:dyDescent="0.3">
      <c r="A1615" t="str">
        <f>HYPERLINK("https://hsdes.intel.com/resource/14013158828","14013158828")</f>
        <v>14013158828</v>
      </c>
      <c r="B1615" t="s">
        <v>2889</v>
      </c>
      <c r="C1615" t="s">
        <v>3247</v>
      </c>
      <c r="D1615" t="s">
        <v>2890</v>
      </c>
      <c r="E1615" t="s">
        <v>14</v>
      </c>
      <c r="G1615" t="s">
        <v>3285</v>
      </c>
      <c r="H1615" s="2">
        <v>44792</v>
      </c>
      <c r="I1615" t="s">
        <v>16</v>
      </c>
      <c r="J1615" t="s">
        <v>17</v>
      </c>
      <c r="L1615" t="s">
        <v>18</v>
      </c>
      <c r="M1615" t="s">
        <v>19</v>
      </c>
    </row>
    <row r="1616" spans="1:13" x14ac:dyDescent="0.3">
      <c r="A1616" t="str">
        <f>HYPERLINK("https://hsdes.intel.com/resource/14013158830","14013158830")</f>
        <v>14013158830</v>
      </c>
      <c r="B1616" t="s">
        <v>2891</v>
      </c>
      <c r="C1616" t="s">
        <v>3247</v>
      </c>
      <c r="D1616" t="s">
        <v>2892</v>
      </c>
      <c r="E1616" t="s">
        <v>14</v>
      </c>
      <c r="G1616" t="s">
        <v>3285</v>
      </c>
      <c r="H1616" s="2">
        <v>44792</v>
      </c>
      <c r="I1616" t="s">
        <v>16</v>
      </c>
      <c r="J1616" t="s">
        <v>17</v>
      </c>
      <c r="L1616" t="s">
        <v>18</v>
      </c>
      <c r="M1616" t="s">
        <v>19</v>
      </c>
    </row>
    <row r="1617" spans="1:13" x14ac:dyDescent="0.3">
      <c r="A1617" t="str">
        <f>HYPERLINK("https://hsdes.intel.com/resource/14013158985","14013158985")</f>
        <v>14013158985</v>
      </c>
      <c r="B1617" t="s">
        <v>3286</v>
      </c>
      <c r="C1617" t="s">
        <v>3247</v>
      </c>
      <c r="D1617" t="s">
        <v>3287</v>
      </c>
      <c r="E1617" t="s">
        <v>14</v>
      </c>
      <c r="F1617" s="13" t="s">
        <v>3288</v>
      </c>
      <c r="G1617" t="s">
        <v>63</v>
      </c>
      <c r="H1617" s="2">
        <v>44799</v>
      </c>
      <c r="I1617" t="s">
        <v>48</v>
      </c>
      <c r="J1617" t="s">
        <v>1251</v>
      </c>
      <c r="L1617" t="s">
        <v>152</v>
      </c>
      <c r="M1617" t="s">
        <v>26</v>
      </c>
    </row>
    <row r="1618" spans="1:13" x14ac:dyDescent="0.3">
      <c r="A1618" t="str">
        <f>HYPERLINK("https://hsdes.intel.com/resource/14013159097","14013159097")</f>
        <v>14013159097</v>
      </c>
      <c r="B1618" t="s">
        <v>2895</v>
      </c>
      <c r="C1618" t="s">
        <v>3247</v>
      </c>
      <c r="D1618" t="s">
        <v>2896</v>
      </c>
      <c r="E1618" t="s">
        <v>14</v>
      </c>
      <c r="G1618" t="s">
        <v>69</v>
      </c>
      <c r="H1618" s="2">
        <v>44800</v>
      </c>
      <c r="I1618" t="s">
        <v>16</v>
      </c>
      <c r="J1618" t="s">
        <v>17</v>
      </c>
      <c r="L1618" t="s">
        <v>18</v>
      </c>
      <c r="M1618" t="s">
        <v>22</v>
      </c>
    </row>
    <row r="1619" spans="1:13" x14ac:dyDescent="0.3">
      <c r="A1619" t="str">
        <f>HYPERLINK("https://hsdes.intel.com/resource/14013159287","14013159287")</f>
        <v>14013159287</v>
      </c>
      <c r="B1619" t="s">
        <v>2903</v>
      </c>
      <c r="C1619" t="s">
        <v>3247</v>
      </c>
      <c r="D1619" t="s">
        <v>2904</v>
      </c>
      <c r="E1619" t="s">
        <v>14</v>
      </c>
      <c r="G1619" t="s">
        <v>3285</v>
      </c>
      <c r="H1619" s="2">
        <v>44792</v>
      </c>
      <c r="I1619" t="s">
        <v>16</v>
      </c>
      <c r="J1619" t="s">
        <v>17</v>
      </c>
      <c r="L1619" t="s">
        <v>18</v>
      </c>
      <c r="M1619" t="s">
        <v>22</v>
      </c>
    </row>
    <row r="1620" spans="1:13" x14ac:dyDescent="0.3">
      <c r="A1620" t="str">
        <f>HYPERLINK("https://hsdes.intel.com/resource/14013159682","14013159682")</f>
        <v>14013159682</v>
      </c>
      <c r="B1620" t="s">
        <v>3289</v>
      </c>
      <c r="C1620" t="s">
        <v>3247</v>
      </c>
      <c r="D1620" t="s">
        <v>3290</v>
      </c>
      <c r="E1620" t="s">
        <v>97</v>
      </c>
      <c r="F1620" t="s">
        <v>3291</v>
      </c>
      <c r="G1620" t="s">
        <v>57</v>
      </c>
      <c r="H1620" s="2">
        <v>44792</v>
      </c>
      <c r="I1620" t="s">
        <v>132</v>
      </c>
      <c r="J1620" t="s">
        <v>614</v>
      </c>
      <c r="L1620" t="s">
        <v>615</v>
      </c>
      <c r="M1620" t="s">
        <v>22</v>
      </c>
    </row>
    <row r="1621" spans="1:13" x14ac:dyDescent="0.3">
      <c r="A1621" t="str">
        <f>HYPERLINK("https://hsdes.intel.com/resource/14013159726","14013159726")</f>
        <v>14013159726</v>
      </c>
      <c r="B1621" t="s">
        <v>3292</v>
      </c>
      <c r="C1621" t="s">
        <v>3247</v>
      </c>
      <c r="D1621" t="s">
        <v>3293</v>
      </c>
      <c r="E1621" t="s">
        <v>14</v>
      </c>
      <c r="G1621" t="s">
        <v>3262</v>
      </c>
      <c r="H1621" s="2">
        <v>44790</v>
      </c>
      <c r="I1621" t="s">
        <v>132</v>
      </c>
      <c r="J1621" t="s">
        <v>614</v>
      </c>
      <c r="L1621" t="s">
        <v>615</v>
      </c>
      <c r="M1621" t="s">
        <v>26</v>
      </c>
    </row>
    <row r="1622" spans="1:13" x14ac:dyDescent="0.3">
      <c r="A1622" t="str">
        <f>HYPERLINK("https://hsdes.intel.com/resource/14013160507","14013160507")</f>
        <v>14013160507</v>
      </c>
      <c r="B1622" t="s">
        <v>2905</v>
      </c>
      <c r="C1622" t="s">
        <v>3247</v>
      </c>
      <c r="D1622" t="s">
        <v>2906</v>
      </c>
      <c r="E1622" t="s">
        <v>120</v>
      </c>
      <c r="F1622" t="s">
        <v>3294</v>
      </c>
      <c r="G1622" t="s">
        <v>3285</v>
      </c>
      <c r="H1622" s="2">
        <v>44792</v>
      </c>
      <c r="I1622" t="s">
        <v>48</v>
      </c>
      <c r="J1622" t="s">
        <v>1251</v>
      </c>
      <c r="L1622" t="s">
        <v>152</v>
      </c>
      <c r="M1622" t="s">
        <v>26</v>
      </c>
    </row>
    <row r="1623" spans="1:13" x14ac:dyDescent="0.3">
      <c r="A1623" t="str">
        <f>HYPERLINK("https://hsdes.intel.com/resource/14013160511","14013160511")</f>
        <v>14013160511</v>
      </c>
      <c r="B1623" t="s">
        <v>2908</v>
      </c>
      <c r="C1623" t="s">
        <v>3247</v>
      </c>
      <c r="D1623" t="s">
        <v>2909</v>
      </c>
      <c r="E1623" t="s">
        <v>120</v>
      </c>
      <c r="F1623" t="s">
        <v>3294</v>
      </c>
      <c r="G1623" t="s">
        <v>3285</v>
      </c>
      <c r="H1623" s="2">
        <v>44792</v>
      </c>
      <c r="I1623" t="s">
        <v>48</v>
      </c>
      <c r="J1623" t="s">
        <v>1251</v>
      </c>
      <c r="L1623" t="s">
        <v>152</v>
      </c>
      <c r="M1623" t="s">
        <v>26</v>
      </c>
    </row>
    <row r="1624" spans="1:13" x14ac:dyDescent="0.3">
      <c r="A1624" t="str">
        <f>HYPERLINK("https://hsdes.intel.com/resource/14013160517","14013160517")</f>
        <v>14013160517</v>
      </c>
      <c r="B1624" t="s">
        <v>2910</v>
      </c>
      <c r="C1624" t="s">
        <v>3247</v>
      </c>
      <c r="D1624" t="s">
        <v>2911</v>
      </c>
      <c r="E1624" t="s">
        <v>120</v>
      </c>
      <c r="F1624" t="s">
        <v>3294</v>
      </c>
      <c r="G1624" t="s">
        <v>3285</v>
      </c>
      <c r="H1624" s="2">
        <v>44792</v>
      </c>
      <c r="I1624" t="s">
        <v>48</v>
      </c>
      <c r="J1624" t="s">
        <v>1251</v>
      </c>
      <c r="L1624" t="s">
        <v>152</v>
      </c>
      <c r="M1624" t="s">
        <v>26</v>
      </c>
    </row>
    <row r="1625" spans="1:13" x14ac:dyDescent="0.3">
      <c r="A1625" t="str">
        <f>HYPERLINK("https://hsdes.intel.com/resource/14013160596","14013160596")</f>
        <v>14013160596</v>
      </c>
      <c r="B1625" t="s">
        <v>2914</v>
      </c>
      <c r="C1625" t="s">
        <v>3247</v>
      </c>
      <c r="D1625" t="s">
        <v>2915</v>
      </c>
      <c r="E1625" t="s">
        <v>779</v>
      </c>
      <c r="F1625" t="s">
        <v>3457</v>
      </c>
      <c r="G1625" t="s">
        <v>63</v>
      </c>
      <c r="H1625" s="2">
        <v>44799</v>
      </c>
      <c r="I1625" t="s">
        <v>16</v>
      </c>
      <c r="J1625" t="s">
        <v>77</v>
      </c>
      <c r="L1625" t="s">
        <v>157</v>
      </c>
      <c r="M1625" t="s">
        <v>19</v>
      </c>
    </row>
    <row r="1626" spans="1:13" x14ac:dyDescent="0.3">
      <c r="A1626" t="str">
        <f>HYPERLINK("https://hsdes.intel.com/resource/14013160618","14013160618")</f>
        <v>14013160618</v>
      </c>
      <c r="B1626" t="s">
        <v>3295</v>
      </c>
      <c r="C1626" t="s">
        <v>3247</v>
      </c>
      <c r="D1626" t="s">
        <v>3296</v>
      </c>
      <c r="E1626" t="s">
        <v>14</v>
      </c>
      <c r="G1626" t="s">
        <v>3262</v>
      </c>
      <c r="H1626" s="2">
        <v>44792</v>
      </c>
      <c r="I1626" t="s">
        <v>132</v>
      </c>
      <c r="J1626" t="s">
        <v>614</v>
      </c>
      <c r="L1626" t="s">
        <v>615</v>
      </c>
      <c r="M1626" t="s">
        <v>26</v>
      </c>
    </row>
    <row r="1627" spans="1:13" x14ac:dyDescent="0.3">
      <c r="A1627" t="str">
        <f>HYPERLINK("https://hsdes.intel.com/resource/14013160687","14013160687")</f>
        <v>14013160687</v>
      </c>
      <c r="B1627" t="s">
        <v>3297</v>
      </c>
      <c r="C1627" t="s">
        <v>3247</v>
      </c>
      <c r="D1627" t="s">
        <v>3298</v>
      </c>
      <c r="E1627" t="s">
        <v>14</v>
      </c>
      <c r="G1627" t="s">
        <v>3262</v>
      </c>
      <c r="H1627" s="2">
        <v>44790</v>
      </c>
      <c r="I1627" t="s">
        <v>132</v>
      </c>
      <c r="J1627" t="s">
        <v>614</v>
      </c>
      <c r="L1627" t="s">
        <v>615</v>
      </c>
      <c r="M1627" t="s">
        <v>22</v>
      </c>
    </row>
    <row r="1628" spans="1:13" x14ac:dyDescent="0.3">
      <c r="A1628" t="str">
        <f>HYPERLINK("https://hsdes.intel.com/resource/14013160724","14013160724")</f>
        <v>14013160724</v>
      </c>
      <c r="B1628" t="s">
        <v>2917</v>
      </c>
      <c r="C1628" t="s">
        <v>3247</v>
      </c>
      <c r="D1628" t="s">
        <v>2918</v>
      </c>
      <c r="E1628" t="s">
        <v>14</v>
      </c>
      <c r="G1628" t="s">
        <v>69</v>
      </c>
      <c r="H1628" s="2">
        <v>44800</v>
      </c>
      <c r="I1628" t="s">
        <v>16</v>
      </c>
      <c r="J1628" t="s">
        <v>17</v>
      </c>
      <c r="L1628" t="s">
        <v>18</v>
      </c>
      <c r="M1628" t="s">
        <v>26</v>
      </c>
    </row>
    <row r="1629" spans="1:13" x14ac:dyDescent="0.3">
      <c r="A1629" t="str">
        <f>HYPERLINK("https://hsdes.intel.com/resource/14013160828","14013160828")</f>
        <v>14013160828</v>
      </c>
      <c r="B1629" t="s">
        <v>3299</v>
      </c>
      <c r="C1629" t="s">
        <v>3247</v>
      </c>
      <c r="D1629" t="s">
        <v>3300</v>
      </c>
      <c r="E1629" t="s">
        <v>14</v>
      </c>
      <c r="G1629" t="s">
        <v>3262</v>
      </c>
      <c r="H1629" s="2">
        <v>44790</v>
      </c>
      <c r="I1629" t="s">
        <v>132</v>
      </c>
      <c r="J1629" t="s">
        <v>614</v>
      </c>
      <c r="L1629" t="s">
        <v>615</v>
      </c>
      <c r="M1629" t="s">
        <v>26</v>
      </c>
    </row>
    <row r="1630" spans="1:13" x14ac:dyDescent="0.3">
      <c r="A1630" t="str">
        <f>HYPERLINK("https://hsdes.intel.com/resource/14013161173","14013161173")</f>
        <v>14013161173</v>
      </c>
      <c r="B1630" t="s">
        <v>3301</v>
      </c>
      <c r="C1630" t="s">
        <v>3247</v>
      </c>
      <c r="D1630" t="s">
        <v>3302</v>
      </c>
      <c r="E1630" t="s">
        <v>14</v>
      </c>
      <c r="G1630" t="s">
        <v>3262</v>
      </c>
      <c r="H1630" s="2">
        <v>44790</v>
      </c>
      <c r="I1630" t="s">
        <v>132</v>
      </c>
      <c r="J1630" t="s">
        <v>614</v>
      </c>
      <c r="L1630" t="s">
        <v>615</v>
      </c>
      <c r="M1630" t="s">
        <v>22</v>
      </c>
    </row>
    <row r="1631" spans="1:13" x14ac:dyDescent="0.3">
      <c r="A1631" t="str">
        <f>HYPERLINK("https://hsdes.intel.com/resource/14013161283","14013161283")</f>
        <v>14013161283</v>
      </c>
      <c r="B1631" t="s">
        <v>3303</v>
      </c>
      <c r="C1631" t="s">
        <v>3247</v>
      </c>
      <c r="D1631" t="s">
        <v>3304</v>
      </c>
      <c r="E1631" t="s">
        <v>97</v>
      </c>
      <c r="F1631" t="s">
        <v>3305</v>
      </c>
      <c r="G1631" t="s">
        <v>63</v>
      </c>
      <c r="H1631" s="2">
        <v>44799</v>
      </c>
      <c r="I1631" t="s">
        <v>132</v>
      </c>
      <c r="J1631" t="s">
        <v>614</v>
      </c>
      <c r="L1631" t="s">
        <v>615</v>
      </c>
      <c r="M1631" t="s">
        <v>26</v>
      </c>
    </row>
    <row r="1632" spans="1:13" x14ac:dyDescent="0.3">
      <c r="A1632" t="str">
        <f>HYPERLINK("https://hsdes.intel.com/resource/14013161451","14013161451")</f>
        <v>14013161451</v>
      </c>
      <c r="B1632" t="s">
        <v>2919</v>
      </c>
      <c r="C1632" t="s">
        <v>3247</v>
      </c>
      <c r="D1632" t="s">
        <v>2920</v>
      </c>
      <c r="E1632" t="s">
        <v>14</v>
      </c>
      <c r="G1632" t="s">
        <v>63</v>
      </c>
      <c r="H1632" s="2">
        <v>44791</v>
      </c>
      <c r="I1632" t="s">
        <v>16</v>
      </c>
      <c r="J1632" t="s">
        <v>77</v>
      </c>
      <c r="L1632" t="s">
        <v>78</v>
      </c>
      <c r="M1632" t="s">
        <v>22</v>
      </c>
    </row>
    <row r="1633" spans="1:13" x14ac:dyDescent="0.3">
      <c r="A1633" t="str">
        <f>HYPERLINK("https://hsdes.intel.com/resource/14013161624","14013161624")</f>
        <v>14013161624</v>
      </c>
      <c r="B1633" t="s">
        <v>3306</v>
      </c>
      <c r="C1633" t="s">
        <v>3247</v>
      </c>
      <c r="D1633" t="s">
        <v>3307</v>
      </c>
      <c r="E1633" t="s">
        <v>14</v>
      </c>
      <c r="G1633" t="s">
        <v>3262</v>
      </c>
      <c r="H1633" s="2">
        <v>44790</v>
      </c>
      <c r="I1633" t="s">
        <v>132</v>
      </c>
      <c r="J1633" t="s">
        <v>3263</v>
      </c>
      <c r="L1633" t="s">
        <v>615</v>
      </c>
      <c r="M1633" t="s">
        <v>26</v>
      </c>
    </row>
    <row r="1634" spans="1:13" x14ac:dyDescent="0.3">
      <c r="A1634" t="str">
        <f>HYPERLINK("https://hsdes.intel.com/resource/14013161628","14013161628")</f>
        <v>14013161628</v>
      </c>
      <c r="B1634" t="s">
        <v>3308</v>
      </c>
      <c r="C1634" t="s">
        <v>3247</v>
      </c>
      <c r="D1634" t="s">
        <v>3309</v>
      </c>
      <c r="E1634" t="s">
        <v>14</v>
      </c>
      <c r="G1634" t="s">
        <v>3262</v>
      </c>
      <c r="H1634" s="2">
        <v>44790</v>
      </c>
      <c r="I1634" t="s">
        <v>132</v>
      </c>
      <c r="J1634" t="s">
        <v>614</v>
      </c>
      <c r="L1634" t="s">
        <v>615</v>
      </c>
      <c r="M1634" t="s">
        <v>26</v>
      </c>
    </row>
    <row r="1635" spans="1:13" x14ac:dyDescent="0.3">
      <c r="A1635" t="str">
        <f>HYPERLINK("https://hsdes.intel.com/resource/14013161635","14013161635")</f>
        <v>14013161635</v>
      </c>
      <c r="B1635" t="s">
        <v>3310</v>
      </c>
      <c r="C1635" t="s">
        <v>3247</v>
      </c>
      <c r="D1635" t="s">
        <v>3311</v>
      </c>
      <c r="E1635" t="s">
        <v>14</v>
      </c>
      <c r="F1635" t="s">
        <v>3312</v>
      </c>
      <c r="G1635" t="s">
        <v>3262</v>
      </c>
      <c r="H1635" s="2">
        <v>44792</v>
      </c>
      <c r="I1635" t="s">
        <v>132</v>
      </c>
      <c r="J1635" t="s">
        <v>614</v>
      </c>
      <c r="L1635" t="s">
        <v>615</v>
      </c>
      <c r="M1635" t="s">
        <v>26</v>
      </c>
    </row>
    <row r="1636" spans="1:13" x14ac:dyDescent="0.3">
      <c r="A1636" t="str">
        <f>HYPERLINK("https://hsdes.intel.com/resource/14013161657","14013161657")</f>
        <v>14013161657</v>
      </c>
      <c r="B1636" t="s">
        <v>3313</v>
      </c>
      <c r="C1636" t="s">
        <v>3247</v>
      </c>
      <c r="D1636" t="s">
        <v>3314</v>
      </c>
      <c r="E1636" t="s">
        <v>97</v>
      </c>
      <c r="F1636" t="s">
        <v>3315</v>
      </c>
      <c r="G1636" t="s">
        <v>57</v>
      </c>
      <c r="H1636" s="2">
        <v>44799</v>
      </c>
      <c r="I1636" t="s">
        <v>132</v>
      </c>
      <c r="J1636" t="s">
        <v>614</v>
      </c>
      <c r="L1636" t="s">
        <v>615</v>
      </c>
      <c r="M1636" t="s">
        <v>22</v>
      </c>
    </row>
    <row r="1637" spans="1:13" x14ac:dyDescent="0.3">
      <c r="A1637" t="str">
        <f>HYPERLINK("https://hsdes.intel.com/resource/14013161663","14013161663")</f>
        <v>14013161663</v>
      </c>
      <c r="B1637" t="s">
        <v>3316</v>
      </c>
      <c r="C1637" t="s">
        <v>3247</v>
      </c>
      <c r="D1637" t="s">
        <v>3317</v>
      </c>
      <c r="E1637" t="s">
        <v>14</v>
      </c>
      <c r="G1637" t="s">
        <v>3262</v>
      </c>
      <c r="H1637" s="2">
        <v>44790</v>
      </c>
      <c r="I1637" t="s">
        <v>132</v>
      </c>
      <c r="J1637" t="s">
        <v>614</v>
      </c>
      <c r="L1637" t="s">
        <v>615</v>
      </c>
      <c r="M1637" t="s">
        <v>22</v>
      </c>
    </row>
    <row r="1638" spans="1:13" x14ac:dyDescent="0.3">
      <c r="A1638" t="str">
        <f>HYPERLINK("https://hsdes.intel.com/resource/14013162078","14013162078")</f>
        <v>14013162078</v>
      </c>
      <c r="B1638" t="s">
        <v>3318</v>
      </c>
      <c r="C1638" t="s">
        <v>3247</v>
      </c>
      <c r="D1638" t="s">
        <v>3319</v>
      </c>
      <c r="E1638" t="s">
        <v>14</v>
      </c>
      <c r="G1638" t="s">
        <v>3262</v>
      </c>
      <c r="H1638" s="2">
        <v>44790</v>
      </c>
      <c r="I1638" t="s">
        <v>132</v>
      </c>
      <c r="J1638" t="s">
        <v>614</v>
      </c>
      <c r="L1638" t="s">
        <v>615</v>
      </c>
      <c r="M1638" t="s">
        <v>26</v>
      </c>
    </row>
    <row r="1639" spans="1:13" x14ac:dyDescent="0.3">
      <c r="A1639" t="str">
        <f>HYPERLINK("https://hsdes.intel.com/resource/14013162425","14013162425")</f>
        <v>14013162425</v>
      </c>
      <c r="B1639" t="s">
        <v>3320</v>
      </c>
      <c r="C1639" t="s">
        <v>3247</v>
      </c>
      <c r="D1639" t="s">
        <v>3321</v>
      </c>
      <c r="E1639" t="s">
        <v>14</v>
      </c>
      <c r="G1639" t="s">
        <v>3262</v>
      </c>
      <c r="H1639" s="2">
        <v>44790</v>
      </c>
      <c r="I1639" t="s">
        <v>132</v>
      </c>
      <c r="J1639" t="s">
        <v>614</v>
      </c>
      <c r="L1639" t="s">
        <v>615</v>
      </c>
      <c r="M1639" t="s">
        <v>19</v>
      </c>
    </row>
    <row r="1640" spans="1:13" x14ac:dyDescent="0.3">
      <c r="A1640" t="str">
        <f>HYPERLINK("https://hsdes.intel.com/resource/14013162427","14013162427")</f>
        <v>14013162427</v>
      </c>
      <c r="B1640" t="s">
        <v>3322</v>
      </c>
      <c r="C1640" t="s">
        <v>3247</v>
      </c>
      <c r="D1640" t="s">
        <v>3323</v>
      </c>
      <c r="E1640" t="s">
        <v>14</v>
      </c>
      <c r="G1640" t="s">
        <v>3262</v>
      </c>
      <c r="H1640" s="2">
        <v>44791</v>
      </c>
      <c r="I1640" t="s">
        <v>132</v>
      </c>
      <c r="J1640" t="s">
        <v>614</v>
      </c>
      <c r="L1640" t="s">
        <v>615</v>
      </c>
      <c r="M1640" t="s">
        <v>22</v>
      </c>
    </row>
    <row r="1641" spans="1:13" x14ac:dyDescent="0.3">
      <c r="A1641" t="str">
        <f>HYPERLINK("https://hsdes.intel.com/resource/14013162436","14013162436")</f>
        <v>14013162436</v>
      </c>
      <c r="B1641" t="s">
        <v>3324</v>
      </c>
      <c r="C1641" t="s">
        <v>3247</v>
      </c>
      <c r="D1641" t="s">
        <v>3325</v>
      </c>
      <c r="E1641" t="s">
        <v>14</v>
      </c>
      <c r="G1641" t="s">
        <v>3262</v>
      </c>
      <c r="H1641" s="2">
        <v>44790</v>
      </c>
      <c r="I1641" t="s">
        <v>132</v>
      </c>
      <c r="J1641" t="s">
        <v>614</v>
      </c>
      <c r="L1641" t="s">
        <v>615</v>
      </c>
      <c r="M1641" t="s">
        <v>19</v>
      </c>
    </row>
    <row r="1642" spans="1:13" x14ac:dyDescent="0.3">
      <c r="A1642" t="str">
        <f>HYPERLINK("https://hsdes.intel.com/resource/14013162443","14013162443")</f>
        <v>14013162443</v>
      </c>
      <c r="B1642" t="s">
        <v>3326</v>
      </c>
      <c r="C1642" t="s">
        <v>3247</v>
      </c>
      <c r="D1642" t="s">
        <v>3327</v>
      </c>
      <c r="E1642" t="s">
        <v>14</v>
      </c>
      <c r="G1642" t="s">
        <v>3262</v>
      </c>
      <c r="H1642" s="2">
        <v>44790</v>
      </c>
      <c r="I1642" t="s">
        <v>132</v>
      </c>
      <c r="J1642" t="s">
        <v>614</v>
      </c>
      <c r="L1642" t="s">
        <v>615</v>
      </c>
      <c r="M1642" t="s">
        <v>22</v>
      </c>
    </row>
    <row r="1643" spans="1:13" x14ac:dyDescent="0.3">
      <c r="A1643" t="str">
        <f>HYPERLINK("https://hsdes.intel.com/resource/14013162897","14013162897")</f>
        <v>14013162897</v>
      </c>
      <c r="B1643" t="s">
        <v>3328</v>
      </c>
      <c r="C1643" t="s">
        <v>3247</v>
      </c>
      <c r="D1643" t="s">
        <v>3329</v>
      </c>
      <c r="E1643" t="s">
        <v>14</v>
      </c>
      <c r="G1643" t="s">
        <v>3262</v>
      </c>
      <c r="H1643" s="2">
        <v>44791</v>
      </c>
      <c r="I1643" t="s">
        <v>132</v>
      </c>
      <c r="J1643" t="s">
        <v>614</v>
      </c>
      <c r="L1643" t="s">
        <v>615</v>
      </c>
      <c r="M1643" t="s">
        <v>22</v>
      </c>
    </row>
    <row r="1644" spans="1:13" x14ac:dyDescent="0.3">
      <c r="A1644" t="str">
        <f>HYPERLINK("https://hsdes.intel.com/resource/14013163811","14013163811")</f>
        <v>14013163811</v>
      </c>
      <c r="B1644" t="s">
        <v>3330</v>
      </c>
      <c r="C1644" t="s">
        <v>3247</v>
      </c>
      <c r="D1644" t="s">
        <v>3331</v>
      </c>
      <c r="E1644" t="s">
        <v>14</v>
      </c>
      <c r="F1644" t="s">
        <v>3332</v>
      </c>
      <c r="G1644" t="s">
        <v>3262</v>
      </c>
      <c r="H1644" s="2">
        <v>44792</v>
      </c>
      <c r="I1644" t="s">
        <v>132</v>
      </c>
      <c r="J1644" t="s">
        <v>614</v>
      </c>
      <c r="L1644" t="s">
        <v>615</v>
      </c>
      <c r="M1644" t="s">
        <v>26</v>
      </c>
    </row>
    <row r="1645" spans="1:13" x14ac:dyDescent="0.3">
      <c r="A1645" t="str">
        <f>HYPERLINK("https://hsdes.intel.com/resource/14013163952","14013163952")</f>
        <v>14013163952</v>
      </c>
      <c r="B1645" t="s">
        <v>2925</v>
      </c>
      <c r="C1645" t="s">
        <v>3247</v>
      </c>
      <c r="D1645" t="s">
        <v>2926</v>
      </c>
      <c r="E1645" t="s">
        <v>97</v>
      </c>
      <c r="F1645" t="s">
        <v>1008</v>
      </c>
      <c r="G1645" t="s">
        <v>111</v>
      </c>
      <c r="H1645" s="2">
        <v>44802</v>
      </c>
      <c r="I1645" t="s">
        <v>48</v>
      </c>
      <c r="J1645" t="s">
        <v>151</v>
      </c>
      <c r="L1645" t="s">
        <v>152</v>
      </c>
      <c r="M1645" t="s">
        <v>26</v>
      </c>
    </row>
    <row r="1646" spans="1:13" x14ac:dyDescent="0.3">
      <c r="A1646" t="str">
        <f>HYPERLINK("https://hsdes.intel.com/resource/14013164076","14013164076")</f>
        <v>14013164076</v>
      </c>
      <c r="B1646" t="s">
        <v>3333</v>
      </c>
      <c r="C1646" t="s">
        <v>3247</v>
      </c>
      <c r="D1646" t="s">
        <v>3334</v>
      </c>
      <c r="E1646" t="s">
        <v>14</v>
      </c>
      <c r="G1646" t="s">
        <v>3262</v>
      </c>
      <c r="H1646" s="2">
        <v>44790</v>
      </c>
      <c r="I1646" t="s">
        <v>132</v>
      </c>
      <c r="J1646" t="s">
        <v>614</v>
      </c>
      <c r="L1646" t="s">
        <v>615</v>
      </c>
      <c r="M1646" t="s">
        <v>26</v>
      </c>
    </row>
    <row r="1647" spans="1:13" x14ac:dyDescent="0.3">
      <c r="A1647" t="str">
        <f>HYPERLINK("https://hsdes.intel.com/resource/14013164275","14013164275")</f>
        <v>14013164275</v>
      </c>
      <c r="B1647" t="s">
        <v>3335</v>
      </c>
      <c r="C1647" t="s">
        <v>3247</v>
      </c>
      <c r="D1647" t="s">
        <v>3336</v>
      </c>
      <c r="E1647" t="s">
        <v>14</v>
      </c>
      <c r="H1647" s="2"/>
      <c r="I1647" t="s">
        <v>132</v>
      </c>
      <c r="J1647" t="s">
        <v>614</v>
      </c>
      <c r="L1647" t="s">
        <v>615</v>
      </c>
      <c r="M1647" t="s">
        <v>26</v>
      </c>
    </row>
    <row r="1648" spans="1:13" x14ac:dyDescent="0.3">
      <c r="A1648" t="str">
        <f>HYPERLINK("https://hsdes.intel.com/resource/14013164390","14013164390")</f>
        <v>14013164390</v>
      </c>
      <c r="B1648" t="s">
        <v>3337</v>
      </c>
      <c r="C1648" t="s">
        <v>3247</v>
      </c>
      <c r="D1648" t="s">
        <v>3338</v>
      </c>
      <c r="E1648" t="s">
        <v>14</v>
      </c>
      <c r="G1648" t="s">
        <v>3262</v>
      </c>
      <c r="H1648" s="2">
        <v>44792</v>
      </c>
      <c r="I1648" t="s">
        <v>132</v>
      </c>
      <c r="J1648" t="s">
        <v>614</v>
      </c>
      <c r="L1648" t="s">
        <v>615</v>
      </c>
      <c r="M1648" t="s">
        <v>22</v>
      </c>
    </row>
    <row r="1649" spans="1:13" x14ac:dyDescent="0.3">
      <c r="A1649" t="str">
        <f>HYPERLINK("https://hsdes.intel.com/resource/14013165066","14013165066")</f>
        <v>14013165066</v>
      </c>
      <c r="B1649" t="s">
        <v>3339</v>
      </c>
      <c r="C1649" t="s">
        <v>3247</v>
      </c>
      <c r="D1649" t="s">
        <v>3340</v>
      </c>
      <c r="E1649" t="s">
        <v>14</v>
      </c>
      <c r="G1649" t="s">
        <v>3262</v>
      </c>
      <c r="H1649" s="2">
        <v>44790</v>
      </c>
      <c r="I1649" t="s">
        <v>132</v>
      </c>
      <c r="J1649" t="s">
        <v>614</v>
      </c>
      <c r="L1649" t="s">
        <v>615</v>
      </c>
      <c r="M1649" t="s">
        <v>26</v>
      </c>
    </row>
    <row r="1650" spans="1:13" x14ac:dyDescent="0.3">
      <c r="A1650" t="str">
        <f>HYPERLINK("https://hsdes.intel.com/resource/14013167005","14013167005")</f>
        <v>14013167005</v>
      </c>
      <c r="B1650" t="s">
        <v>3341</v>
      </c>
      <c r="C1650" t="s">
        <v>3247</v>
      </c>
      <c r="D1650" t="s">
        <v>3342</v>
      </c>
      <c r="E1650" t="s">
        <v>97</v>
      </c>
      <c r="F1650" t="s">
        <v>3343</v>
      </c>
      <c r="G1650" t="s">
        <v>57</v>
      </c>
      <c r="H1650" s="2">
        <v>44792</v>
      </c>
      <c r="I1650" t="s">
        <v>48</v>
      </c>
      <c r="J1650" t="s">
        <v>49</v>
      </c>
      <c r="L1650" t="s">
        <v>50</v>
      </c>
      <c r="M1650" t="s">
        <v>26</v>
      </c>
    </row>
    <row r="1651" spans="1:13" x14ac:dyDescent="0.3">
      <c r="A1651" t="str">
        <f>HYPERLINK("https://hsdes.intel.com/resource/14013167072","14013167072")</f>
        <v>14013167072</v>
      </c>
      <c r="B1651" t="s">
        <v>3344</v>
      </c>
      <c r="C1651" t="s">
        <v>3247</v>
      </c>
      <c r="D1651" t="s">
        <v>3345</v>
      </c>
      <c r="E1651" t="s">
        <v>14</v>
      </c>
      <c r="G1651" t="s">
        <v>3262</v>
      </c>
      <c r="H1651" s="2">
        <v>44792</v>
      </c>
      <c r="I1651" t="s">
        <v>48</v>
      </c>
      <c r="J1651" t="s">
        <v>49</v>
      </c>
      <c r="L1651" t="s">
        <v>50</v>
      </c>
      <c r="M1651" t="s">
        <v>26</v>
      </c>
    </row>
    <row r="1652" spans="1:13" x14ac:dyDescent="0.3">
      <c r="A1652" t="str">
        <f>HYPERLINK("https://hsdes.intel.com/resource/14013167076","14013167076")</f>
        <v>14013167076</v>
      </c>
      <c r="B1652" t="s">
        <v>2927</v>
      </c>
      <c r="C1652" t="s">
        <v>3247</v>
      </c>
      <c r="D1652" t="s">
        <v>2928</v>
      </c>
      <c r="E1652" t="s">
        <v>97</v>
      </c>
      <c r="F1652" t="s">
        <v>3346</v>
      </c>
      <c r="G1652" t="s">
        <v>57</v>
      </c>
      <c r="H1652" s="2">
        <v>44796</v>
      </c>
      <c r="I1652" t="s">
        <v>48</v>
      </c>
      <c r="J1652" t="s">
        <v>49</v>
      </c>
      <c r="L1652" t="s">
        <v>50</v>
      </c>
      <c r="M1652" t="s">
        <v>22</v>
      </c>
    </row>
    <row r="1653" spans="1:13" x14ac:dyDescent="0.3">
      <c r="A1653" t="str">
        <f>HYPERLINK("https://hsdes.intel.com/resource/14013167109","14013167109")</f>
        <v>14013167109</v>
      </c>
      <c r="B1653" t="s">
        <v>3347</v>
      </c>
      <c r="C1653" t="s">
        <v>3247</v>
      </c>
      <c r="D1653" t="s">
        <v>3348</v>
      </c>
      <c r="E1653" s="15" t="s">
        <v>120</v>
      </c>
      <c r="F1653" t="s">
        <v>2979</v>
      </c>
      <c r="G1653" t="s">
        <v>63</v>
      </c>
      <c r="H1653" s="2">
        <v>44791</v>
      </c>
      <c r="I1653" t="s">
        <v>48</v>
      </c>
      <c r="J1653" t="s">
        <v>49</v>
      </c>
      <c r="L1653" t="s">
        <v>50</v>
      </c>
      <c r="M1653" t="s">
        <v>19</v>
      </c>
    </row>
    <row r="1654" spans="1:13" x14ac:dyDescent="0.3">
      <c r="A1654" t="str">
        <f>HYPERLINK("https://hsdes.intel.com/resource/14013167560","14013167560")</f>
        <v>14013167560</v>
      </c>
      <c r="B1654" t="s">
        <v>3349</v>
      </c>
      <c r="C1654" t="s">
        <v>3247</v>
      </c>
      <c r="D1654" t="s">
        <v>3350</v>
      </c>
      <c r="E1654" t="s">
        <v>14</v>
      </c>
      <c r="G1654" t="s">
        <v>63</v>
      </c>
      <c r="H1654" s="2">
        <v>44791</v>
      </c>
      <c r="I1654" t="s">
        <v>48</v>
      </c>
      <c r="J1654" t="s">
        <v>49</v>
      </c>
      <c r="L1654" t="s">
        <v>50</v>
      </c>
      <c r="M1654" t="s">
        <v>19</v>
      </c>
    </row>
    <row r="1655" spans="1:13" x14ac:dyDescent="0.3">
      <c r="A1655" t="str">
        <f>HYPERLINK("https://hsdes.intel.com/resource/14013168340","14013168340")</f>
        <v>14013168340</v>
      </c>
      <c r="B1655" t="s">
        <v>3351</v>
      </c>
      <c r="C1655" t="s">
        <v>3247</v>
      </c>
      <c r="D1655" t="s">
        <v>3352</v>
      </c>
      <c r="E1655" t="s">
        <v>14</v>
      </c>
      <c r="G1655" t="s">
        <v>15</v>
      </c>
      <c r="H1655" s="2">
        <v>44791</v>
      </c>
      <c r="I1655" t="s">
        <v>32</v>
      </c>
      <c r="J1655" t="s">
        <v>82</v>
      </c>
      <c r="L1655" t="s">
        <v>50</v>
      </c>
      <c r="M1655" t="s">
        <v>26</v>
      </c>
    </row>
    <row r="1656" spans="1:13" x14ac:dyDescent="0.3">
      <c r="A1656" t="str">
        <f>HYPERLINK("https://hsdes.intel.com/resource/14013168846","14013168846")</f>
        <v>14013168846</v>
      </c>
      <c r="B1656" t="s">
        <v>2934</v>
      </c>
      <c r="C1656" t="s">
        <v>3247</v>
      </c>
      <c r="D1656" t="s">
        <v>2935</v>
      </c>
      <c r="E1656" t="s">
        <v>14</v>
      </c>
      <c r="G1656" t="s">
        <v>3262</v>
      </c>
      <c r="H1656" s="2">
        <v>44791</v>
      </c>
      <c r="I1656" t="s">
        <v>64</v>
      </c>
      <c r="J1656" t="s">
        <v>191</v>
      </c>
      <c r="L1656" t="s">
        <v>192</v>
      </c>
      <c r="M1656" t="s">
        <v>22</v>
      </c>
    </row>
    <row r="1657" spans="1:13" x14ac:dyDescent="0.3">
      <c r="A1657" t="str">
        <f>HYPERLINK("https://hsdes.intel.com/resource/14013168950","14013168950")</f>
        <v>14013168950</v>
      </c>
      <c r="B1657" t="s">
        <v>2936</v>
      </c>
      <c r="C1657" t="s">
        <v>3247</v>
      </c>
      <c r="D1657" t="s">
        <v>2937</v>
      </c>
      <c r="E1657" t="s">
        <v>97</v>
      </c>
      <c r="F1657" t="s">
        <v>2938</v>
      </c>
      <c r="G1657" t="s">
        <v>63</v>
      </c>
      <c r="H1657" s="2">
        <v>44802</v>
      </c>
      <c r="I1657" t="s">
        <v>64</v>
      </c>
      <c r="J1657" t="s">
        <v>191</v>
      </c>
      <c r="L1657" t="s">
        <v>50</v>
      </c>
      <c r="M1657" t="s">
        <v>22</v>
      </c>
    </row>
    <row r="1658" spans="1:13" x14ac:dyDescent="0.3">
      <c r="A1658" t="str">
        <f>HYPERLINK("https://hsdes.intel.com/resource/14013169130","14013169130")</f>
        <v>14013169130</v>
      </c>
      <c r="B1658" t="s">
        <v>2939</v>
      </c>
      <c r="C1658" t="s">
        <v>3247</v>
      </c>
      <c r="D1658" t="s">
        <v>2940</v>
      </c>
      <c r="E1658" t="s">
        <v>14</v>
      </c>
      <c r="G1658" t="s">
        <v>3262</v>
      </c>
      <c r="H1658" s="2">
        <v>44796</v>
      </c>
      <c r="I1658" t="s">
        <v>64</v>
      </c>
      <c r="J1658" t="s">
        <v>191</v>
      </c>
      <c r="L1658" t="s">
        <v>50</v>
      </c>
      <c r="M1658" t="s">
        <v>22</v>
      </c>
    </row>
    <row r="1659" spans="1:13" x14ac:dyDescent="0.3">
      <c r="A1659" t="str">
        <f>HYPERLINK("https://hsdes.intel.com/resource/14013173139","14013173139")</f>
        <v>14013173139</v>
      </c>
      <c r="B1659" t="s">
        <v>3353</v>
      </c>
      <c r="C1659" t="s">
        <v>3247</v>
      </c>
      <c r="D1659" t="s">
        <v>3354</v>
      </c>
      <c r="E1659" t="s">
        <v>97</v>
      </c>
      <c r="F1659" t="s">
        <v>3355</v>
      </c>
      <c r="G1659" t="s">
        <v>57</v>
      </c>
      <c r="H1659" s="2">
        <v>44802</v>
      </c>
      <c r="I1659" t="s">
        <v>32</v>
      </c>
      <c r="J1659" t="s">
        <v>82</v>
      </c>
      <c r="L1659" t="s">
        <v>54</v>
      </c>
      <c r="M1659" t="s">
        <v>26</v>
      </c>
    </row>
    <row r="1660" spans="1:13" x14ac:dyDescent="0.3">
      <c r="A1660" t="str">
        <f>HYPERLINK("https://hsdes.intel.com/resource/14013173153","14013173153")</f>
        <v>14013173153</v>
      </c>
      <c r="B1660" t="s">
        <v>3356</v>
      </c>
      <c r="C1660" t="s">
        <v>3247</v>
      </c>
      <c r="D1660" t="s">
        <v>3357</v>
      </c>
      <c r="E1660" t="s">
        <v>14</v>
      </c>
      <c r="G1660" t="s">
        <v>63</v>
      </c>
      <c r="H1660" s="2">
        <v>44791</v>
      </c>
      <c r="I1660" t="s">
        <v>32</v>
      </c>
      <c r="J1660" t="s">
        <v>82</v>
      </c>
      <c r="L1660" t="s">
        <v>125</v>
      </c>
      <c r="M1660" t="s">
        <v>26</v>
      </c>
    </row>
    <row r="1661" spans="1:13" x14ac:dyDescent="0.3">
      <c r="A1661" t="str">
        <f>HYPERLINK("https://hsdes.intel.com/resource/14013173298","14013173298")</f>
        <v>14013173298</v>
      </c>
      <c r="B1661" t="s">
        <v>3358</v>
      </c>
      <c r="C1661" t="s">
        <v>3247</v>
      </c>
      <c r="D1661" t="s">
        <v>3359</v>
      </c>
      <c r="E1661" t="s">
        <v>97</v>
      </c>
      <c r="F1661" t="s">
        <v>3360</v>
      </c>
      <c r="G1661" t="s">
        <v>57</v>
      </c>
      <c r="H1661" s="2">
        <v>44799</v>
      </c>
      <c r="I1661" t="s">
        <v>132</v>
      </c>
      <c r="J1661" t="s">
        <v>115</v>
      </c>
      <c r="L1661" t="s">
        <v>133</v>
      </c>
      <c r="M1661" t="s">
        <v>22</v>
      </c>
    </row>
    <row r="1662" spans="1:13" x14ac:dyDescent="0.3">
      <c r="A1662" t="str">
        <f>HYPERLINK("https://hsdes.intel.com/resource/14013174027","14013174027")</f>
        <v>14013174027</v>
      </c>
      <c r="B1662" t="s">
        <v>2946</v>
      </c>
      <c r="C1662" t="s">
        <v>3247</v>
      </c>
      <c r="D1662" t="s">
        <v>2947</v>
      </c>
      <c r="E1662" t="s">
        <v>14</v>
      </c>
      <c r="G1662" t="s">
        <v>3262</v>
      </c>
      <c r="H1662" s="2">
        <v>44799</v>
      </c>
      <c r="I1662" t="s">
        <v>167</v>
      </c>
      <c r="J1662" t="s">
        <v>151</v>
      </c>
      <c r="L1662" t="s">
        <v>147</v>
      </c>
      <c r="M1662" t="s">
        <v>26</v>
      </c>
    </row>
    <row r="1663" spans="1:13" x14ac:dyDescent="0.3">
      <c r="A1663" t="str">
        <f>HYPERLINK("https://hsdes.intel.com/resource/14013174046","14013174046")</f>
        <v>14013174046</v>
      </c>
      <c r="B1663" t="s">
        <v>2948</v>
      </c>
      <c r="C1663" t="s">
        <v>3247</v>
      </c>
      <c r="D1663" t="s">
        <v>2949</v>
      </c>
      <c r="E1663" t="s">
        <v>14</v>
      </c>
      <c r="G1663" t="s">
        <v>63</v>
      </c>
      <c r="H1663" s="2">
        <v>44799</v>
      </c>
      <c r="I1663" t="s">
        <v>167</v>
      </c>
      <c r="J1663" t="s">
        <v>151</v>
      </c>
      <c r="L1663" t="s">
        <v>147</v>
      </c>
      <c r="M1663" t="s">
        <v>26</v>
      </c>
    </row>
    <row r="1664" spans="1:13" x14ac:dyDescent="0.3">
      <c r="A1664" t="str">
        <f>HYPERLINK("https://hsdes.intel.com/resource/14013174100","14013174100")</f>
        <v>14013174100</v>
      </c>
      <c r="B1664" t="s">
        <v>2955</v>
      </c>
      <c r="C1664" t="s">
        <v>3247</v>
      </c>
      <c r="D1664" t="s">
        <v>2956</v>
      </c>
      <c r="E1664" t="s">
        <v>779</v>
      </c>
      <c r="F1664" s="16" t="s">
        <v>3468</v>
      </c>
      <c r="G1664" t="s">
        <v>63</v>
      </c>
      <c r="H1664" s="2">
        <v>44799</v>
      </c>
      <c r="I1664" t="s">
        <v>167</v>
      </c>
      <c r="J1664" t="s">
        <v>186</v>
      </c>
      <c r="L1664" t="s">
        <v>147</v>
      </c>
      <c r="M1664" t="s">
        <v>26</v>
      </c>
    </row>
    <row r="1665" spans="1:13" x14ac:dyDescent="0.3">
      <c r="A1665" t="str">
        <f>HYPERLINK("https://hsdes.intel.com/resource/14013174569","14013174569")</f>
        <v>14013174569</v>
      </c>
      <c r="B1665" t="s">
        <v>2969</v>
      </c>
      <c r="C1665" t="s">
        <v>3247</v>
      </c>
      <c r="D1665" t="s">
        <v>2970</v>
      </c>
      <c r="E1665" t="s">
        <v>14</v>
      </c>
      <c r="G1665" t="s">
        <v>63</v>
      </c>
      <c r="H1665" s="2">
        <v>44799</v>
      </c>
      <c r="I1665" t="s">
        <v>167</v>
      </c>
      <c r="J1665" t="s">
        <v>151</v>
      </c>
      <c r="L1665" t="s">
        <v>147</v>
      </c>
      <c r="M1665" t="s">
        <v>26</v>
      </c>
    </row>
    <row r="1666" spans="1:13" x14ac:dyDescent="0.3">
      <c r="A1666" t="str">
        <f>HYPERLINK("https://hsdes.intel.com/resource/14013176172","14013176172")</f>
        <v>14013176172</v>
      </c>
      <c r="B1666" t="s">
        <v>2987</v>
      </c>
      <c r="C1666" t="s">
        <v>3247</v>
      </c>
      <c r="D1666" t="s">
        <v>2988</v>
      </c>
      <c r="E1666" t="s">
        <v>14</v>
      </c>
      <c r="G1666" t="s">
        <v>69</v>
      </c>
      <c r="H1666" s="2">
        <v>44800</v>
      </c>
      <c r="I1666" t="s">
        <v>48</v>
      </c>
      <c r="J1666" t="s">
        <v>151</v>
      </c>
      <c r="L1666" t="s">
        <v>152</v>
      </c>
      <c r="M1666" t="s">
        <v>26</v>
      </c>
    </row>
    <row r="1667" spans="1:13" x14ac:dyDescent="0.3">
      <c r="A1667" t="str">
        <f>HYPERLINK("https://hsdes.intel.com/resource/14013176273","14013176273")</f>
        <v>14013176273</v>
      </c>
      <c r="B1667" t="s">
        <v>3361</v>
      </c>
      <c r="C1667" t="s">
        <v>3247</v>
      </c>
      <c r="D1667" t="s">
        <v>3362</v>
      </c>
      <c r="E1667" t="s">
        <v>97</v>
      </c>
      <c r="F1667" t="s">
        <v>3363</v>
      </c>
      <c r="G1667" t="s">
        <v>63</v>
      </c>
      <c r="H1667" s="2">
        <v>44799</v>
      </c>
      <c r="I1667" t="s">
        <v>132</v>
      </c>
      <c r="J1667" t="s">
        <v>614</v>
      </c>
      <c r="L1667" t="s">
        <v>615</v>
      </c>
      <c r="M1667" t="s">
        <v>26</v>
      </c>
    </row>
    <row r="1668" spans="1:13" x14ac:dyDescent="0.3">
      <c r="A1668" t="str">
        <f>HYPERLINK("https://hsdes.intel.com/resource/14013176478","14013176478")</f>
        <v>14013176478</v>
      </c>
      <c r="B1668" t="s">
        <v>3364</v>
      </c>
      <c r="C1668" t="s">
        <v>3247</v>
      </c>
      <c r="D1668" t="s">
        <v>3365</v>
      </c>
      <c r="E1668" t="s">
        <v>14</v>
      </c>
      <c r="G1668" t="s">
        <v>3262</v>
      </c>
      <c r="H1668" s="2">
        <v>44790</v>
      </c>
      <c r="I1668" t="s">
        <v>132</v>
      </c>
      <c r="J1668" t="s">
        <v>614</v>
      </c>
      <c r="L1668" t="s">
        <v>615</v>
      </c>
      <c r="M1668" t="s">
        <v>26</v>
      </c>
    </row>
    <row r="1669" spans="1:13" x14ac:dyDescent="0.3">
      <c r="A1669" t="str">
        <f>HYPERLINK("https://hsdes.intel.com/resource/14013176485","14013176485")</f>
        <v>14013176485</v>
      </c>
      <c r="B1669" t="s">
        <v>3366</v>
      </c>
      <c r="C1669" t="s">
        <v>3247</v>
      </c>
      <c r="D1669" t="s">
        <v>3367</v>
      </c>
      <c r="E1669" t="s">
        <v>14</v>
      </c>
      <c r="F1669" t="s">
        <v>3368</v>
      </c>
      <c r="G1669" t="s">
        <v>3262</v>
      </c>
      <c r="H1669" s="2">
        <v>44791</v>
      </c>
      <c r="I1669" t="s">
        <v>64</v>
      </c>
      <c r="J1669" t="s">
        <v>112</v>
      </c>
      <c r="L1669" t="s">
        <v>66</v>
      </c>
      <c r="M1669" t="s">
        <v>26</v>
      </c>
    </row>
    <row r="1670" spans="1:13" x14ac:dyDescent="0.3">
      <c r="A1670" t="str">
        <f>HYPERLINK("https://hsdes.intel.com/resource/14013176742","14013176742")</f>
        <v>14013176742</v>
      </c>
      <c r="B1670" t="s">
        <v>3143</v>
      </c>
      <c r="C1670" t="s">
        <v>3247</v>
      </c>
      <c r="D1670" t="s">
        <v>3144</v>
      </c>
      <c r="E1670" t="s">
        <v>14</v>
      </c>
      <c r="G1670" t="s">
        <v>3262</v>
      </c>
      <c r="H1670" s="2">
        <v>44791</v>
      </c>
      <c r="I1670" t="s">
        <v>64</v>
      </c>
      <c r="J1670" t="s">
        <v>112</v>
      </c>
      <c r="L1670" t="s">
        <v>66</v>
      </c>
      <c r="M1670" t="s">
        <v>22</v>
      </c>
    </row>
    <row r="1671" spans="1:13" x14ac:dyDescent="0.3">
      <c r="A1671" t="str">
        <f>HYPERLINK("https://hsdes.intel.com/resource/14013177021","14013177021")</f>
        <v>14013177021</v>
      </c>
      <c r="B1671" t="s">
        <v>3147</v>
      </c>
      <c r="C1671" t="s">
        <v>3247</v>
      </c>
      <c r="D1671" t="s">
        <v>3148</v>
      </c>
      <c r="E1671" t="s">
        <v>14</v>
      </c>
      <c r="G1671" t="s">
        <v>3262</v>
      </c>
      <c r="H1671" s="2">
        <v>44799</v>
      </c>
      <c r="I1671" t="s">
        <v>64</v>
      </c>
      <c r="J1671" t="s">
        <v>112</v>
      </c>
      <c r="L1671" t="s">
        <v>66</v>
      </c>
      <c r="M1671" t="s">
        <v>19</v>
      </c>
    </row>
    <row r="1672" spans="1:13" x14ac:dyDescent="0.3">
      <c r="A1672" t="str">
        <f>HYPERLINK("https://hsdes.intel.com/resource/14013177245","14013177245")</f>
        <v>14013177245</v>
      </c>
      <c r="B1672" t="s">
        <v>3369</v>
      </c>
      <c r="C1672" t="s">
        <v>3247</v>
      </c>
      <c r="D1672" t="s">
        <v>3370</v>
      </c>
      <c r="E1672" t="s">
        <v>14</v>
      </c>
      <c r="G1672" t="s">
        <v>3262</v>
      </c>
      <c r="H1672" s="2">
        <v>44791</v>
      </c>
      <c r="I1672" t="s">
        <v>64</v>
      </c>
      <c r="J1672" t="s">
        <v>112</v>
      </c>
      <c r="L1672" t="s">
        <v>66</v>
      </c>
      <c r="M1672" t="s">
        <v>22</v>
      </c>
    </row>
    <row r="1673" spans="1:13" x14ac:dyDescent="0.3">
      <c r="A1673" t="str">
        <f>HYPERLINK("https://hsdes.intel.com/resource/14013177306","14013177306")</f>
        <v>14013177306</v>
      </c>
      <c r="B1673" t="s">
        <v>3371</v>
      </c>
      <c r="C1673" t="s">
        <v>3247</v>
      </c>
      <c r="D1673" t="s">
        <v>3372</v>
      </c>
      <c r="E1673" t="s">
        <v>120</v>
      </c>
      <c r="F1673" t="s">
        <v>3373</v>
      </c>
      <c r="G1673" t="s">
        <v>3262</v>
      </c>
      <c r="H1673" s="2">
        <v>44791</v>
      </c>
      <c r="I1673" t="s">
        <v>64</v>
      </c>
      <c r="J1673" t="s">
        <v>112</v>
      </c>
      <c r="L1673" t="s">
        <v>66</v>
      </c>
      <c r="M1673" t="s">
        <v>19</v>
      </c>
    </row>
    <row r="1674" spans="1:13" x14ac:dyDescent="0.3">
      <c r="A1674" t="str">
        <f>HYPERLINK("https://hsdes.intel.com/resource/14013177684","14013177684")</f>
        <v>14013177684</v>
      </c>
      <c r="B1674" t="s">
        <v>3154</v>
      </c>
      <c r="C1674" t="s">
        <v>3247</v>
      </c>
      <c r="D1674" t="s">
        <v>3155</v>
      </c>
      <c r="E1674" t="s">
        <v>14</v>
      </c>
      <c r="G1674" t="s">
        <v>3262</v>
      </c>
      <c r="H1674" s="2">
        <v>44791</v>
      </c>
      <c r="I1674" t="s">
        <v>64</v>
      </c>
      <c r="J1674" t="s">
        <v>112</v>
      </c>
      <c r="L1674" t="s">
        <v>66</v>
      </c>
      <c r="M1674" t="s">
        <v>19</v>
      </c>
    </row>
    <row r="1675" spans="1:13" x14ac:dyDescent="0.3">
      <c r="A1675" t="str">
        <f>HYPERLINK("https://hsdes.intel.com/resource/14013177820","14013177820")</f>
        <v>14013177820</v>
      </c>
      <c r="B1675" t="s">
        <v>3374</v>
      </c>
      <c r="C1675" t="s">
        <v>3247</v>
      </c>
      <c r="D1675" t="s">
        <v>3375</v>
      </c>
      <c r="E1675" t="s">
        <v>14</v>
      </c>
      <c r="F1675" t="s">
        <v>3376</v>
      </c>
      <c r="G1675" t="s">
        <v>3377</v>
      </c>
      <c r="H1675" s="2">
        <v>44802</v>
      </c>
      <c r="I1675" t="s">
        <v>64</v>
      </c>
      <c r="J1675" t="s">
        <v>112</v>
      </c>
      <c r="L1675" t="s">
        <v>66</v>
      </c>
      <c r="M1675" t="s">
        <v>19</v>
      </c>
    </row>
    <row r="1676" spans="1:13" x14ac:dyDescent="0.3">
      <c r="A1676" t="str">
        <f>HYPERLINK("https://hsdes.intel.com/resource/14013177838","14013177838")</f>
        <v>14013177838</v>
      </c>
      <c r="B1676" t="s">
        <v>3166</v>
      </c>
      <c r="C1676" t="s">
        <v>3247</v>
      </c>
      <c r="D1676" t="s">
        <v>3167</v>
      </c>
      <c r="E1676" t="s">
        <v>14</v>
      </c>
      <c r="F1676" t="s">
        <v>3376</v>
      </c>
      <c r="G1676" t="s">
        <v>3377</v>
      </c>
      <c r="H1676" s="2">
        <v>44802</v>
      </c>
      <c r="I1676" t="s">
        <v>64</v>
      </c>
      <c r="J1676" t="s">
        <v>112</v>
      </c>
      <c r="L1676" t="s">
        <v>66</v>
      </c>
      <c r="M1676" t="s">
        <v>19</v>
      </c>
    </row>
    <row r="1677" spans="1:13" x14ac:dyDescent="0.3">
      <c r="A1677" t="str">
        <f>HYPERLINK("https://hsdes.intel.com/resource/14013177842","14013177842")</f>
        <v>14013177842</v>
      </c>
      <c r="B1677" t="s">
        <v>3378</v>
      </c>
      <c r="C1677" t="s">
        <v>3247</v>
      </c>
      <c r="D1677" t="s">
        <v>3379</v>
      </c>
      <c r="E1677" t="s">
        <v>14</v>
      </c>
      <c r="F1677" t="s">
        <v>3376</v>
      </c>
      <c r="G1677" t="s">
        <v>3377</v>
      </c>
      <c r="H1677" s="2">
        <v>44802</v>
      </c>
      <c r="I1677" t="s">
        <v>64</v>
      </c>
      <c r="J1677" t="s">
        <v>112</v>
      </c>
      <c r="L1677" t="s">
        <v>66</v>
      </c>
      <c r="M1677" t="s">
        <v>19</v>
      </c>
    </row>
    <row r="1678" spans="1:13" x14ac:dyDescent="0.3">
      <c r="A1678" t="str">
        <f>HYPERLINK("https://hsdes.intel.com/resource/14013177887","14013177887")</f>
        <v>14013177887</v>
      </c>
      <c r="B1678" t="s">
        <v>3380</v>
      </c>
      <c r="C1678" t="s">
        <v>3247</v>
      </c>
      <c r="D1678" t="s">
        <v>3381</v>
      </c>
      <c r="E1678" t="s">
        <v>14</v>
      </c>
      <c r="G1678" t="s">
        <v>63</v>
      </c>
      <c r="H1678" s="2">
        <v>44796</v>
      </c>
      <c r="I1678" t="s">
        <v>132</v>
      </c>
      <c r="J1678" t="s">
        <v>3382</v>
      </c>
      <c r="L1678" t="s">
        <v>147</v>
      </c>
      <c r="M1678" t="s">
        <v>26</v>
      </c>
    </row>
    <row r="1679" spans="1:13" x14ac:dyDescent="0.3">
      <c r="A1679" t="str">
        <f>HYPERLINK("https://hsdes.intel.com/resource/14013178043","14013178043")</f>
        <v>14013178043</v>
      </c>
      <c r="B1679" t="s">
        <v>2991</v>
      </c>
      <c r="C1679" t="s">
        <v>3247</v>
      </c>
      <c r="D1679" t="s">
        <v>2992</v>
      </c>
      <c r="E1679" t="s">
        <v>14</v>
      </c>
      <c r="G1679" t="s">
        <v>69</v>
      </c>
      <c r="H1679" s="2">
        <v>44800</v>
      </c>
      <c r="I1679" t="s">
        <v>48</v>
      </c>
      <c r="J1679" t="s">
        <v>151</v>
      </c>
      <c r="L1679" t="s">
        <v>152</v>
      </c>
      <c r="M1679" t="s">
        <v>22</v>
      </c>
    </row>
    <row r="1680" spans="1:13" x14ac:dyDescent="0.3">
      <c r="A1680" t="str">
        <f>HYPERLINK("https://hsdes.intel.com/resource/14013178384","14013178384")</f>
        <v>14013178384</v>
      </c>
      <c r="B1680" t="s">
        <v>3172</v>
      </c>
      <c r="C1680" t="s">
        <v>3247</v>
      </c>
      <c r="D1680" t="s">
        <v>3173</v>
      </c>
      <c r="E1680" t="s">
        <v>120</v>
      </c>
      <c r="F1680" t="s">
        <v>3383</v>
      </c>
      <c r="G1680" t="s">
        <v>3262</v>
      </c>
      <c r="H1680" s="2">
        <v>44795</v>
      </c>
      <c r="I1680" t="s">
        <v>64</v>
      </c>
      <c r="J1680" t="s">
        <v>112</v>
      </c>
      <c r="L1680" t="s">
        <v>66</v>
      </c>
      <c r="M1680" t="s">
        <v>19</v>
      </c>
    </row>
    <row r="1681" spans="1:13" x14ac:dyDescent="0.3">
      <c r="A1681" t="str">
        <f>HYPERLINK("https://hsdes.intel.com/resource/14013178411","14013178411")</f>
        <v>14013178411</v>
      </c>
      <c r="B1681" t="s">
        <v>3384</v>
      </c>
      <c r="C1681" t="s">
        <v>3247</v>
      </c>
      <c r="D1681" t="s">
        <v>3385</v>
      </c>
      <c r="E1681" t="s">
        <v>120</v>
      </c>
      <c r="F1681" t="s">
        <v>3386</v>
      </c>
      <c r="G1681" t="s">
        <v>3262</v>
      </c>
      <c r="H1681" s="2">
        <v>44799</v>
      </c>
      <c r="I1681" t="s">
        <v>64</v>
      </c>
      <c r="J1681" t="s">
        <v>112</v>
      </c>
      <c r="L1681" t="s">
        <v>66</v>
      </c>
      <c r="M1681" t="s">
        <v>26</v>
      </c>
    </row>
    <row r="1682" spans="1:13" x14ac:dyDescent="0.3">
      <c r="A1682" t="str">
        <f>HYPERLINK("https://hsdes.intel.com/resource/14013178862","14013178862")</f>
        <v>14013178862</v>
      </c>
      <c r="B1682" t="s">
        <v>3178</v>
      </c>
      <c r="C1682" t="s">
        <v>3247</v>
      </c>
      <c r="D1682" t="s">
        <v>3179</v>
      </c>
      <c r="E1682" t="s">
        <v>120</v>
      </c>
      <c r="F1682" t="s">
        <v>3386</v>
      </c>
      <c r="G1682" t="s">
        <v>3262</v>
      </c>
      <c r="H1682" s="2">
        <v>44799</v>
      </c>
      <c r="I1682" t="s">
        <v>64</v>
      </c>
      <c r="J1682" t="s">
        <v>112</v>
      </c>
      <c r="L1682" t="s">
        <v>66</v>
      </c>
      <c r="M1682" t="s">
        <v>19</v>
      </c>
    </row>
    <row r="1683" spans="1:13" x14ac:dyDescent="0.3">
      <c r="A1683" t="str">
        <f>HYPERLINK("https://hsdes.intel.com/resource/14013178866","14013178866")</f>
        <v>14013178866</v>
      </c>
      <c r="B1683" t="s">
        <v>3387</v>
      </c>
      <c r="C1683" t="s">
        <v>3247</v>
      </c>
      <c r="D1683" t="s">
        <v>3388</v>
      </c>
      <c r="E1683" t="s">
        <v>120</v>
      </c>
      <c r="F1683" t="s">
        <v>3386</v>
      </c>
      <c r="G1683" t="s">
        <v>3262</v>
      </c>
      <c r="H1683" s="2">
        <v>44799</v>
      </c>
      <c r="I1683" t="s">
        <v>64</v>
      </c>
      <c r="J1683" t="s">
        <v>112</v>
      </c>
      <c r="L1683" t="s">
        <v>66</v>
      </c>
      <c r="M1683" t="s">
        <v>19</v>
      </c>
    </row>
    <row r="1684" spans="1:13" x14ac:dyDescent="0.3">
      <c r="A1684" t="str">
        <f>HYPERLINK("https://hsdes.intel.com/resource/14013178908","14013178908")</f>
        <v>14013178908</v>
      </c>
      <c r="B1684" t="s">
        <v>3389</v>
      </c>
      <c r="C1684" t="s">
        <v>3247</v>
      </c>
      <c r="D1684" t="s">
        <v>3390</v>
      </c>
      <c r="E1684" t="s">
        <v>14</v>
      </c>
      <c r="G1684" t="s">
        <v>3262</v>
      </c>
      <c r="H1684" s="2">
        <v>44792</v>
      </c>
      <c r="I1684" t="s">
        <v>132</v>
      </c>
      <c r="J1684" t="s">
        <v>614</v>
      </c>
      <c r="L1684" t="s">
        <v>615</v>
      </c>
      <c r="M1684" t="s">
        <v>22</v>
      </c>
    </row>
    <row r="1685" spans="1:13" x14ac:dyDescent="0.3">
      <c r="A1685" t="str">
        <f>HYPERLINK("https://hsdes.intel.com/resource/14013178913","14013178913")</f>
        <v>14013178913</v>
      </c>
      <c r="B1685" t="s">
        <v>3391</v>
      </c>
      <c r="C1685" t="s">
        <v>3247</v>
      </c>
      <c r="D1685" t="s">
        <v>3392</v>
      </c>
      <c r="E1685" t="s">
        <v>97</v>
      </c>
      <c r="F1685" t="s">
        <v>3393</v>
      </c>
      <c r="G1685" t="s">
        <v>57</v>
      </c>
      <c r="H1685" s="2">
        <v>44795</v>
      </c>
      <c r="I1685" t="s">
        <v>132</v>
      </c>
      <c r="J1685" t="s">
        <v>614</v>
      </c>
      <c r="L1685" t="s">
        <v>615</v>
      </c>
      <c r="M1685" t="s">
        <v>26</v>
      </c>
    </row>
    <row r="1686" spans="1:13" x14ac:dyDescent="0.3">
      <c r="A1686" t="str">
        <f>HYPERLINK("https://hsdes.intel.com/resource/14013178916","14013178916")</f>
        <v>14013178916</v>
      </c>
      <c r="B1686" t="s">
        <v>3394</v>
      </c>
      <c r="C1686" t="s">
        <v>3247</v>
      </c>
      <c r="D1686" t="s">
        <v>3395</v>
      </c>
      <c r="E1686" t="s">
        <v>14</v>
      </c>
      <c r="G1686" t="s">
        <v>3262</v>
      </c>
      <c r="H1686" s="2">
        <v>44795</v>
      </c>
      <c r="I1686" t="s">
        <v>132</v>
      </c>
      <c r="J1686" t="s">
        <v>614</v>
      </c>
      <c r="L1686" t="s">
        <v>615</v>
      </c>
      <c r="M1686" t="s">
        <v>26</v>
      </c>
    </row>
    <row r="1687" spans="1:13" x14ac:dyDescent="0.3">
      <c r="A1687" t="str">
        <f>HYPERLINK("https://hsdes.intel.com/resource/14013179066","14013179066")</f>
        <v>14013179066</v>
      </c>
      <c r="B1687" t="s">
        <v>3396</v>
      </c>
      <c r="C1687" t="s">
        <v>3247</v>
      </c>
      <c r="D1687" t="s">
        <v>3397</v>
      </c>
      <c r="E1687" t="s">
        <v>14</v>
      </c>
      <c r="G1687" t="s">
        <v>3262</v>
      </c>
      <c r="H1687" s="2">
        <v>44792</v>
      </c>
      <c r="I1687" t="s">
        <v>132</v>
      </c>
      <c r="J1687" t="s">
        <v>614</v>
      </c>
      <c r="L1687" t="s">
        <v>615</v>
      </c>
      <c r="M1687" t="s">
        <v>19</v>
      </c>
    </row>
    <row r="1688" spans="1:13" x14ac:dyDescent="0.3">
      <c r="A1688" t="str">
        <f>HYPERLINK("https://hsdes.intel.com/resource/14013179088","14013179088")</f>
        <v>14013179088</v>
      </c>
      <c r="B1688" t="s">
        <v>3398</v>
      </c>
      <c r="C1688" t="s">
        <v>3247</v>
      </c>
      <c r="D1688" t="s">
        <v>3399</v>
      </c>
      <c r="E1688" t="s">
        <v>14</v>
      </c>
      <c r="G1688" t="s">
        <v>3262</v>
      </c>
      <c r="H1688" s="2">
        <v>44791</v>
      </c>
      <c r="I1688" t="s">
        <v>132</v>
      </c>
      <c r="J1688" t="s">
        <v>614</v>
      </c>
      <c r="L1688" t="s">
        <v>615</v>
      </c>
      <c r="M1688" t="s">
        <v>19</v>
      </c>
    </row>
    <row r="1689" spans="1:13" x14ac:dyDescent="0.3">
      <c r="A1689" t="str">
        <f>HYPERLINK("https://hsdes.intel.com/resource/14013179185","14013179185")</f>
        <v>14013179185</v>
      </c>
      <c r="B1689" t="s">
        <v>3400</v>
      </c>
      <c r="C1689" t="s">
        <v>3247</v>
      </c>
      <c r="D1689" t="s">
        <v>3401</v>
      </c>
      <c r="E1689" t="s">
        <v>14</v>
      </c>
      <c r="G1689" t="s">
        <v>3262</v>
      </c>
      <c r="H1689" s="2">
        <v>44790</v>
      </c>
      <c r="I1689" t="s">
        <v>132</v>
      </c>
      <c r="J1689" t="s">
        <v>614</v>
      </c>
      <c r="L1689" t="s">
        <v>615</v>
      </c>
      <c r="M1689" t="s">
        <v>26</v>
      </c>
    </row>
    <row r="1690" spans="1:13" x14ac:dyDescent="0.3">
      <c r="A1690" t="str">
        <f>HYPERLINK("https://hsdes.intel.com/resource/14013179187","14013179187")</f>
        <v>14013179187</v>
      </c>
      <c r="B1690" t="s">
        <v>3402</v>
      </c>
      <c r="C1690" t="s">
        <v>3247</v>
      </c>
      <c r="D1690" t="s">
        <v>3403</v>
      </c>
      <c r="E1690" t="s">
        <v>97</v>
      </c>
      <c r="F1690" t="s">
        <v>3404</v>
      </c>
      <c r="G1690" t="s">
        <v>57</v>
      </c>
      <c r="H1690" s="2">
        <v>44792</v>
      </c>
      <c r="I1690" t="s">
        <v>132</v>
      </c>
      <c r="J1690" t="s">
        <v>614</v>
      </c>
      <c r="L1690" t="s">
        <v>615</v>
      </c>
      <c r="M1690" t="s">
        <v>26</v>
      </c>
    </row>
    <row r="1691" spans="1:13" x14ac:dyDescent="0.3">
      <c r="A1691" t="str">
        <f>HYPERLINK("https://hsdes.intel.com/resource/14013179431","14013179431")</f>
        <v>14013179431</v>
      </c>
      <c r="B1691" t="s">
        <v>3405</v>
      </c>
      <c r="C1691" t="s">
        <v>3247</v>
      </c>
      <c r="D1691" t="s">
        <v>3406</v>
      </c>
      <c r="E1691" t="s">
        <v>97</v>
      </c>
      <c r="F1691" t="s">
        <v>3407</v>
      </c>
      <c r="G1691" t="s">
        <v>57</v>
      </c>
      <c r="H1691" s="2">
        <v>44795</v>
      </c>
      <c r="I1691" t="s">
        <v>132</v>
      </c>
      <c r="J1691" t="s">
        <v>614</v>
      </c>
      <c r="L1691" t="s">
        <v>615</v>
      </c>
      <c r="M1691" t="s">
        <v>26</v>
      </c>
    </row>
    <row r="1692" spans="1:13" x14ac:dyDescent="0.3">
      <c r="A1692" t="str">
        <f>HYPERLINK("https://hsdes.intel.com/resource/14013179754","14013179754")</f>
        <v>14013179754</v>
      </c>
      <c r="B1692" t="s">
        <v>3408</v>
      </c>
      <c r="C1692" t="s">
        <v>3247</v>
      </c>
      <c r="D1692" t="s">
        <v>3409</v>
      </c>
      <c r="E1692" t="s">
        <v>14</v>
      </c>
      <c r="G1692" t="s">
        <v>3262</v>
      </c>
      <c r="H1692" s="2">
        <v>44790</v>
      </c>
      <c r="I1692" t="s">
        <v>132</v>
      </c>
      <c r="J1692" t="s">
        <v>614</v>
      </c>
      <c r="L1692" t="s">
        <v>615</v>
      </c>
      <c r="M1692" t="s">
        <v>26</v>
      </c>
    </row>
    <row r="1693" spans="1:13" x14ac:dyDescent="0.3">
      <c r="A1693" t="str">
        <f>HYPERLINK("https://hsdes.intel.com/resource/14013184885","14013184885")</f>
        <v>14013184885</v>
      </c>
      <c r="B1693" t="s">
        <v>3003</v>
      </c>
      <c r="C1693" t="s">
        <v>3247</v>
      </c>
      <c r="D1693" t="s">
        <v>3004</v>
      </c>
      <c r="E1693" t="s">
        <v>14</v>
      </c>
      <c r="G1693" t="s">
        <v>63</v>
      </c>
      <c r="H1693" s="2">
        <v>44799</v>
      </c>
      <c r="I1693" t="s">
        <v>167</v>
      </c>
      <c r="J1693" t="s">
        <v>2063</v>
      </c>
      <c r="L1693" t="s">
        <v>147</v>
      </c>
      <c r="M1693" t="s">
        <v>26</v>
      </c>
    </row>
    <row r="1694" spans="1:13" x14ac:dyDescent="0.3">
      <c r="A1694" t="str">
        <f>HYPERLINK("https://hsdes.intel.com/resource/14013184965","14013184965")</f>
        <v>14013184965</v>
      </c>
      <c r="B1694" t="s">
        <v>3005</v>
      </c>
      <c r="C1694" t="s">
        <v>3247</v>
      </c>
      <c r="D1694" t="s">
        <v>3006</v>
      </c>
      <c r="E1694" t="s">
        <v>14</v>
      </c>
      <c r="G1694" t="s">
        <v>63</v>
      </c>
      <c r="H1694" s="2">
        <v>44799</v>
      </c>
      <c r="I1694" t="s">
        <v>167</v>
      </c>
      <c r="J1694" t="s">
        <v>2063</v>
      </c>
      <c r="L1694" t="s">
        <v>147</v>
      </c>
      <c r="M1694" t="s">
        <v>26</v>
      </c>
    </row>
    <row r="1695" spans="1:13" x14ac:dyDescent="0.3">
      <c r="A1695" t="str">
        <f>HYPERLINK("https://hsdes.intel.com/resource/14013185599","14013185599")</f>
        <v>14013185599</v>
      </c>
      <c r="B1695" t="s">
        <v>3410</v>
      </c>
      <c r="C1695" t="s">
        <v>3247</v>
      </c>
      <c r="D1695" t="s">
        <v>3411</v>
      </c>
      <c r="E1695" t="s">
        <v>120</v>
      </c>
      <c r="F1695" t="s">
        <v>2979</v>
      </c>
      <c r="G1695" t="s">
        <v>15</v>
      </c>
      <c r="H1695" s="2">
        <v>44799</v>
      </c>
      <c r="I1695" t="s">
        <v>48</v>
      </c>
      <c r="J1695" t="s">
        <v>49</v>
      </c>
      <c r="L1695" t="s">
        <v>50</v>
      </c>
      <c r="M1695" t="s">
        <v>19</v>
      </c>
    </row>
    <row r="1696" spans="1:13" x14ac:dyDescent="0.3">
      <c r="A1696" t="str">
        <f>HYPERLINK("https://hsdes.intel.com/resource/14013185608","14013185608")</f>
        <v>14013185608</v>
      </c>
      <c r="B1696" t="s">
        <v>3412</v>
      </c>
      <c r="C1696" t="s">
        <v>3247</v>
      </c>
      <c r="D1696" t="s">
        <v>3413</v>
      </c>
      <c r="E1696" t="s">
        <v>120</v>
      </c>
      <c r="F1696" t="s">
        <v>3373</v>
      </c>
      <c r="G1696" t="s">
        <v>15</v>
      </c>
      <c r="H1696" s="2">
        <v>44799</v>
      </c>
      <c r="I1696" t="s">
        <v>48</v>
      </c>
      <c r="J1696" t="s">
        <v>49</v>
      </c>
      <c r="L1696" t="s">
        <v>50</v>
      </c>
      <c r="M1696" t="s">
        <v>19</v>
      </c>
    </row>
    <row r="1697" spans="1:13" x14ac:dyDescent="0.3">
      <c r="A1697" t="str">
        <f>HYPERLINK("https://hsdes.intel.com/resource/14013185622","14013185622")</f>
        <v>14013185622</v>
      </c>
      <c r="B1697" t="s">
        <v>3414</v>
      </c>
      <c r="C1697" t="s">
        <v>3247</v>
      </c>
      <c r="D1697" t="s">
        <v>3415</v>
      </c>
      <c r="E1697" t="s">
        <v>120</v>
      </c>
      <c r="F1697" t="s">
        <v>3373</v>
      </c>
      <c r="G1697" t="s">
        <v>15</v>
      </c>
      <c r="H1697" s="2">
        <v>44799</v>
      </c>
      <c r="I1697" t="s">
        <v>48</v>
      </c>
      <c r="J1697" t="s">
        <v>49</v>
      </c>
      <c r="L1697" t="s">
        <v>50</v>
      </c>
      <c r="M1697" t="s">
        <v>19</v>
      </c>
    </row>
    <row r="1698" spans="1:13" x14ac:dyDescent="0.3">
      <c r="A1698" t="str">
        <f>HYPERLINK("https://hsdes.intel.com/resource/14013185661","14013185661")</f>
        <v>14013185661</v>
      </c>
      <c r="B1698" t="s">
        <v>3416</v>
      </c>
      <c r="C1698" t="s">
        <v>3247</v>
      </c>
      <c r="D1698" t="s">
        <v>3417</v>
      </c>
      <c r="E1698" t="s">
        <v>14</v>
      </c>
      <c r="G1698" t="s">
        <v>3262</v>
      </c>
      <c r="H1698" s="2">
        <v>44791</v>
      </c>
      <c r="I1698" t="s">
        <v>132</v>
      </c>
      <c r="J1698" t="s">
        <v>614</v>
      </c>
      <c r="L1698" t="s">
        <v>615</v>
      </c>
      <c r="M1698" t="s">
        <v>26</v>
      </c>
    </row>
    <row r="1699" spans="1:13" x14ac:dyDescent="0.3">
      <c r="A1699" t="str">
        <f>HYPERLINK("https://hsdes.intel.com/resource/14013185674","14013185674")</f>
        <v>14013185674</v>
      </c>
      <c r="B1699" t="s">
        <v>3418</v>
      </c>
      <c r="C1699" t="s">
        <v>3247</v>
      </c>
      <c r="D1699" t="s">
        <v>3419</v>
      </c>
      <c r="E1699" t="s">
        <v>14</v>
      </c>
      <c r="G1699" t="s">
        <v>3262</v>
      </c>
      <c r="H1699" s="2">
        <v>44795</v>
      </c>
      <c r="I1699" t="s">
        <v>132</v>
      </c>
      <c r="J1699" t="s">
        <v>614</v>
      </c>
      <c r="L1699" t="s">
        <v>615</v>
      </c>
      <c r="M1699" t="s">
        <v>26</v>
      </c>
    </row>
    <row r="1700" spans="1:13" x14ac:dyDescent="0.3">
      <c r="A1700" t="str">
        <f>HYPERLINK("https://hsdes.intel.com/resource/16015089042","16015089042")</f>
        <v>16015089042</v>
      </c>
      <c r="B1700" t="s">
        <v>3420</v>
      </c>
      <c r="C1700" t="s">
        <v>3247</v>
      </c>
      <c r="E1700" t="s">
        <v>14</v>
      </c>
      <c r="G1700" t="s">
        <v>15</v>
      </c>
      <c r="H1700" s="2">
        <v>44791</v>
      </c>
      <c r="I1700" t="s">
        <v>48</v>
      </c>
      <c r="J1700" t="s">
        <v>49</v>
      </c>
      <c r="L1700" t="s">
        <v>50</v>
      </c>
      <c r="M1700" t="s">
        <v>19</v>
      </c>
    </row>
    <row r="1701" spans="1:13" x14ac:dyDescent="0.3">
      <c r="A1701" t="str">
        <f>HYPERLINK("https://hsdes.intel.com/resource/16017270193","16017270193")</f>
        <v>16017270193</v>
      </c>
      <c r="B1701" t="s">
        <v>3421</v>
      </c>
      <c r="C1701" t="s">
        <v>3247</v>
      </c>
      <c r="E1701" t="s">
        <v>14</v>
      </c>
      <c r="G1701" t="s">
        <v>15</v>
      </c>
      <c r="H1701" s="2">
        <v>44791</v>
      </c>
      <c r="I1701" t="s">
        <v>132</v>
      </c>
      <c r="J1701" t="s">
        <v>614</v>
      </c>
      <c r="L1701" t="s">
        <v>615</v>
      </c>
      <c r="M1701" t="s">
        <v>22</v>
      </c>
    </row>
    <row r="1702" spans="1:13" x14ac:dyDescent="0.3">
      <c r="A1702" t="str">
        <f>HYPERLINK("https://hsdes.intel.com/resource/22011834358","22011834358")</f>
        <v>22011834358</v>
      </c>
      <c r="B1702" t="s">
        <v>3022</v>
      </c>
      <c r="C1702" t="s">
        <v>3247</v>
      </c>
      <c r="D1702" t="s">
        <v>3023</v>
      </c>
      <c r="E1702" t="s">
        <v>14</v>
      </c>
      <c r="F1702" t="s">
        <v>224</v>
      </c>
      <c r="G1702" t="s">
        <v>3262</v>
      </c>
      <c r="H1702" s="2">
        <v>44791</v>
      </c>
      <c r="I1702" t="s">
        <v>64</v>
      </c>
      <c r="J1702" t="s">
        <v>191</v>
      </c>
      <c r="L1702" t="s">
        <v>192</v>
      </c>
      <c r="M1702" t="s">
        <v>22</v>
      </c>
    </row>
    <row r="1703" spans="1:13" x14ac:dyDescent="0.3">
      <c r="A1703" t="str">
        <f>HYPERLINK("https://hsdes.intel.com/resource/22011834481","22011834481")</f>
        <v>22011834481</v>
      </c>
      <c r="B1703" t="s">
        <v>3422</v>
      </c>
      <c r="C1703" t="s">
        <v>3247</v>
      </c>
      <c r="D1703" t="s">
        <v>3423</v>
      </c>
      <c r="E1703" t="s">
        <v>14</v>
      </c>
      <c r="G1703" t="s">
        <v>63</v>
      </c>
      <c r="H1703" s="2">
        <v>44791</v>
      </c>
      <c r="I1703" t="s">
        <v>32</v>
      </c>
      <c r="J1703" t="s">
        <v>82</v>
      </c>
      <c r="L1703" t="s">
        <v>125</v>
      </c>
      <c r="M1703" t="s">
        <v>26</v>
      </c>
    </row>
    <row r="1704" spans="1:13" x14ac:dyDescent="0.3">
      <c r="A1704" t="str">
        <f>HYPERLINK("https://hsdes.intel.com/resource/22011834488","22011834488")</f>
        <v>22011834488</v>
      </c>
      <c r="B1704" t="s">
        <v>3424</v>
      </c>
      <c r="C1704" t="s">
        <v>3247</v>
      </c>
      <c r="D1704" t="s">
        <v>3425</v>
      </c>
      <c r="E1704" t="s">
        <v>14</v>
      </c>
      <c r="G1704" t="s">
        <v>63</v>
      </c>
      <c r="H1704" s="2">
        <v>44791</v>
      </c>
      <c r="I1704" t="s">
        <v>32</v>
      </c>
      <c r="J1704" t="s">
        <v>82</v>
      </c>
      <c r="L1704" t="s">
        <v>125</v>
      </c>
      <c r="M1704" t="s">
        <v>26</v>
      </c>
    </row>
    <row r="1705" spans="1:13" x14ac:dyDescent="0.3">
      <c r="A1705" t="str">
        <f>HYPERLINK("https://hsdes.intel.com/resource/22011834502","22011834502")</f>
        <v>22011834502</v>
      </c>
      <c r="B1705" t="s">
        <v>3426</v>
      </c>
      <c r="C1705" t="s">
        <v>3247</v>
      </c>
      <c r="D1705" t="s">
        <v>3427</v>
      </c>
      <c r="E1705" t="s">
        <v>14</v>
      </c>
      <c r="G1705" t="s">
        <v>63</v>
      </c>
      <c r="H1705" s="2">
        <v>44791</v>
      </c>
      <c r="I1705" t="s">
        <v>32</v>
      </c>
      <c r="J1705" t="s">
        <v>82</v>
      </c>
      <c r="L1705" t="s">
        <v>125</v>
      </c>
      <c r="M1705" t="s">
        <v>26</v>
      </c>
    </row>
    <row r="1706" spans="1:13" x14ac:dyDescent="0.3">
      <c r="A1706" t="str">
        <f>HYPERLINK("https://hsdes.intel.com/resource/14013114989","14013114989")</f>
        <v>14013114989</v>
      </c>
      <c r="B1706" t="s">
        <v>2865</v>
      </c>
      <c r="C1706" t="s">
        <v>3428</v>
      </c>
      <c r="D1706" t="s">
        <v>2867</v>
      </c>
      <c r="E1706" t="s">
        <v>14</v>
      </c>
      <c r="G1706" t="s">
        <v>37</v>
      </c>
      <c r="H1706" s="2">
        <v>44784</v>
      </c>
      <c r="I1706" t="s">
        <v>16</v>
      </c>
      <c r="J1706" t="s">
        <v>77</v>
      </c>
      <c r="L1706" t="s">
        <v>157</v>
      </c>
      <c r="M1706" t="s">
        <v>26</v>
      </c>
    </row>
    <row r="1707" spans="1:13" x14ac:dyDescent="0.3">
      <c r="A1707" t="str">
        <f>HYPERLINK("https://hsdes.intel.com/resource/14013115011","14013115011")</f>
        <v>14013115011</v>
      </c>
      <c r="B1707" t="s">
        <v>2869</v>
      </c>
      <c r="C1707" t="s">
        <v>3428</v>
      </c>
      <c r="D1707" t="s">
        <v>2870</v>
      </c>
      <c r="E1707" t="s">
        <v>14</v>
      </c>
      <c r="G1707" t="s">
        <v>37</v>
      </c>
      <c r="H1707" s="2">
        <v>44784</v>
      </c>
      <c r="I1707" t="s">
        <v>16</v>
      </c>
      <c r="J1707" t="s">
        <v>17</v>
      </c>
      <c r="L1707" t="s">
        <v>18</v>
      </c>
      <c r="M1707" t="s">
        <v>19</v>
      </c>
    </row>
    <row r="1708" spans="1:13" x14ac:dyDescent="0.3">
      <c r="A1708" t="str">
        <f>HYPERLINK("https://hsdes.intel.com/resource/14013115043","14013115043")</f>
        <v>14013115043</v>
      </c>
      <c r="B1708" t="s">
        <v>2871</v>
      </c>
      <c r="C1708" t="s">
        <v>3428</v>
      </c>
      <c r="D1708" t="s">
        <v>2872</v>
      </c>
      <c r="E1708" t="s">
        <v>14</v>
      </c>
      <c r="G1708" t="s">
        <v>37</v>
      </c>
      <c r="H1708" s="2">
        <v>44784</v>
      </c>
      <c r="I1708" t="s">
        <v>16</v>
      </c>
      <c r="J1708" t="s">
        <v>77</v>
      </c>
      <c r="L1708" t="s">
        <v>157</v>
      </c>
      <c r="M1708" t="s">
        <v>22</v>
      </c>
    </row>
    <row r="1709" spans="1:13" x14ac:dyDescent="0.3">
      <c r="A1709" t="str">
        <f>HYPERLINK("https://hsdes.intel.com/resource/14013118973","14013118973")</f>
        <v>14013118973</v>
      </c>
      <c r="B1709" t="s">
        <v>3246</v>
      </c>
      <c r="C1709" t="s">
        <v>3428</v>
      </c>
      <c r="D1709" t="s">
        <v>3248</v>
      </c>
      <c r="E1709" t="s">
        <v>14</v>
      </c>
      <c r="G1709" t="s">
        <v>63</v>
      </c>
      <c r="H1709" s="2">
        <v>44790</v>
      </c>
      <c r="I1709" t="s">
        <v>32</v>
      </c>
      <c r="J1709" t="s">
        <v>82</v>
      </c>
      <c r="L1709" t="s">
        <v>34</v>
      </c>
      <c r="M1709" t="s">
        <v>26</v>
      </c>
    </row>
    <row r="1710" spans="1:13" x14ac:dyDescent="0.3">
      <c r="A1710" t="str">
        <f>HYPERLINK("https://hsdes.intel.com/resource/14013119085","14013119085")</f>
        <v>14013119085</v>
      </c>
      <c r="B1710" t="s">
        <v>3429</v>
      </c>
      <c r="C1710" t="s">
        <v>3428</v>
      </c>
      <c r="D1710" t="s">
        <v>3430</v>
      </c>
      <c r="E1710" t="s">
        <v>14</v>
      </c>
      <c r="G1710" t="s">
        <v>37</v>
      </c>
      <c r="H1710" s="2">
        <v>44784</v>
      </c>
      <c r="I1710" t="s">
        <v>38</v>
      </c>
      <c r="J1710" t="s">
        <v>77</v>
      </c>
      <c r="L1710" t="s">
        <v>78</v>
      </c>
      <c r="M1710" t="s">
        <v>26</v>
      </c>
    </row>
    <row r="1711" spans="1:13" x14ac:dyDescent="0.3">
      <c r="A1711" t="str">
        <f>HYPERLINK("https://hsdes.intel.com/resource/14013119145","14013119145")</f>
        <v>14013119145</v>
      </c>
      <c r="B1711" t="s">
        <v>2873</v>
      </c>
      <c r="C1711" t="s">
        <v>3428</v>
      </c>
      <c r="D1711" t="s">
        <v>2874</v>
      </c>
      <c r="E1711" t="s">
        <v>14</v>
      </c>
      <c r="G1711" t="s">
        <v>37</v>
      </c>
      <c r="H1711" s="2">
        <v>44784</v>
      </c>
      <c r="I1711" t="s">
        <v>16</v>
      </c>
      <c r="J1711" t="s">
        <v>77</v>
      </c>
      <c r="L1711" t="s">
        <v>157</v>
      </c>
      <c r="M1711" t="s">
        <v>26</v>
      </c>
    </row>
    <row r="1712" spans="1:13" x14ac:dyDescent="0.3">
      <c r="A1712" t="str">
        <f>HYPERLINK("https://hsdes.intel.com/resource/14013119215","14013119215")</f>
        <v>14013119215</v>
      </c>
      <c r="B1712" t="s">
        <v>2875</v>
      </c>
      <c r="C1712" t="s">
        <v>3428</v>
      </c>
      <c r="D1712" t="s">
        <v>2876</v>
      </c>
      <c r="E1712" t="s">
        <v>14</v>
      </c>
      <c r="G1712" t="s">
        <v>37</v>
      </c>
      <c r="H1712" s="2">
        <v>44784</v>
      </c>
      <c r="I1712" t="s">
        <v>48</v>
      </c>
      <c r="J1712" t="s">
        <v>151</v>
      </c>
      <c r="L1712" t="s">
        <v>152</v>
      </c>
      <c r="M1712" t="s">
        <v>26</v>
      </c>
    </row>
    <row r="1713" spans="1:13" x14ac:dyDescent="0.3">
      <c r="A1713" t="str">
        <f>HYPERLINK("https://hsdes.intel.com/resource/14013120134","14013120134")</f>
        <v>14013120134</v>
      </c>
      <c r="B1713" t="s">
        <v>3249</v>
      </c>
      <c r="C1713" t="s">
        <v>3428</v>
      </c>
      <c r="D1713" t="s">
        <v>3250</v>
      </c>
      <c r="E1713" t="s">
        <v>97</v>
      </c>
      <c r="F1713" t="s">
        <v>3431</v>
      </c>
      <c r="G1713" t="s">
        <v>63</v>
      </c>
      <c r="H1713" s="2">
        <v>44797</v>
      </c>
      <c r="I1713" t="s">
        <v>32</v>
      </c>
      <c r="J1713" t="s">
        <v>82</v>
      </c>
      <c r="L1713" t="s">
        <v>34</v>
      </c>
      <c r="M1713" t="s">
        <v>19</v>
      </c>
    </row>
    <row r="1714" spans="1:13" x14ac:dyDescent="0.3">
      <c r="A1714" t="str">
        <f>HYPERLINK("https://hsdes.intel.com/resource/14013156843","14013156843")</f>
        <v>14013156843</v>
      </c>
      <c r="B1714" t="s">
        <v>3252</v>
      </c>
      <c r="C1714" t="s">
        <v>3428</v>
      </c>
      <c r="D1714" t="s">
        <v>3253</v>
      </c>
      <c r="E1714" t="s">
        <v>14</v>
      </c>
      <c r="G1714" t="s">
        <v>37</v>
      </c>
      <c r="H1714" s="2">
        <v>44790</v>
      </c>
      <c r="I1714" t="s">
        <v>32</v>
      </c>
      <c r="J1714" t="s">
        <v>33</v>
      </c>
      <c r="L1714" t="s">
        <v>34</v>
      </c>
      <c r="M1714" t="s">
        <v>26</v>
      </c>
    </row>
    <row r="1715" spans="1:13" x14ac:dyDescent="0.3">
      <c r="A1715" t="str">
        <f>HYPERLINK("https://hsdes.intel.com/resource/14013156857","14013156857")</f>
        <v>14013156857</v>
      </c>
      <c r="B1715" t="s">
        <v>3254</v>
      </c>
      <c r="C1715" t="s">
        <v>3428</v>
      </c>
      <c r="D1715" t="s">
        <v>3255</v>
      </c>
      <c r="E1715" t="s">
        <v>14</v>
      </c>
      <c r="G1715" t="s">
        <v>37</v>
      </c>
      <c r="H1715" s="2">
        <v>44790</v>
      </c>
      <c r="I1715" t="s">
        <v>32</v>
      </c>
      <c r="J1715" t="s">
        <v>33</v>
      </c>
      <c r="L1715" t="s">
        <v>34</v>
      </c>
      <c r="M1715" t="s">
        <v>26</v>
      </c>
    </row>
    <row r="1716" spans="1:13" x14ac:dyDescent="0.3">
      <c r="A1716" t="str">
        <f>HYPERLINK("https://hsdes.intel.com/resource/14013157081","14013157081")</f>
        <v>14013157081</v>
      </c>
      <c r="B1716" t="s">
        <v>3256</v>
      </c>
      <c r="C1716" t="s">
        <v>3428</v>
      </c>
      <c r="D1716" t="s">
        <v>3257</v>
      </c>
      <c r="E1716" t="s">
        <v>14</v>
      </c>
      <c r="F1716" s="15" t="s">
        <v>3432</v>
      </c>
      <c r="G1716" t="s">
        <v>63</v>
      </c>
      <c r="H1716" s="2">
        <v>44797</v>
      </c>
      <c r="I1716" t="s">
        <v>32</v>
      </c>
      <c r="J1716" t="s">
        <v>33</v>
      </c>
      <c r="L1716" t="s">
        <v>34</v>
      </c>
      <c r="M1716" t="s">
        <v>26</v>
      </c>
    </row>
    <row r="1717" spans="1:13" x14ac:dyDescent="0.3">
      <c r="A1717" t="str">
        <f>HYPERLINK("https://hsdes.intel.com/resource/14013157188","14013157188")</f>
        <v>14013157188</v>
      </c>
      <c r="B1717" t="s">
        <v>3259</v>
      </c>
      <c r="C1717" t="s">
        <v>3428</v>
      </c>
      <c r="D1717" t="s">
        <v>3260</v>
      </c>
      <c r="E1717" t="s">
        <v>120</v>
      </c>
      <c r="F1717" t="s">
        <v>3433</v>
      </c>
      <c r="G1717" t="s">
        <v>37</v>
      </c>
      <c r="I1717" t="s">
        <v>132</v>
      </c>
      <c r="J1717" t="s">
        <v>3263</v>
      </c>
      <c r="L1717" t="s">
        <v>615</v>
      </c>
      <c r="M1717" t="s">
        <v>26</v>
      </c>
    </row>
    <row r="1718" spans="1:13" x14ac:dyDescent="0.3">
      <c r="A1718" t="str">
        <f>HYPERLINK("https://hsdes.intel.com/resource/14013157767","14013157767")</f>
        <v>14013157767</v>
      </c>
      <c r="B1718" t="s">
        <v>3264</v>
      </c>
      <c r="C1718" t="s">
        <v>3428</v>
      </c>
      <c r="D1718" t="s">
        <v>3265</v>
      </c>
      <c r="E1718" t="s">
        <v>14</v>
      </c>
      <c r="G1718" t="s">
        <v>37</v>
      </c>
      <c r="H1718" s="2">
        <v>44791</v>
      </c>
      <c r="I1718" t="s">
        <v>32</v>
      </c>
      <c r="J1718" t="s">
        <v>46</v>
      </c>
      <c r="L1718" t="s">
        <v>177</v>
      </c>
      <c r="M1718" t="s">
        <v>26</v>
      </c>
    </row>
    <row r="1719" spans="1:13" x14ac:dyDescent="0.3">
      <c r="A1719" t="str">
        <f>HYPERLINK("https://hsdes.intel.com/resource/14013157781","14013157781")</f>
        <v>14013157781</v>
      </c>
      <c r="B1719" t="s">
        <v>3267</v>
      </c>
      <c r="C1719" t="s">
        <v>3428</v>
      </c>
      <c r="D1719" t="s">
        <v>3268</v>
      </c>
      <c r="E1719" t="s">
        <v>14</v>
      </c>
      <c r="G1719" t="s">
        <v>37</v>
      </c>
      <c r="H1719" s="2">
        <v>44790</v>
      </c>
      <c r="I1719" t="s">
        <v>132</v>
      </c>
      <c r="J1719" t="s">
        <v>3263</v>
      </c>
      <c r="L1719" t="s">
        <v>615</v>
      </c>
      <c r="M1719" t="s">
        <v>26</v>
      </c>
    </row>
    <row r="1720" spans="1:13" x14ac:dyDescent="0.3">
      <c r="A1720" t="str">
        <f>HYPERLINK("https://hsdes.intel.com/resource/14013158122","14013158122")</f>
        <v>14013158122</v>
      </c>
      <c r="B1720" t="s">
        <v>3269</v>
      </c>
      <c r="C1720" t="s">
        <v>3428</v>
      </c>
      <c r="D1720" t="s">
        <v>3270</v>
      </c>
      <c r="E1720" t="s">
        <v>14</v>
      </c>
      <c r="G1720" t="s">
        <v>37</v>
      </c>
      <c r="H1720" s="2">
        <v>44784</v>
      </c>
      <c r="I1720" t="s">
        <v>32</v>
      </c>
      <c r="J1720" t="s">
        <v>82</v>
      </c>
      <c r="L1720" t="s">
        <v>34</v>
      </c>
      <c r="M1720" t="s">
        <v>26</v>
      </c>
    </row>
    <row r="1721" spans="1:13" x14ac:dyDescent="0.3">
      <c r="A1721" t="str">
        <f>HYPERLINK("https://hsdes.intel.com/resource/14013158193","14013158193")</f>
        <v>14013158193</v>
      </c>
      <c r="B1721" t="s">
        <v>3271</v>
      </c>
      <c r="C1721" t="s">
        <v>3428</v>
      </c>
      <c r="D1721" t="s">
        <v>3272</v>
      </c>
      <c r="E1721" t="s">
        <v>14</v>
      </c>
      <c r="G1721" t="s">
        <v>37</v>
      </c>
      <c r="H1721" s="2"/>
      <c r="I1721" t="s">
        <v>132</v>
      </c>
      <c r="J1721" t="s">
        <v>3273</v>
      </c>
      <c r="L1721" t="s">
        <v>615</v>
      </c>
      <c r="M1721" t="s">
        <v>26</v>
      </c>
    </row>
    <row r="1722" spans="1:13" x14ac:dyDescent="0.3">
      <c r="A1722" t="str">
        <f>HYPERLINK("https://hsdes.intel.com/resource/14013158200","14013158200")</f>
        <v>14013158200</v>
      </c>
      <c r="B1722" t="s">
        <v>3274</v>
      </c>
      <c r="C1722" t="s">
        <v>3428</v>
      </c>
      <c r="D1722" t="s">
        <v>3275</v>
      </c>
      <c r="E1722" t="s">
        <v>14</v>
      </c>
      <c r="G1722" t="s">
        <v>37</v>
      </c>
      <c r="H1722" s="2">
        <v>44784</v>
      </c>
      <c r="I1722" t="s">
        <v>32</v>
      </c>
      <c r="J1722" t="s">
        <v>33</v>
      </c>
      <c r="L1722" t="s">
        <v>34</v>
      </c>
      <c r="M1722" t="s">
        <v>26</v>
      </c>
    </row>
    <row r="1723" spans="1:13" x14ac:dyDescent="0.3">
      <c r="A1723" t="str">
        <f>HYPERLINK("https://hsdes.intel.com/resource/14013158295","14013158295")</f>
        <v>14013158295</v>
      </c>
      <c r="B1723" t="s">
        <v>2882</v>
      </c>
      <c r="C1723" t="s">
        <v>3428</v>
      </c>
      <c r="D1723" t="s">
        <v>2883</v>
      </c>
      <c r="E1723" t="s">
        <v>14</v>
      </c>
      <c r="G1723" t="s">
        <v>37</v>
      </c>
      <c r="H1723" s="2">
        <v>44784</v>
      </c>
      <c r="I1723" t="s">
        <v>16</v>
      </c>
      <c r="J1723" t="s">
        <v>439</v>
      </c>
      <c r="L1723" t="s">
        <v>157</v>
      </c>
      <c r="M1723" t="s">
        <v>19</v>
      </c>
    </row>
    <row r="1724" spans="1:13" x14ac:dyDescent="0.3">
      <c r="A1724" t="str">
        <f>HYPERLINK("https://hsdes.intel.com/resource/14013158384","14013158384")</f>
        <v>14013158384</v>
      </c>
      <c r="B1724" t="s">
        <v>3276</v>
      </c>
      <c r="C1724" t="s">
        <v>3428</v>
      </c>
      <c r="D1724" t="s">
        <v>3277</v>
      </c>
      <c r="E1724" t="s">
        <v>14</v>
      </c>
      <c r="G1724" t="s">
        <v>37</v>
      </c>
      <c r="H1724" s="2"/>
      <c r="I1724" t="s">
        <v>32</v>
      </c>
      <c r="J1724" t="s">
        <v>33</v>
      </c>
      <c r="L1724" t="s">
        <v>34</v>
      </c>
      <c r="M1724" t="s">
        <v>26</v>
      </c>
    </row>
    <row r="1725" spans="1:13" x14ac:dyDescent="0.3">
      <c r="A1725" t="str">
        <f>HYPERLINK("https://hsdes.intel.com/resource/14013158397","14013158397")</f>
        <v>14013158397</v>
      </c>
      <c r="B1725" t="s">
        <v>2884</v>
      </c>
      <c r="C1725" t="s">
        <v>3428</v>
      </c>
      <c r="D1725" t="s">
        <v>2885</v>
      </c>
      <c r="E1725" t="s">
        <v>14</v>
      </c>
      <c r="G1725" t="s">
        <v>37</v>
      </c>
      <c r="H1725" s="2">
        <v>44784</v>
      </c>
      <c r="I1725" t="s">
        <v>16</v>
      </c>
      <c r="J1725" t="s">
        <v>82</v>
      </c>
      <c r="L1725" t="s">
        <v>157</v>
      </c>
      <c r="M1725" t="s">
        <v>26</v>
      </c>
    </row>
    <row r="1726" spans="1:13" x14ac:dyDescent="0.3">
      <c r="A1726" t="str">
        <f>HYPERLINK("https://hsdes.intel.com/resource/14013158414","14013158414")</f>
        <v>14013158414</v>
      </c>
      <c r="B1726" t="s">
        <v>3278</v>
      </c>
      <c r="C1726" t="s">
        <v>3428</v>
      </c>
      <c r="D1726" t="s">
        <v>3279</v>
      </c>
      <c r="E1726" t="s">
        <v>14</v>
      </c>
      <c r="G1726" t="s">
        <v>37</v>
      </c>
      <c r="H1726" s="2">
        <v>44791</v>
      </c>
      <c r="I1726" t="s">
        <v>132</v>
      </c>
      <c r="J1726" t="s">
        <v>614</v>
      </c>
      <c r="L1726" t="s">
        <v>615</v>
      </c>
      <c r="M1726" t="s">
        <v>26</v>
      </c>
    </row>
    <row r="1727" spans="1:13" x14ac:dyDescent="0.3">
      <c r="A1727" t="str">
        <f>HYPERLINK("https://hsdes.intel.com/resource/14013158498","14013158498")</f>
        <v>14013158498</v>
      </c>
      <c r="B1727" t="s">
        <v>3280</v>
      </c>
      <c r="C1727" t="s">
        <v>3428</v>
      </c>
      <c r="D1727" t="s">
        <v>3281</v>
      </c>
      <c r="E1727" t="s">
        <v>14</v>
      </c>
      <c r="G1727" t="s">
        <v>37</v>
      </c>
      <c r="H1727" s="2">
        <v>44791</v>
      </c>
      <c r="I1727" t="s">
        <v>32</v>
      </c>
      <c r="J1727" t="s">
        <v>33</v>
      </c>
      <c r="L1727" t="s">
        <v>125</v>
      </c>
      <c r="M1727" t="s">
        <v>26</v>
      </c>
    </row>
    <row r="1728" spans="1:13" x14ac:dyDescent="0.3">
      <c r="A1728" t="str">
        <f>HYPERLINK("https://hsdes.intel.com/resource/14013158728","14013158728")</f>
        <v>14013158728</v>
      </c>
      <c r="B1728" t="s">
        <v>3282</v>
      </c>
      <c r="C1728" t="s">
        <v>3428</v>
      </c>
      <c r="D1728" t="s">
        <v>3283</v>
      </c>
      <c r="E1728" t="s">
        <v>14</v>
      </c>
      <c r="G1728" t="s">
        <v>37</v>
      </c>
      <c r="H1728" s="2">
        <v>44791</v>
      </c>
      <c r="I1728" t="s">
        <v>132</v>
      </c>
      <c r="J1728" t="s">
        <v>614</v>
      </c>
      <c r="L1728" t="s">
        <v>615</v>
      </c>
      <c r="M1728" t="s">
        <v>26</v>
      </c>
    </row>
    <row r="1729" spans="1:13" x14ac:dyDescent="0.3">
      <c r="A1729" t="str">
        <f>HYPERLINK("https://hsdes.intel.com/resource/14013158827","14013158827")</f>
        <v>14013158827</v>
      </c>
      <c r="B1729" t="s">
        <v>2886</v>
      </c>
      <c r="C1729" t="s">
        <v>3428</v>
      </c>
      <c r="D1729" t="s">
        <v>2887</v>
      </c>
      <c r="E1729" t="s">
        <v>14</v>
      </c>
      <c r="G1729" t="s">
        <v>37</v>
      </c>
      <c r="H1729" s="2">
        <v>44784</v>
      </c>
      <c r="I1729" t="s">
        <v>16</v>
      </c>
      <c r="J1729" t="s">
        <v>17</v>
      </c>
      <c r="L1729" t="s">
        <v>18</v>
      </c>
      <c r="M1729" t="s">
        <v>19</v>
      </c>
    </row>
    <row r="1730" spans="1:13" x14ac:dyDescent="0.3">
      <c r="A1730" t="str">
        <f>HYPERLINK("https://hsdes.intel.com/resource/14013158828","14013158828")</f>
        <v>14013158828</v>
      </c>
      <c r="B1730" t="s">
        <v>2889</v>
      </c>
      <c r="C1730" t="s">
        <v>3428</v>
      </c>
      <c r="D1730" t="s">
        <v>2890</v>
      </c>
      <c r="E1730" t="s">
        <v>14</v>
      </c>
      <c r="G1730" t="s">
        <v>37</v>
      </c>
      <c r="H1730" s="2">
        <v>44784</v>
      </c>
      <c r="I1730" t="s">
        <v>16</v>
      </c>
      <c r="J1730" t="s">
        <v>17</v>
      </c>
      <c r="L1730" t="s">
        <v>18</v>
      </c>
      <c r="M1730" t="s">
        <v>19</v>
      </c>
    </row>
    <row r="1731" spans="1:13" x14ac:dyDescent="0.3">
      <c r="A1731" t="str">
        <f>HYPERLINK("https://hsdes.intel.com/resource/14013158830","14013158830")</f>
        <v>14013158830</v>
      </c>
      <c r="B1731" t="s">
        <v>2891</v>
      </c>
      <c r="C1731" t="s">
        <v>3428</v>
      </c>
      <c r="D1731" t="s">
        <v>2892</v>
      </c>
      <c r="E1731" t="s">
        <v>14</v>
      </c>
      <c r="G1731" t="s">
        <v>37</v>
      </c>
      <c r="H1731" s="2">
        <v>44784</v>
      </c>
      <c r="I1731" t="s">
        <v>16</v>
      </c>
      <c r="J1731" t="s">
        <v>17</v>
      </c>
      <c r="L1731" t="s">
        <v>18</v>
      </c>
      <c r="M1731" t="s">
        <v>19</v>
      </c>
    </row>
    <row r="1732" spans="1:13" x14ac:dyDescent="0.3">
      <c r="A1732" t="str">
        <f>HYPERLINK("https://hsdes.intel.com/resource/14013158985","14013158985")</f>
        <v>14013158985</v>
      </c>
      <c r="B1732" t="s">
        <v>3286</v>
      </c>
      <c r="C1732" t="s">
        <v>3428</v>
      </c>
      <c r="D1732" t="s">
        <v>3287</v>
      </c>
      <c r="E1732" t="s">
        <v>14</v>
      </c>
      <c r="G1732" t="s">
        <v>37</v>
      </c>
      <c r="H1732" s="2">
        <v>44784</v>
      </c>
      <c r="I1732" t="s">
        <v>48</v>
      </c>
      <c r="J1732" t="s">
        <v>1251</v>
      </c>
      <c r="L1732" t="s">
        <v>152</v>
      </c>
      <c r="M1732" t="s">
        <v>26</v>
      </c>
    </row>
    <row r="1733" spans="1:13" x14ac:dyDescent="0.3">
      <c r="A1733" t="str">
        <f>HYPERLINK("https://hsdes.intel.com/resource/14013159097","14013159097")</f>
        <v>14013159097</v>
      </c>
      <c r="B1733" t="s">
        <v>2895</v>
      </c>
      <c r="C1733" t="s">
        <v>3428</v>
      </c>
      <c r="D1733" t="s">
        <v>2896</v>
      </c>
      <c r="E1733" t="s">
        <v>14</v>
      </c>
      <c r="G1733" t="s">
        <v>37</v>
      </c>
      <c r="H1733" s="2">
        <v>44784</v>
      </c>
      <c r="I1733" t="s">
        <v>16</v>
      </c>
      <c r="J1733" t="s">
        <v>17</v>
      </c>
      <c r="L1733" t="s">
        <v>18</v>
      </c>
      <c r="M1733" t="s">
        <v>22</v>
      </c>
    </row>
    <row r="1734" spans="1:13" x14ac:dyDescent="0.3">
      <c r="A1734" t="str">
        <f>HYPERLINK("https://hsdes.intel.com/resource/14013159119","14013159119")</f>
        <v>14013159119</v>
      </c>
      <c r="B1734" t="s">
        <v>2897</v>
      </c>
      <c r="C1734" t="s">
        <v>3428</v>
      </c>
      <c r="D1734" t="s">
        <v>2898</v>
      </c>
      <c r="E1734" t="s">
        <v>14</v>
      </c>
      <c r="G1734" t="s">
        <v>37</v>
      </c>
      <c r="H1734" s="2">
        <v>44784</v>
      </c>
      <c r="I1734" t="s">
        <v>16</v>
      </c>
      <c r="J1734" t="s">
        <v>17</v>
      </c>
      <c r="L1734" t="s">
        <v>18</v>
      </c>
      <c r="M1734" t="s">
        <v>19</v>
      </c>
    </row>
    <row r="1735" spans="1:13" x14ac:dyDescent="0.3">
      <c r="A1735" t="str">
        <f>HYPERLINK("https://hsdes.intel.com/resource/14013159201","14013159201")</f>
        <v>14013159201</v>
      </c>
      <c r="B1735" t="s">
        <v>2899</v>
      </c>
      <c r="C1735" t="s">
        <v>3428</v>
      </c>
      <c r="D1735" t="s">
        <v>2900</v>
      </c>
      <c r="E1735" t="s">
        <v>14</v>
      </c>
      <c r="G1735" t="s">
        <v>37</v>
      </c>
      <c r="H1735" s="2">
        <v>44789</v>
      </c>
      <c r="I1735" t="s">
        <v>16</v>
      </c>
      <c r="J1735" t="s">
        <v>17</v>
      </c>
      <c r="L1735" t="s">
        <v>18</v>
      </c>
      <c r="M1735" t="s">
        <v>22</v>
      </c>
    </row>
    <row r="1736" spans="1:13" x14ac:dyDescent="0.3">
      <c r="A1736" t="str">
        <f>HYPERLINK("https://hsdes.intel.com/resource/14013159224","14013159224")</f>
        <v>14013159224</v>
      </c>
      <c r="B1736" t="s">
        <v>2901</v>
      </c>
      <c r="C1736" t="s">
        <v>3428</v>
      </c>
      <c r="D1736" t="s">
        <v>2902</v>
      </c>
      <c r="E1736" t="s">
        <v>14</v>
      </c>
      <c r="G1736" t="s">
        <v>37</v>
      </c>
      <c r="H1736" s="2">
        <v>44785</v>
      </c>
      <c r="I1736" t="s">
        <v>16</v>
      </c>
      <c r="J1736" t="s">
        <v>17</v>
      </c>
      <c r="L1736" t="s">
        <v>18</v>
      </c>
      <c r="M1736" t="s">
        <v>22</v>
      </c>
    </row>
    <row r="1737" spans="1:13" x14ac:dyDescent="0.3">
      <c r="A1737" t="str">
        <f>HYPERLINK("https://hsdes.intel.com/resource/14013159287","14013159287")</f>
        <v>14013159287</v>
      </c>
      <c r="B1737" t="s">
        <v>2903</v>
      </c>
      <c r="C1737" t="s">
        <v>3428</v>
      </c>
      <c r="D1737" t="s">
        <v>2904</v>
      </c>
      <c r="E1737" t="s">
        <v>14</v>
      </c>
      <c r="G1737" t="s">
        <v>37</v>
      </c>
      <c r="H1737" s="2">
        <v>44785</v>
      </c>
      <c r="I1737" t="s">
        <v>16</v>
      </c>
      <c r="J1737" t="s">
        <v>17</v>
      </c>
      <c r="L1737" t="s">
        <v>18</v>
      </c>
      <c r="M1737" t="s">
        <v>22</v>
      </c>
    </row>
    <row r="1738" spans="1:13" x14ac:dyDescent="0.3">
      <c r="A1738" t="str">
        <f>HYPERLINK("https://hsdes.intel.com/resource/14013159682","14013159682")</f>
        <v>14013159682</v>
      </c>
      <c r="B1738" t="s">
        <v>3289</v>
      </c>
      <c r="C1738" t="s">
        <v>3428</v>
      </c>
      <c r="D1738" t="s">
        <v>3290</v>
      </c>
      <c r="E1738" t="s">
        <v>14</v>
      </c>
      <c r="G1738" t="s">
        <v>37</v>
      </c>
      <c r="H1738" s="2">
        <v>44791</v>
      </c>
      <c r="I1738" t="s">
        <v>132</v>
      </c>
      <c r="J1738" t="s">
        <v>614</v>
      </c>
      <c r="L1738" t="s">
        <v>615</v>
      </c>
      <c r="M1738" t="s">
        <v>22</v>
      </c>
    </row>
    <row r="1739" spans="1:13" x14ac:dyDescent="0.3">
      <c r="A1739" t="str">
        <f>HYPERLINK("https://hsdes.intel.com/resource/14013159726","14013159726")</f>
        <v>14013159726</v>
      </c>
      <c r="B1739" t="s">
        <v>3292</v>
      </c>
      <c r="C1739" t="s">
        <v>3428</v>
      </c>
      <c r="D1739" t="s">
        <v>3293</v>
      </c>
      <c r="E1739" t="s">
        <v>14</v>
      </c>
      <c r="G1739" t="s">
        <v>37</v>
      </c>
      <c r="H1739" s="2">
        <v>44791</v>
      </c>
      <c r="I1739" t="s">
        <v>132</v>
      </c>
      <c r="J1739" t="s">
        <v>614</v>
      </c>
      <c r="L1739" t="s">
        <v>615</v>
      </c>
      <c r="M1739" t="s">
        <v>26</v>
      </c>
    </row>
    <row r="1740" spans="1:13" x14ac:dyDescent="0.3">
      <c r="A1740" t="str">
        <f>HYPERLINK("https://hsdes.intel.com/resource/14013160580","14013160580")</f>
        <v>14013160580</v>
      </c>
      <c r="B1740" t="s">
        <v>2912</v>
      </c>
      <c r="C1740" t="s">
        <v>3428</v>
      </c>
      <c r="D1740" t="s">
        <v>2913</v>
      </c>
      <c r="E1740" t="s">
        <v>14</v>
      </c>
      <c r="G1740" t="s">
        <v>37</v>
      </c>
      <c r="H1740" s="2">
        <v>44785</v>
      </c>
      <c r="I1740" t="s">
        <v>16</v>
      </c>
      <c r="J1740" t="s">
        <v>77</v>
      </c>
      <c r="L1740" t="s">
        <v>157</v>
      </c>
      <c r="M1740" t="s">
        <v>19</v>
      </c>
    </row>
    <row r="1741" spans="1:13" x14ac:dyDescent="0.3">
      <c r="A1741" t="str">
        <f>HYPERLINK("https://hsdes.intel.com/resource/14013160596","14013160596")</f>
        <v>14013160596</v>
      </c>
      <c r="B1741" t="s">
        <v>2914</v>
      </c>
      <c r="C1741" t="s">
        <v>3428</v>
      </c>
      <c r="D1741" t="s">
        <v>2915</v>
      </c>
      <c r="E1741" t="s">
        <v>14</v>
      </c>
      <c r="G1741" t="s">
        <v>37</v>
      </c>
      <c r="H1741" s="2">
        <v>44785</v>
      </c>
      <c r="I1741" t="s">
        <v>16</v>
      </c>
      <c r="J1741" t="s">
        <v>77</v>
      </c>
      <c r="L1741" t="s">
        <v>157</v>
      </c>
      <c r="M1741" t="s">
        <v>19</v>
      </c>
    </row>
    <row r="1742" spans="1:13" x14ac:dyDescent="0.3">
      <c r="A1742" t="str">
        <f>HYPERLINK("https://hsdes.intel.com/resource/14013160618","14013160618")</f>
        <v>14013160618</v>
      </c>
      <c r="B1742" t="s">
        <v>3295</v>
      </c>
      <c r="C1742" t="s">
        <v>3428</v>
      </c>
      <c r="D1742" t="s">
        <v>3296</v>
      </c>
      <c r="E1742" t="s">
        <v>14</v>
      </c>
      <c r="G1742" t="s">
        <v>37</v>
      </c>
      <c r="H1742" s="2">
        <v>44791</v>
      </c>
      <c r="I1742" t="s">
        <v>132</v>
      </c>
      <c r="J1742" t="s">
        <v>614</v>
      </c>
      <c r="L1742" t="s">
        <v>615</v>
      </c>
      <c r="M1742" t="s">
        <v>26</v>
      </c>
    </row>
    <row r="1743" spans="1:13" x14ac:dyDescent="0.3">
      <c r="A1743" t="str">
        <f>HYPERLINK("https://hsdes.intel.com/resource/14013160687","14013160687")</f>
        <v>14013160687</v>
      </c>
      <c r="B1743" t="s">
        <v>3297</v>
      </c>
      <c r="C1743" t="s">
        <v>3428</v>
      </c>
      <c r="D1743" t="s">
        <v>3298</v>
      </c>
      <c r="E1743" t="s">
        <v>14</v>
      </c>
      <c r="G1743" t="s">
        <v>37</v>
      </c>
      <c r="H1743" s="2">
        <v>44791</v>
      </c>
      <c r="I1743" t="s">
        <v>132</v>
      </c>
      <c r="J1743" t="s">
        <v>614</v>
      </c>
      <c r="L1743" t="s">
        <v>615</v>
      </c>
      <c r="M1743" t="s">
        <v>22</v>
      </c>
    </row>
    <row r="1744" spans="1:13" x14ac:dyDescent="0.3">
      <c r="A1744" t="str">
        <f>HYPERLINK("https://hsdes.intel.com/resource/14013160724","14013160724")</f>
        <v>14013160724</v>
      </c>
      <c r="B1744" t="s">
        <v>2917</v>
      </c>
      <c r="C1744" t="s">
        <v>3428</v>
      </c>
      <c r="D1744" t="s">
        <v>2918</v>
      </c>
      <c r="E1744" t="s">
        <v>14</v>
      </c>
      <c r="G1744" t="s">
        <v>37</v>
      </c>
      <c r="H1744" s="2">
        <v>44785</v>
      </c>
      <c r="I1744" t="s">
        <v>16</v>
      </c>
      <c r="J1744" t="s">
        <v>17</v>
      </c>
      <c r="L1744" t="s">
        <v>18</v>
      </c>
      <c r="M1744" t="s">
        <v>26</v>
      </c>
    </row>
    <row r="1745" spans="1:13" x14ac:dyDescent="0.3">
      <c r="A1745" t="str">
        <f>HYPERLINK("https://hsdes.intel.com/resource/14013160828","14013160828")</f>
        <v>14013160828</v>
      </c>
      <c r="B1745" t="s">
        <v>3299</v>
      </c>
      <c r="C1745" t="s">
        <v>3428</v>
      </c>
      <c r="D1745" t="s">
        <v>3300</v>
      </c>
      <c r="E1745" t="s">
        <v>14</v>
      </c>
      <c r="G1745" t="s">
        <v>37</v>
      </c>
      <c r="H1745" s="2">
        <v>44790</v>
      </c>
      <c r="I1745" t="s">
        <v>132</v>
      </c>
      <c r="J1745" t="s">
        <v>614</v>
      </c>
      <c r="L1745" t="s">
        <v>615</v>
      </c>
      <c r="M1745" t="s">
        <v>26</v>
      </c>
    </row>
    <row r="1746" spans="1:13" x14ac:dyDescent="0.3">
      <c r="A1746" t="str">
        <f>HYPERLINK("https://hsdes.intel.com/resource/14013161173","14013161173")</f>
        <v>14013161173</v>
      </c>
      <c r="B1746" t="s">
        <v>3301</v>
      </c>
      <c r="C1746" t="s">
        <v>3428</v>
      </c>
      <c r="D1746" t="s">
        <v>3302</v>
      </c>
      <c r="E1746" t="s">
        <v>14</v>
      </c>
      <c r="G1746" t="s">
        <v>37</v>
      </c>
      <c r="H1746" s="2">
        <v>44790</v>
      </c>
      <c r="I1746" t="s">
        <v>132</v>
      </c>
      <c r="J1746" t="s">
        <v>614</v>
      </c>
      <c r="L1746" t="s">
        <v>615</v>
      </c>
      <c r="M1746" t="s">
        <v>22</v>
      </c>
    </row>
    <row r="1747" spans="1:13" x14ac:dyDescent="0.3">
      <c r="A1747" t="str">
        <f>HYPERLINK("https://hsdes.intel.com/resource/14013161283","14013161283")</f>
        <v>14013161283</v>
      </c>
      <c r="B1747" t="s">
        <v>3303</v>
      </c>
      <c r="C1747" t="s">
        <v>3428</v>
      </c>
      <c r="D1747" t="s">
        <v>3304</v>
      </c>
      <c r="E1747" t="s">
        <v>14</v>
      </c>
      <c r="G1747" t="s">
        <v>37</v>
      </c>
      <c r="H1747" s="2">
        <v>44791</v>
      </c>
      <c r="I1747" t="s">
        <v>132</v>
      </c>
      <c r="J1747" t="s">
        <v>614</v>
      </c>
      <c r="L1747" t="s">
        <v>615</v>
      </c>
      <c r="M1747" t="s">
        <v>26</v>
      </c>
    </row>
    <row r="1748" spans="1:13" x14ac:dyDescent="0.3">
      <c r="A1748" t="str">
        <f>HYPERLINK("https://hsdes.intel.com/resource/14013161291","14013161291")</f>
        <v>14013161291</v>
      </c>
      <c r="B1748" t="s">
        <v>3434</v>
      </c>
      <c r="C1748" t="s">
        <v>3428</v>
      </c>
      <c r="D1748" t="s">
        <v>3435</v>
      </c>
      <c r="E1748" t="s">
        <v>14</v>
      </c>
      <c r="G1748" t="s">
        <v>37</v>
      </c>
      <c r="H1748" s="2">
        <v>44791</v>
      </c>
      <c r="I1748" t="s">
        <v>132</v>
      </c>
      <c r="J1748" t="s">
        <v>614</v>
      </c>
      <c r="L1748" t="s">
        <v>615</v>
      </c>
      <c r="M1748" t="s">
        <v>26</v>
      </c>
    </row>
    <row r="1749" spans="1:13" x14ac:dyDescent="0.3">
      <c r="A1749" t="str">
        <f>HYPERLINK("https://hsdes.intel.com/resource/14013161320","14013161320")</f>
        <v>14013161320</v>
      </c>
      <c r="B1749" t="s">
        <v>3436</v>
      </c>
      <c r="C1749" t="s">
        <v>3428</v>
      </c>
      <c r="D1749" t="s">
        <v>3437</v>
      </c>
      <c r="E1749" t="s">
        <v>14</v>
      </c>
      <c r="G1749" t="s">
        <v>37</v>
      </c>
      <c r="H1749" s="2">
        <v>44791</v>
      </c>
      <c r="I1749" t="s">
        <v>132</v>
      </c>
      <c r="J1749" t="s">
        <v>614</v>
      </c>
      <c r="L1749" t="s">
        <v>615</v>
      </c>
      <c r="M1749" t="s">
        <v>26</v>
      </c>
    </row>
    <row r="1750" spans="1:13" x14ac:dyDescent="0.3">
      <c r="A1750" t="str">
        <f>HYPERLINK("https://hsdes.intel.com/resource/14013161363","14013161363")</f>
        <v>14013161363</v>
      </c>
      <c r="B1750" t="s">
        <v>3438</v>
      </c>
      <c r="C1750" t="s">
        <v>3428</v>
      </c>
      <c r="D1750" t="s">
        <v>3439</v>
      </c>
      <c r="E1750" t="s">
        <v>14</v>
      </c>
      <c r="G1750" t="s">
        <v>37</v>
      </c>
      <c r="H1750" s="2">
        <v>44791</v>
      </c>
      <c r="I1750" t="s">
        <v>132</v>
      </c>
      <c r="J1750" t="s">
        <v>614</v>
      </c>
      <c r="L1750" t="s">
        <v>615</v>
      </c>
      <c r="M1750" t="s">
        <v>22</v>
      </c>
    </row>
    <row r="1751" spans="1:13" x14ac:dyDescent="0.3">
      <c r="A1751" t="str">
        <f>HYPERLINK("https://hsdes.intel.com/resource/14013161451","14013161451")</f>
        <v>14013161451</v>
      </c>
      <c r="B1751" t="s">
        <v>2919</v>
      </c>
      <c r="C1751" t="s">
        <v>3428</v>
      </c>
      <c r="D1751" t="s">
        <v>2920</v>
      </c>
      <c r="E1751" t="s">
        <v>14</v>
      </c>
      <c r="G1751" t="s">
        <v>37</v>
      </c>
      <c r="H1751" s="2">
        <v>44785</v>
      </c>
      <c r="I1751" t="s">
        <v>16</v>
      </c>
      <c r="J1751" t="s">
        <v>77</v>
      </c>
      <c r="L1751" t="s">
        <v>78</v>
      </c>
      <c r="M1751" t="s">
        <v>22</v>
      </c>
    </row>
    <row r="1752" spans="1:13" x14ac:dyDescent="0.3">
      <c r="A1752" t="str">
        <f>HYPERLINK("https://hsdes.intel.com/resource/14013161624","14013161624")</f>
        <v>14013161624</v>
      </c>
      <c r="B1752" t="s">
        <v>3306</v>
      </c>
      <c r="C1752" t="s">
        <v>3428</v>
      </c>
      <c r="D1752" t="s">
        <v>3307</v>
      </c>
      <c r="E1752" t="s">
        <v>14</v>
      </c>
      <c r="G1752" t="s">
        <v>37</v>
      </c>
      <c r="H1752" s="2">
        <v>44791</v>
      </c>
      <c r="I1752" t="s">
        <v>132</v>
      </c>
      <c r="J1752" t="s">
        <v>3263</v>
      </c>
      <c r="L1752" t="s">
        <v>615</v>
      </c>
      <c r="M1752" t="s">
        <v>26</v>
      </c>
    </row>
    <row r="1753" spans="1:13" x14ac:dyDescent="0.3">
      <c r="A1753" t="str">
        <f>HYPERLINK("https://hsdes.intel.com/resource/14013161628","14013161628")</f>
        <v>14013161628</v>
      </c>
      <c r="B1753" t="s">
        <v>3308</v>
      </c>
      <c r="C1753" t="s">
        <v>3428</v>
      </c>
      <c r="D1753" t="s">
        <v>3309</v>
      </c>
      <c r="E1753" t="s">
        <v>14</v>
      </c>
      <c r="G1753" t="s">
        <v>63</v>
      </c>
      <c r="H1753" s="2">
        <v>44797</v>
      </c>
      <c r="I1753" t="s">
        <v>132</v>
      </c>
      <c r="J1753" t="s">
        <v>614</v>
      </c>
      <c r="L1753" t="s">
        <v>615</v>
      </c>
      <c r="M1753" t="s">
        <v>26</v>
      </c>
    </row>
    <row r="1754" spans="1:13" x14ac:dyDescent="0.3">
      <c r="A1754" t="str">
        <f>HYPERLINK("https://hsdes.intel.com/resource/14013161635","14013161635")</f>
        <v>14013161635</v>
      </c>
      <c r="B1754" t="s">
        <v>3310</v>
      </c>
      <c r="C1754" t="s">
        <v>3428</v>
      </c>
      <c r="D1754" t="s">
        <v>3311</v>
      </c>
      <c r="E1754" t="s">
        <v>14</v>
      </c>
      <c r="G1754" t="s">
        <v>37</v>
      </c>
      <c r="H1754" s="2">
        <v>44791</v>
      </c>
      <c r="I1754" t="s">
        <v>132</v>
      </c>
      <c r="J1754" t="s">
        <v>614</v>
      </c>
      <c r="L1754" t="s">
        <v>615</v>
      </c>
      <c r="M1754" t="s">
        <v>26</v>
      </c>
    </row>
    <row r="1755" spans="1:13" x14ac:dyDescent="0.3">
      <c r="A1755" t="str">
        <f>HYPERLINK("https://hsdes.intel.com/resource/14013161649","14013161649")</f>
        <v>14013161649</v>
      </c>
      <c r="B1755" t="s">
        <v>3440</v>
      </c>
      <c r="C1755" t="s">
        <v>3428</v>
      </c>
      <c r="D1755" t="s">
        <v>3441</v>
      </c>
      <c r="E1755" t="s">
        <v>14</v>
      </c>
      <c r="G1755" t="s">
        <v>37</v>
      </c>
      <c r="H1755" s="2">
        <v>44791</v>
      </c>
      <c r="I1755" t="s">
        <v>132</v>
      </c>
      <c r="J1755" t="s">
        <v>614</v>
      </c>
      <c r="L1755" t="s">
        <v>615</v>
      </c>
      <c r="M1755" t="s">
        <v>19</v>
      </c>
    </row>
    <row r="1756" spans="1:13" x14ac:dyDescent="0.3">
      <c r="A1756" t="str">
        <f>HYPERLINK("https://hsdes.intel.com/resource/14013161657","14013161657")</f>
        <v>14013161657</v>
      </c>
      <c r="B1756" t="s">
        <v>3313</v>
      </c>
      <c r="C1756" t="s">
        <v>3428</v>
      </c>
      <c r="D1756" t="s">
        <v>3314</v>
      </c>
      <c r="E1756" t="s">
        <v>14</v>
      </c>
      <c r="G1756" t="s">
        <v>37</v>
      </c>
      <c r="H1756" s="2">
        <v>44791</v>
      </c>
      <c r="I1756" t="s">
        <v>132</v>
      </c>
      <c r="J1756" t="s">
        <v>614</v>
      </c>
      <c r="L1756" t="s">
        <v>615</v>
      </c>
      <c r="M1756" t="s">
        <v>22</v>
      </c>
    </row>
    <row r="1757" spans="1:13" x14ac:dyDescent="0.3">
      <c r="A1757" t="str">
        <f>HYPERLINK("https://hsdes.intel.com/resource/14013161663","14013161663")</f>
        <v>14013161663</v>
      </c>
      <c r="B1757" t="s">
        <v>3316</v>
      </c>
      <c r="C1757" t="s">
        <v>3428</v>
      </c>
      <c r="D1757" t="s">
        <v>3317</v>
      </c>
      <c r="E1757" t="s">
        <v>14</v>
      </c>
      <c r="G1757" t="s">
        <v>37</v>
      </c>
      <c r="H1757" s="2">
        <v>44791</v>
      </c>
      <c r="I1757" t="s">
        <v>132</v>
      </c>
      <c r="J1757" t="s">
        <v>614</v>
      </c>
      <c r="L1757" t="s">
        <v>615</v>
      </c>
      <c r="M1757" t="s">
        <v>22</v>
      </c>
    </row>
    <row r="1758" spans="1:13" x14ac:dyDescent="0.3">
      <c r="A1758" t="str">
        <f>HYPERLINK("https://hsdes.intel.com/resource/14013161866","14013161866")</f>
        <v>14013161866</v>
      </c>
      <c r="B1758" t="s">
        <v>3316</v>
      </c>
      <c r="C1758" t="s">
        <v>3428</v>
      </c>
      <c r="D1758" t="s">
        <v>3442</v>
      </c>
      <c r="E1758" t="s">
        <v>14</v>
      </c>
      <c r="G1758" t="s">
        <v>37</v>
      </c>
      <c r="H1758" s="2">
        <v>44791</v>
      </c>
      <c r="I1758" t="s">
        <v>132</v>
      </c>
      <c r="J1758" t="s">
        <v>614</v>
      </c>
      <c r="L1758" t="s">
        <v>615</v>
      </c>
      <c r="M1758" t="s">
        <v>22</v>
      </c>
    </row>
    <row r="1759" spans="1:13" x14ac:dyDescent="0.3">
      <c r="A1759" t="str">
        <f>HYPERLINK("https://hsdes.intel.com/resource/14013162078","14013162078")</f>
        <v>14013162078</v>
      </c>
      <c r="B1759" t="s">
        <v>3318</v>
      </c>
      <c r="C1759" t="s">
        <v>3428</v>
      </c>
      <c r="D1759" t="s">
        <v>3319</v>
      </c>
      <c r="E1759" t="s">
        <v>14</v>
      </c>
      <c r="G1759" t="s">
        <v>37</v>
      </c>
      <c r="H1759" s="2">
        <v>44785</v>
      </c>
      <c r="I1759" t="s">
        <v>132</v>
      </c>
      <c r="J1759" t="s">
        <v>614</v>
      </c>
      <c r="L1759" t="s">
        <v>615</v>
      </c>
      <c r="M1759" t="s">
        <v>26</v>
      </c>
    </row>
    <row r="1760" spans="1:13" x14ac:dyDescent="0.3">
      <c r="A1760" t="str">
        <f>HYPERLINK("https://hsdes.intel.com/resource/14013162425","14013162425")</f>
        <v>14013162425</v>
      </c>
      <c r="B1760" t="s">
        <v>3320</v>
      </c>
      <c r="C1760" t="s">
        <v>3428</v>
      </c>
      <c r="D1760" t="s">
        <v>3321</v>
      </c>
      <c r="E1760" t="s">
        <v>14</v>
      </c>
      <c r="G1760" t="s">
        <v>37</v>
      </c>
      <c r="H1760" s="2">
        <v>44791</v>
      </c>
      <c r="I1760" t="s">
        <v>132</v>
      </c>
      <c r="J1760" t="s">
        <v>614</v>
      </c>
      <c r="L1760" t="s">
        <v>615</v>
      </c>
      <c r="M1760" t="s">
        <v>19</v>
      </c>
    </row>
    <row r="1761" spans="1:13" x14ac:dyDescent="0.3">
      <c r="A1761" t="str">
        <f>HYPERLINK("https://hsdes.intel.com/resource/14013162427","14013162427")</f>
        <v>14013162427</v>
      </c>
      <c r="B1761" t="s">
        <v>3322</v>
      </c>
      <c r="C1761" t="s">
        <v>3428</v>
      </c>
      <c r="D1761" t="s">
        <v>3323</v>
      </c>
      <c r="E1761" t="s">
        <v>14</v>
      </c>
      <c r="G1761" t="s">
        <v>37</v>
      </c>
      <c r="H1761" s="2">
        <v>44791</v>
      </c>
      <c r="I1761" t="s">
        <v>132</v>
      </c>
      <c r="J1761" t="s">
        <v>614</v>
      </c>
      <c r="L1761" t="s">
        <v>615</v>
      </c>
      <c r="M1761" t="s">
        <v>22</v>
      </c>
    </row>
    <row r="1762" spans="1:13" x14ac:dyDescent="0.3">
      <c r="A1762" t="str">
        <f>HYPERLINK("https://hsdes.intel.com/resource/14013162436","14013162436")</f>
        <v>14013162436</v>
      </c>
      <c r="B1762" t="s">
        <v>3324</v>
      </c>
      <c r="C1762" t="s">
        <v>3428</v>
      </c>
      <c r="D1762" t="s">
        <v>3325</v>
      </c>
      <c r="E1762" t="s">
        <v>14</v>
      </c>
      <c r="G1762" t="s">
        <v>37</v>
      </c>
      <c r="H1762" s="2">
        <v>44785</v>
      </c>
      <c r="I1762" t="s">
        <v>132</v>
      </c>
      <c r="J1762" t="s">
        <v>614</v>
      </c>
      <c r="L1762" t="s">
        <v>615</v>
      </c>
      <c r="M1762" t="s">
        <v>19</v>
      </c>
    </row>
    <row r="1763" spans="1:13" x14ac:dyDescent="0.3">
      <c r="A1763" t="str">
        <f>HYPERLINK("https://hsdes.intel.com/resource/14013162443","14013162443")</f>
        <v>14013162443</v>
      </c>
      <c r="B1763" t="s">
        <v>3326</v>
      </c>
      <c r="C1763" t="s">
        <v>3428</v>
      </c>
      <c r="D1763" t="s">
        <v>3327</v>
      </c>
      <c r="E1763" t="s">
        <v>14</v>
      </c>
      <c r="G1763" t="s">
        <v>37</v>
      </c>
      <c r="H1763" s="2">
        <v>44791</v>
      </c>
      <c r="I1763" t="s">
        <v>132</v>
      </c>
      <c r="J1763" t="s">
        <v>614</v>
      </c>
      <c r="L1763" t="s">
        <v>615</v>
      </c>
      <c r="M1763" t="s">
        <v>22</v>
      </c>
    </row>
    <row r="1764" spans="1:13" x14ac:dyDescent="0.3">
      <c r="A1764" t="str">
        <f>HYPERLINK("https://hsdes.intel.com/resource/14013162897","14013162897")</f>
        <v>14013162897</v>
      </c>
      <c r="B1764" t="s">
        <v>3328</v>
      </c>
      <c r="C1764" t="s">
        <v>3428</v>
      </c>
      <c r="D1764" t="s">
        <v>3329</v>
      </c>
      <c r="E1764" t="s">
        <v>14</v>
      </c>
      <c r="G1764" t="s">
        <v>37</v>
      </c>
      <c r="H1764" s="2">
        <v>44791</v>
      </c>
      <c r="I1764" t="s">
        <v>132</v>
      </c>
      <c r="J1764" t="s">
        <v>614</v>
      </c>
      <c r="L1764" t="s">
        <v>615</v>
      </c>
      <c r="M1764" t="s">
        <v>22</v>
      </c>
    </row>
    <row r="1765" spans="1:13" x14ac:dyDescent="0.3">
      <c r="A1765" t="str">
        <f>HYPERLINK("https://hsdes.intel.com/resource/14013163811","14013163811")</f>
        <v>14013163811</v>
      </c>
      <c r="B1765" t="s">
        <v>3330</v>
      </c>
      <c r="C1765" t="s">
        <v>3428</v>
      </c>
      <c r="D1765" t="s">
        <v>3331</v>
      </c>
      <c r="E1765" t="s">
        <v>14</v>
      </c>
      <c r="G1765" t="s">
        <v>63</v>
      </c>
      <c r="H1765" s="2">
        <v>44797</v>
      </c>
      <c r="I1765" t="s">
        <v>132</v>
      </c>
      <c r="J1765" t="s">
        <v>614</v>
      </c>
      <c r="L1765" t="s">
        <v>615</v>
      </c>
      <c r="M1765" t="s">
        <v>26</v>
      </c>
    </row>
    <row r="1766" spans="1:13" x14ac:dyDescent="0.3">
      <c r="A1766" t="str">
        <f>HYPERLINK("https://hsdes.intel.com/resource/14013163952","14013163952")</f>
        <v>14013163952</v>
      </c>
      <c r="B1766" t="s">
        <v>2925</v>
      </c>
      <c r="C1766" t="s">
        <v>3428</v>
      </c>
      <c r="D1766" t="s">
        <v>2926</v>
      </c>
      <c r="E1766" t="s">
        <v>14</v>
      </c>
      <c r="G1766" t="s">
        <v>37</v>
      </c>
      <c r="H1766" s="2">
        <v>44785</v>
      </c>
      <c r="I1766" t="s">
        <v>48</v>
      </c>
      <c r="J1766" t="s">
        <v>151</v>
      </c>
      <c r="L1766" t="s">
        <v>152</v>
      </c>
      <c r="M1766" t="s">
        <v>26</v>
      </c>
    </row>
    <row r="1767" spans="1:13" x14ac:dyDescent="0.3">
      <c r="A1767" t="str">
        <f>HYPERLINK("https://hsdes.intel.com/resource/14013164076","14013164076")</f>
        <v>14013164076</v>
      </c>
      <c r="B1767" t="s">
        <v>3333</v>
      </c>
      <c r="C1767" t="s">
        <v>3428</v>
      </c>
      <c r="D1767" t="s">
        <v>3334</v>
      </c>
      <c r="E1767" t="s">
        <v>14</v>
      </c>
      <c r="G1767" t="s">
        <v>63</v>
      </c>
      <c r="H1767" s="2">
        <v>44791</v>
      </c>
      <c r="I1767" t="s">
        <v>132</v>
      </c>
      <c r="J1767" t="s">
        <v>614</v>
      </c>
      <c r="L1767" t="s">
        <v>615</v>
      </c>
      <c r="M1767" t="s">
        <v>26</v>
      </c>
    </row>
    <row r="1768" spans="1:13" x14ac:dyDescent="0.3">
      <c r="A1768" t="str">
        <f>HYPERLINK("https://hsdes.intel.com/resource/14013164275","14013164275")</f>
        <v>14013164275</v>
      </c>
      <c r="B1768" t="s">
        <v>3335</v>
      </c>
      <c r="C1768" t="s">
        <v>3428</v>
      </c>
      <c r="D1768" t="s">
        <v>3336</v>
      </c>
      <c r="E1768" t="s">
        <v>14</v>
      </c>
      <c r="G1768" t="s">
        <v>63</v>
      </c>
      <c r="H1768" s="2">
        <v>44790</v>
      </c>
      <c r="I1768" t="s">
        <v>132</v>
      </c>
      <c r="J1768" t="s">
        <v>614</v>
      </c>
      <c r="L1768" t="s">
        <v>615</v>
      </c>
      <c r="M1768" t="s">
        <v>26</v>
      </c>
    </row>
    <row r="1769" spans="1:13" x14ac:dyDescent="0.3">
      <c r="A1769" t="str">
        <f>HYPERLINK("https://hsdes.intel.com/resource/14013164390","14013164390")</f>
        <v>14013164390</v>
      </c>
      <c r="B1769" t="s">
        <v>3337</v>
      </c>
      <c r="C1769" t="s">
        <v>3428</v>
      </c>
      <c r="D1769" t="s">
        <v>3338</v>
      </c>
      <c r="E1769" t="s">
        <v>14</v>
      </c>
      <c r="G1769" t="s">
        <v>63</v>
      </c>
      <c r="H1769" s="2">
        <v>44791</v>
      </c>
      <c r="I1769" t="s">
        <v>132</v>
      </c>
      <c r="J1769" t="s">
        <v>614</v>
      </c>
      <c r="L1769" t="s">
        <v>615</v>
      </c>
      <c r="M1769" t="s">
        <v>22</v>
      </c>
    </row>
    <row r="1770" spans="1:13" x14ac:dyDescent="0.3">
      <c r="A1770" t="str">
        <f>HYPERLINK("https://hsdes.intel.com/resource/14013165066","14013165066")</f>
        <v>14013165066</v>
      </c>
      <c r="B1770" t="s">
        <v>3339</v>
      </c>
      <c r="C1770" t="s">
        <v>3428</v>
      </c>
      <c r="D1770" t="s">
        <v>3340</v>
      </c>
      <c r="E1770" t="s">
        <v>14</v>
      </c>
      <c r="G1770" t="s">
        <v>63</v>
      </c>
      <c r="H1770" s="2">
        <v>44790</v>
      </c>
      <c r="I1770" t="s">
        <v>132</v>
      </c>
      <c r="J1770" t="s">
        <v>614</v>
      </c>
      <c r="L1770" t="s">
        <v>615</v>
      </c>
      <c r="M1770" t="s">
        <v>26</v>
      </c>
    </row>
    <row r="1771" spans="1:13" x14ac:dyDescent="0.3">
      <c r="A1771" t="str">
        <f>HYPERLINK("https://hsdes.intel.com/resource/14013165633","14013165633")</f>
        <v>14013165633</v>
      </c>
      <c r="B1771" t="s">
        <v>3443</v>
      </c>
      <c r="C1771" t="s">
        <v>3428</v>
      </c>
      <c r="D1771" t="s">
        <v>3444</v>
      </c>
      <c r="E1771" t="s">
        <v>14</v>
      </c>
      <c r="G1771" t="s">
        <v>37</v>
      </c>
      <c r="H1771" s="2">
        <v>44785</v>
      </c>
      <c r="I1771" t="s">
        <v>48</v>
      </c>
      <c r="J1771" t="s">
        <v>151</v>
      </c>
      <c r="L1771" t="s">
        <v>152</v>
      </c>
      <c r="M1771" t="s">
        <v>26</v>
      </c>
    </row>
    <row r="1772" spans="1:13" x14ac:dyDescent="0.3">
      <c r="A1772" t="str">
        <f>HYPERLINK("https://hsdes.intel.com/resource/14013167005","14013167005")</f>
        <v>14013167005</v>
      </c>
      <c r="B1772" t="s">
        <v>3341</v>
      </c>
      <c r="C1772" t="s">
        <v>3428</v>
      </c>
      <c r="D1772" t="s">
        <v>3342</v>
      </c>
      <c r="E1772" t="s">
        <v>14</v>
      </c>
      <c r="G1772" t="s">
        <v>63</v>
      </c>
      <c r="H1772" s="2">
        <v>44798</v>
      </c>
      <c r="I1772" t="s">
        <v>48</v>
      </c>
      <c r="J1772" t="s">
        <v>49</v>
      </c>
      <c r="L1772" t="s">
        <v>50</v>
      </c>
      <c r="M1772" t="s">
        <v>26</v>
      </c>
    </row>
    <row r="1773" spans="1:13" x14ac:dyDescent="0.3">
      <c r="A1773" t="str">
        <f>HYPERLINK("https://hsdes.intel.com/resource/14013167072","14013167072")</f>
        <v>14013167072</v>
      </c>
      <c r="B1773" t="s">
        <v>3344</v>
      </c>
      <c r="C1773" t="s">
        <v>3428</v>
      </c>
      <c r="D1773" t="s">
        <v>3345</v>
      </c>
      <c r="E1773" t="s">
        <v>14</v>
      </c>
      <c r="G1773" t="s">
        <v>63</v>
      </c>
      <c r="H1773" s="2">
        <v>44798</v>
      </c>
      <c r="I1773" t="s">
        <v>48</v>
      </c>
      <c r="J1773" t="s">
        <v>49</v>
      </c>
      <c r="L1773" t="s">
        <v>50</v>
      </c>
      <c r="M1773" t="s">
        <v>26</v>
      </c>
    </row>
    <row r="1774" spans="1:13" x14ac:dyDescent="0.3">
      <c r="A1774" t="str">
        <f>HYPERLINK("https://hsdes.intel.com/resource/14013167076","14013167076")</f>
        <v>14013167076</v>
      </c>
      <c r="B1774" t="s">
        <v>2927</v>
      </c>
      <c r="C1774" t="s">
        <v>3428</v>
      </c>
      <c r="D1774" t="s">
        <v>2928</v>
      </c>
      <c r="E1774" t="s">
        <v>120</v>
      </c>
      <c r="G1774" t="s">
        <v>63</v>
      </c>
      <c r="H1774" s="2">
        <v>44798</v>
      </c>
      <c r="I1774" t="s">
        <v>48</v>
      </c>
      <c r="J1774" t="s">
        <v>49</v>
      </c>
      <c r="L1774" t="s">
        <v>50</v>
      </c>
      <c r="M1774" t="s">
        <v>22</v>
      </c>
    </row>
    <row r="1775" spans="1:13" x14ac:dyDescent="0.3">
      <c r="A1775" t="str">
        <f>HYPERLINK("https://hsdes.intel.com/resource/14013167109","14013167109")</f>
        <v>14013167109</v>
      </c>
      <c r="B1775" t="s">
        <v>3347</v>
      </c>
      <c r="C1775" t="s">
        <v>3428</v>
      </c>
      <c r="D1775" t="s">
        <v>3348</v>
      </c>
      <c r="E1775" t="s">
        <v>120</v>
      </c>
      <c r="F1775" t="s">
        <v>2979</v>
      </c>
      <c r="G1775" t="s">
        <v>63</v>
      </c>
      <c r="H1775" s="2">
        <v>44797</v>
      </c>
      <c r="I1775" t="s">
        <v>48</v>
      </c>
      <c r="J1775" t="s">
        <v>49</v>
      </c>
      <c r="L1775" t="s">
        <v>50</v>
      </c>
      <c r="M1775" t="s">
        <v>19</v>
      </c>
    </row>
    <row r="1776" spans="1:13" x14ac:dyDescent="0.3">
      <c r="A1776" t="str">
        <f>HYPERLINK("https://hsdes.intel.com/resource/14013167560","14013167560")</f>
        <v>14013167560</v>
      </c>
      <c r="B1776" t="s">
        <v>3349</v>
      </c>
      <c r="C1776" t="s">
        <v>3428</v>
      </c>
      <c r="D1776" t="s">
        <v>3350</v>
      </c>
      <c r="E1776" t="s">
        <v>120</v>
      </c>
      <c r="G1776" t="s">
        <v>63</v>
      </c>
      <c r="H1776" s="2">
        <v>44790</v>
      </c>
      <c r="I1776" t="s">
        <v>48</v>
      </c>
      <c r="J1776" t="s">
        <v>49</v>
      </c>
      <c r="L1776" t="s">
        <v>50</v>
      </c>
      <c r="M1776" t="s">
        <v>19</v>
      </c>
    </row>
    <row r="1777" spans="1:13" x14ac:dyDescent="0.3">
      <c r="A1777" t="str">
        <f>HYPERLINK("https://hsdes.intel.com/resource/14013168340","14013168340")</f>
        <v>14013168340</v>
      </c>
      <c r="B1777" t="s">
        <v>3351</v>
      </c>
      <c r="C1777" t="s">
        <v>3428</v>
      </c>
      <c r="D1777" t="s">
        <v>3352</v>
      </c>
      <c r="E1777" t="s">
        <v>14</v>
      </c>
      <c r="G1777" t="s">
        <v>63</v>
      </c>
      <c r="H1777" s="2">
        <v>44790</v>
      </c>
      <c r="I1777" t="s">
        <v>32</v>
      </c>
      <c r="J1777" t="s">
        <v>82</v>
      </c>
      <c r="L1777" t="s">
        <v>50</v>
      </c>
      <c r="M1777" t="s">
        <v>26</v>
      </c>
    </row>
    <row r="1778" spans="1:13" x14ac:dyDescent="0.3">
      <c r="A1778" t="str">
        <f>HYPERLINK("https://hsdes.intel.com/resource/14013168846","14013168846")</f>
        <v>14013168846</v>
      </c>
      <c r="B1778" t="s">
        <v>2934</v>
      </c>
      <c r="C1778" t="s">
        <v>3428</v>
      </c>
      <c r="D1778" t="s">
        <v>2935</v>
      </c>
      <c r="E1778" t="s">
        <v>14</v>
      </c>
      <c r="G1778" t="s">
        <v>37</v>
      </c>
      <c r="H1778" s="2">
        <v>44784</v>
      </c>
      <c r="I1778" t="s">
        <v>64</v>
      </c>
      <c r="J1778" t="s">
        <v>191</v>
      </c>
      <c r="L1778" t="s">
        <v>192</v>
      </c>
      <c r="M1778" t="s">
        <v>22</v>
      </c>
    </row>
    <row r="1779" spans="1:13" x14ac:dyDescent="0.3">
      <c r="A1779" t="str">
        <f>HYPERLINK("https://hsdes.intel.com/resource/14013168950","14013168950")</f>
        <v>14013168950</v>
      </c>
      <c r="B1779" t="s">
        <v>2936</v>
      </c>
      <c r="C1779" t="s">
        <v>3428</v>
      </c>
      <c r="D1779" t="s">
        <v>2937</v>
      </c>
      <c r="E1779" t="s">
        <v>120</v>
      </c>
      <c r="F1779" s="7" t="s">
        <v>3445</v>
      </c>
      <c r="G1779" t="s">
        <v>63</v>
      </c>
      <c r="H1779" s="2">
        <v>44798</v>
      </c>
      <c r="I1779" t="s">
        <v>64</v>
      </c>
      <c r="J1779" t="s">
        <v>191</v>
      </c>
      <c r="L1779" t="s">
        <v>50</v>
      </c>
      <c r="M1779" t="s">
        <v>22</v>
      </c>
    </row>
    <row r="1780" spans="1:13" ht="13.8" customHeight="1" x14ac:dyDescent="0.3">
      <c r="A1780" t="str">
        <f>HYPERLINK("https://hsdes.intel.com/resource/14013169130","14013169130")</f>
        <v>14013169130</v>
      </c>
      <c r="B1780" t="s">
        <v>2939</v>
      </c>
      <c r="C1780" t="s">
        <v>3428</v>
      </c>
      <c r="D1780" t="s">
        <v>2940</v>
      </c>
      <c r="E1780" t="s">
        <v>14</v>
      </c>
      <c r="G1780" t="s">
        <v>63</v>
      </c>
      <c r="H1780" s="2">
        <v>44798</v>
      </c>
      <c r="I1780" t="s">
        <v>64</v>
      </c>
      <c r="J1780" t="s">
        <v>191</v>
      </c>
      <c r="L1780" t="s">
        <v>50</v>
      </c>
      <c r="M1780" t="s">
        <v>22</v>
      </c>
    </row>
    <row r="1781" spans="1:13" x14ac:dyDescent="0.3">
      <c r="A1781" t="str">
        <f>HYPERLINK("https://hsdes.intel.com/resource/14013173139","14013173139")</f>
        <v>14013173139</v>
      </c>
      <c r="B1781" t="s">
        <v>3353</v>
      </c>
      <c r="C1781" t="s">
        <v>3428</v>
      </c>
      <c r="D1781" t="s">
        <v>3354</v>
      </c>
      <c r="E1781" t="s">
        <v>14</v>
      </c>
      <c r="G1781" t="s">
        <v>63</v>
      </c>
      <c r="H1781" s="2">
        <v>44790</v>
      </c>
      <c r="I1781" t="s">
        <v>32</v>
      </c>
      <c r="J1781" t="s">
        <v>82</v>
      </c>
      <c r="L1781" t="s">
        <v>54</v>
      </c>
      <c r="M1781" t="s">
        <v>26</v>
      </c>
    </row>
    <row r="1782" spans="1:13" x14ac:dyDescent="0.3">
      <c r="A1782" t="str">
        <f>HYPERLINK("https://hsdes.intel.com/resource/14013173153","14013173153")</f>
        <v>14013173153</v>
      </c>
      <c r="B1782" t="s">
        <v>3356</v>
      </c>
      <c r="C1782" t="s">
        <v>3428</v>
      </c>
      <c r="D1782" t="s">
        <v>3357</v>
      </c>
      <c r="E1782" t="s">
        <v>14</v>
      </c>
      <c r="G1782" t="s">
        <v>37</v>
      </c>
      <c r="I1782" t="s">
        <v>32</v>
      </c>
      <c r="J1782" t="s">
        <v>82</v>
      </c>
      <c r="L1782" t="s">
        <v>125</v>
      </c>
      <c r="M1782" t="s">
        <v>26</v>
      </c>
    </row>
    <row r="1783" spans="1:13" x14ac:dyDescent="0.3">
      <c r="A1783" t="str">
        <f>HYPERLINK("https://hsdes.intel.com/resource/14013173241","14013173241")</f>
        <v>14013173241</v>
      </c>
      <c r="B1783" t="s">
        <v>2941</v>
      </c>
      <c r="C1783" t="s">
        <v>3428</v>
      </c>
      <c r="D1783" t="s">
        <v>2942</v>
      </c>
      <c r="E1783" t="s">
        <v>14</v>
      </c>
      <c r="G1783" t="s">
        <v>63</v>
      </c>
      <c r="H1783" s="2">
        <v>44790</v>
      </c>
      <c r="I1783" t="s">
        <v>16</v>
      </c>
      <c r="J1783" t="s">
        <v>77</v>
      </c>
      <c r="L1783" t="s">
        <v>157</v>
      </c>
      <c r="M1783" t="s">
        <v>26</v>
      </c>
    </row>
    <row r="1784" spans="1:13" x14ac:dyDescent="0.3">
      <c r="A1784" t="str">
        <f>HYPERLINK("https://hsdes.intel.com/resource/14013173298","14013173298")</f>
        <v>14013173298</v>
      </c>
      <c r="B1784" t="s">
        <v>3358</v>
      </c>
      <c r="C1784" t="s">
        <v>3428</v>
      </c>
      <c r="D1784" t="s">
        <v>3359</v>
      </c>
      <c r="E1784" t="s">
        <v>14</v>
      </c>
      <c r="G1784" t="s">
        <v>63</v>
      </c>
      <c r="H1784" s="2">
        <v>44798</v>
      </c>
      <c r="I1784" t="s">
        <v>132</v>
      </c>
      <c r="J1784" t="s">
        <v>115</v>
      </c>
      <c r="L1784" t="s">
        <v>133</v>
      </c>
      <c r="M1784" t="s">
        <v>22</v>
      </c>
    </row>
    <row r="1785" spans="1:13" x14ac:dyDescent="0.3">
      <c r="A1785" t="str">
        <f>HYPERLINK("https://hsdes.intel.com/resource/14013174100","14013174100")</f>
        <v>14013174100</v>
      </c>
      <c r="B1785" t="s">
        <v>2955</v>
      </c>
      <c r="C1785" t="s">
        <v>3428</v>
      </c>
      <c r="D1785" t="s">
        <v>2956</v>
      </c>
      <c r="E1785" t="s">
        <v>120</v>
      </c>
      <c r="F1785" t="s">
        <v>3446</v>
      </c>
      <c r="G1785" t="s">
        <v>63</v>
      </c>
      <c r="H1785" s="2">
        <v>44790</v>
      </c>
      <c r="I1785" t="s">
        <v>167</v>
      </c>
      <c r="J1785" t="s">
        <v>186</v>
      </c>
      <c r="L1785" t="s">
        <v>147</v>
      </c>
      <c r="M1785" t="s">
        <v>26</v>
      </c>
    </row>
    <row r="1786" spans="1:13" x14ac:dyDescent="0.3">
      <c r="A1786" t="str">
        <f>HYPERLINK("https://hsdes.intel.com/resource/14013174151","14013174151")</f>
        <v>14013174151</v>
      </c>
      <c r="B1786" t="s">
        <v>3447</v>
      </c>
      <c r="C1786" t="s">
        <v>3428</v>
      </c>
      <c r="D1786" t="s">
        <v>3448</v>
      </c>
      <c r="E1786" t="s">
        <v>14</v>
      </c>
      <c r="G1786" t="s">
        <v>37</v>
      </c>
      <c r="I1786" t="s">
        <v>167</v>
      </c>
      <c r="J1786" t="s">
        <v>186</v>
      </c>
      <c r="L1786" t="s">
        <v>147</v>
      </c>
      <c r="M1786" t="s">
        <v>22</v>
      </c>
    </row>
    <row r="1787" spans="1:13" x14ac:dyDescent="0.3">
      <c r="A1787" t="str">
        <f>HYPERLINK("https://hsdes.intel.com/resource/14013174153","14013174153")</f>
        <v>14013174153</v>
      </c>
      <c r="B1787" t="s">
        <v>3205</v>
      </c>
      <c r="C1787" t="s">
        <v>3428</v>
      </c>
      <c r="D1787" t="s">
        <v>3206</v>
      </c>
      <c r="E1787" t="s">
        <v>120</v>
      </c>
      <c r="F1787" t="s">
        <v>3446</v>
      </c>
      <c r="G1787" t="s">
        <v>63</v>
      </c>
      <c r="H1787" s="2">
        <v>44790</v>
      </c>
      <c r="I1787" t="s">
        <v>167</v>
      </c>
      <c r="J1787" t="s">
        <v>186</v>
      </c>
      <c r="L1787" t="s">
        <v>147</v>
      </c>
      <c r="M1787" t="s">
        <v>26</v>
      </c>
    </row>
    <row r="1788" spans="1:13" x14ac:dyDescent="0.3">
      <c r="A1788" t="str">
        <f>HYPERLINK("https://hsdes.intel.com/resource/14013174175","14013174175")</f>
        <v>14013174175</v>
      </c>
      <c r="B1788" t="s">
        <v>3207</v>
      </c>
      <c r="C1788" t="s">
        <v>3428</v>
      </c>
      <c r="D1788" t="s">
        <v>3208</v>
      </c>
      <c r="E1788" t="s">
        <v>120</v>
      </c>
      <c r="F1788" t="s">
        <v>3446</v>
      </c>
      <c r="G1788" t="s">
        <v>63</v>
      </c>
      <c r="H1788" s="2">
        <v>44790</v>
      </c>
      <c r="I1788" t="s">
        <v>167</v>
      </c>
      <c r="J1788" t="s">
        <v>186</v>
      </c>
      <c r="L1788" t="s">
        <v>147</v>
      </c>
      <c r="M1788" t="s">
        <v>26</v>
      </c>
    </row>
    <row r="1789" spans="1:13" x14ac:dyDescent="0.3">
      <c r="A1789" t="str">
        <f>HYPERLINK("https://hsdes.intel.com/resource/14013175721","14013175721")</f>
        <v>14013175721</v>
      </c>
      <c r="B1789" t="s">
        <v>3449</v>
      </c>
      <c r="C1789" t="s">
        <v>3428</v>
      </c>
      <c r="D1789" t="s">
        <v>3450</v>
      </c>
      <c r="E1789" t="s">
        <v>14</v>
      </c>
      <c r="G1789" t="s">
        <v>63</v>
      </c>
      <c r="H1789" s="2">
        <v>44790</v>
      </c>
      <c r="I1789" t="s">
        <v>132</v>
      </c>
      <c r="J1789" t="s">
        <v>614</v>
      </c>
      <c r="L1789" t="s">
        <v>615</v>
      </c>
      <c r="M1789" t="s">
        <v>26</v>
      </c>
    </row>
    <row r="1790" spans="1:13" x14ac:dyDescent="0.3">
      <c r="A1790" t="str">
        <f>HYPERLINK("https://hsdes.intel.com/resource/14013176172","14013176172")</f>
        <v>14013176172</v>
      </c>
      <c r="B1790" t="s">
        <v>2987</v>
      </c>
      <c r="C1790" t="s">
        <v>3428</v>
      </c>
      <c r="D1790" t="s">
        <v>2988</v>
      </c>
      <c r="E1790" t="s">
        <v>14</v>
      </c>
      <c r="G1790" t="s">
        <v>37</v>
      </c>
      <c r="I1790" t="s">
        <v>48</v>
      </c>
      <c r="J1790" t="s">
        <v>151</v>
      </c>
      <c r="L1790" t="s">
        <v>152</v>
      </c>
      <c r="M1790" t="s">
        <v>26</v>
      </c>
    </row>
    <row r="1791" spans="1:13" x14ac:dyDescent="0.3">
      <c r="A1791" t="str">
        <f>HYPERLINK("https://hsdes.intel.com/resource/14013176273","14013176273")</f>
        <v>14013176273</v>
      </c>
      <c r="B1791" t="s">
        <v>3361</v>
      </c>
      <c r="C1791" t="s">
        <v>3428</v>
      </c>
      <c r="D1791" t="s">
        <v>3362</v>
      </c>
      <c r="E1791" t="s">
        <v>97</v>
      </c>
      <c r="F1791" t="s">
        <v>3305</v>
      </c>
      <c r="G1791" t="s">
        <v>63</v>
      </c>
      <c r="H1791" s="2">
        <v>44799</v>
      </c>
      <c r="I1791" t="s">
        <v>132</v>
      </c>
      <c r="J1791" t="s">
        <v>614</v>
      </c>
      <c r="L1791" t="s">
        <v>615</v>
      </c>
      <c r="M1791" t="s">
        <v>26</v>
      </c>
    </row>
    <row r="1792" spans="1:13" x14ac:dyDescent="0.3">
      <c r="A1792" t="str">
        <f>HYPERLINK("https://hsdes.intel.com/resource/14013176478","14013176478")</f>
        <v>14013176478</v>
      </c>
      <c r="B1792" t="s">
        <v>3364</v>
      </c>
      <c r="C1792" t="s">
        <v>3428</v>
      </c>
      <c r="D1792" t="s">
        <v>3365</v>
      </c>
      <c r="E1792" t="s">
        <v>14</v>
      </c>
      <c r="G1792" t="s">
        <v>63</v>
      </c>
      <c r="H1792" s="2">
        <v>44790</v>
      </c>
      <c r="I1792" t="s">
        <v>132</v>
      </c>
      <c r="J1792" t="s">
        <v>614</v>
      </c>
      <c r="L1792" t="s">
        <v>615</v>
      </c>
      <c r="M1792" t="s">
        <v>26</v>
      </c>
    </row>
    <row r="1793" spans="1:13" x14ac:dyDescent="0.3">
      <c r="A1793" t="str">
        <f>HYPERLINK("https://hsdes.intel.com/resource/14013176485","14013176485")</f>
        <v>14013176485</v>
      </c>
      <c r="B1793" t="s">
        <v>3366</v>
      </c>
      <c r="C1793" t="s">
        <v>3428</v>
      </c>
      <c r="D1793" t="s">
        <v>3367</v>
      </c>
      <c r="E1793" t="s">
        <v>14</v>
      </c>
      <c r="G1793" t="s">
        <v>63</v>
      </c>
      <c r="H1793" s="2">
        <v>44798</v>
      </c>
      <c r="I1793" t="s">
        <v>64</v>
      </c>
      <c r="J1793" t="s">
        <v>112</v>
      </c>
      <c r="L1793" t="s">
        <v>66</v>
      </c>
      <c r="M1793" t="s">
        <v>26</v>
      </c>
    </row>
    <row r="1794" spans="1:13" x14ac:dyDescent="0.3">
      <c r="A1794" t="str">
        <f>HYPERLINK("https://hsdes.intel.com/resource/14013176742","14013176742")</f>
        <v>14013176742</v>
      </c>
      <c r="B1794" t="s">
        <v>3143</v>
      </c>
      <c r="C1794" t="s">
        <v>3428</v>
      </c>
      <c r="D1794" t="s">
        <v>3144</v>
      </c>
      <c r="E1794" t="s">
        <v>14</v>
      </c>
      <c r="G1794" t="s">
        <v>63</v>
      </c>
      <c r="H1794" s="2">
        <v>44790</v>
      </c>
      <c r="I1794" t="s">
        <v>64</v>
      </c>
      <c r="J1794" t="s">
        <v>112</v>
      </c>
      <c r="L1794" t="s">
        <v>66</v>
      </c>
      <c r="M1794" t="s">
        <v>22</v>
      </c>
    </row>
    <row r="1795" spans="1:13" x14ac:dyDescent="0.3">
      <c r="A1795" t="str">
        <f>HYPERLINK("https://hsdes.intel.com/resource/14013177306","14013177306")</f>
        <v>14013177306</v>
      </c>
      <c r="B1795" t="s">
        <v>3371</v>
      </c>
      <c r="C1795" t="s">
        <v>3428</v>
      </c>
      <c r="D1795" t="s">
        <v>3372</v>
      </c>
      <c r="E1795" t="s">
        <v>120</v>
      </c>
      <c r="F1795" s="15" t="s">
        <v>3451</v>
      </c>
      <c r="G1795" t="s">
        <v>63</v>
      </c>
      <c r="H1795" s="2">
        <v>44797</v>
      </c>
      <c r="I1795" t="s">
        <v>64</v>
      </c>
      <c r="J1795" t="s">
        <v>112</v>
      </c>
      <c r="L1795" t="s">
        <v>66</v>
      </c>
      <c r="M1795" t="s">
        <v>19</v>
      </c>
    </row>
    <row r="1796" spans="1:13" x14ac:dyDescent="0.3">
      <c r="A1796" t="str">
        <f>HYPERLINK("https://hsdes.intel.com/resource/14013177684","14013177684")</f>
        <v>14013177684</v>
      </c>
      <c r="B1796" t="s">
        <v>3154</v>
      </c>
      <c r="C1796" t="s">
        <v>3428</v>
      </c>
      <c r="D1796" t="s">
        <v>3155</v>
      </c>
      <c r="E1796" t="s">
        <v>14</v>
      </c>
      <c r="G1796" t="s">
        <v>37</v>
      </c>
      <c r="I1796" t="s">
        <v>64</v>
      </c>
      <c r="J1796" t="s">
        <v>112</v>
      </c>
      <c r="L1796" t="s">
        <v>66</v>
      </c>
      <c r="M1796" t="s">
        <v>19</v>
      </c>
    </row>
    <row r="1797" spans="1:13" x14ac:dyDescent="0.3">
      <c r="A1797" t="str">
        <f>HYPERLINK("https://hsdes.intel.com/resource/14013177887","14013177887")</f>
        <v>14013177887</v>
      </c>
      <c r="B1797" t="s">
        <v>3380</v>
      </c>
      <c r="C1797" t="s">
        <v>3428</v>
      </c>
      <c r="D1797" t="s">
        <v>3381</v>
      </c>
      <c r="E1797" t="s">
        <v>14</v>
      </c>
      <c r="G1797" t="s">
        <v>63</v>
      </c>
      <c r="H1797" s="2">
        <v>44790</v>
      </c>
      <c r="I1797" t="s">
        <v>132</v>
      </c>
      <c r="J1797" t="s">
        <v>3382</v>
      </c>
      <c r="L1797" t="s">
        <v>147</v>
      </c>
      <c r="M1797" t="s">
        <v>26</v>
      </c>
    </row>
    <row r="1798" spans="1:13" x14ac:dyDescent="0.3">
      <c r="A1798" t="str">
        <f>HYPERLINK("https://hsdes.intel.com/resource/14013178043","14013178043")</f>
        <v>14013178043</v>
      </c>
      <c r="B1798" t="s">
        <v>2991</v>
      </c>
      <c r="C1798" t="s">
        <v>3428</v>
      </c>
      <c r="D1798" t="s">
        <v>2992</v>
      </c>
      <c r="E1798" t="s">
        <v>14</v>
      </c>
      <c r="G1798" t="s">
        <v>37</v>
      </c>
      <c r="I1798" t="s">
        <v>48</v>
      </c>
      <c r="J1798" t="s">
        <v>151</v>
      </c>
      <c r="L1798" t="s">
        <v>152</v>
      </c>
      <c r="M1798" t="s">
        <v>22</v>
      </c>
    </row>
    <row r="1799" spans="1:13" x14ac:dyDescent="0.3">
      <c r="A1799" t="str">
        <f>HYPERLINK("https://hsdes.intel.com/resource/14013178384","14013178384")</f>
        <v>14013178384</v>
      </c>
      <c r="B1799" t="s">
        <v>3172</v>
      </c>
      <c r="C1799" t="s">
        <v>3428</v>
      </c>
      <c r="D1799" t="s">
        <v>3173</v>
      </c>
      <c r="E1799" t="s">
        <v>120</v>
      </c>
      <c r="F1799" t="s">
        <v>3452</v>
      </c>
      <c r="G1799" t="s">
        <v>63</v>
      </c>
      <c r="H1799" s="2">
        <v>44797</v>
      </c>
      <c r="I1799" t="s">
        <v>64</v>
      </c>
      <c r="J1799" t="s">
        <v>112</v>
      </c>
      <c r="L1799" t="s">
        <v>66</v>
      </c>
      <c r="M1799" t="s">
        <v>19</v>
      </c>
    </row>
    <row r="1800" spans="1:13" x14ac:dyDescent="0.3">
      <c r="A1800" t="str">
        <f>HYPERLINK("https://hsdes.intel.com/resource/14013178908","14013178908")</f>
        <v>14013178908</v>
      </c>
      <c r="B1800" t="s">
        <v>3389</v>
      </c>
      <c r="C1800" t="s">
        <v>3428</v>
      </c>
      <c r="D1800" t="s">
        <v>3390</v>
      </c>
      <c r="E1800" t="s">
        <v>14</v>
      </c>
      <c r="G1800" t="s">
        <v>63</v>
      </c>
      <c r="H1800" s="2">
        <v>44790</v>
      </c>
      <c r="I1800" t="s">
        <v>132</v>
      </c>
      <c r="J1800" t="s">
        <v>614</v>
      </c>
      <c r="L1800" t="s">
        <v>615</v>
      </c>
      <c r="M1800" t="s">
        <v>22</v>
      </c>
    </row>
    <row r="1801" spans="1:13" x14ac:dyDescent="0.3">
      <c r="A1801" t="str">
        <f>HYPERLINK("https://hsdes.intel.com/resource/14013178913","14013178913")</f>
        <v>14013178913</v>
      </c>
      <c r="B1801" t="s">
        <v>3391</v>
      </c>
      <c r="C1801" t="s">
        <v>3428</v>
      </c>
      <c r="D1801" t="s">
        <v>3392</v>
      </c>
      <c r="E1801" t="s">
        <v>120</v>
      </c>
      <c r="G1801" t="s">
        <v>63</v>
      </c>
      <c r="H1801" s="2">
        <v>44790</v>
      </c>
      <c r="I1801" t="s">
        <v>132</v>
      </c>
      <c r="J1801" t="s">
        <v>614</v>
      </c>
      <c r="L1801" t="s">
        <v>615</v>
      </c>
      <c r="M1801" t="s">
        <v>26</v>
      </c>
    </row>
    <row r="1802" spans="1:13" x14ac:dyDescent="0.3">
      <c r="A1802" t="str">
        <f>HYPERLINK("https://hsdes.intel.com/resource/14013178916","14013178916")</f>
        <v>14013178916</v>
      </c>
      <c r="B1802" t="s">
        <v>3394</v>
      </c>
      <c r="C1802" t="s">
        <v>3428</v>
      </c>
      <c r="D1802" t="s">
        <v>3395</v>
      </c>
      <c r="E1802" t="s">
        <v>97</v>
      </c>
      <c r="F1802" t="s">
        <v>3453</v>
      </c>
      <c r="G1802" t="s">
        <v>63</v>
      </c>
      <c r="H1802" s="2">
        <v>44790</v>
      </c>
      <c r="I1802" t="s">
        <v>132</v>
      </c>
      <c r="J1802" t="s">
        <v>614</v>
      </c>
      <c r="L1802" t="s">
        <v>615</v>
      </c>
      <c r="M1802" t="s">
        <v>26</v>
      </c>
    </row>
    <row r="1803" spans="1:13" x14ac:dyDescent="0.3">
      <c r="A1803" t="str">
        <f>HYPERLINK("https://hsdes.intel.com/resource/14013178933","14013178933")</f>
        <v>14013178933</v>
      </c>
      <c r="B1803" t="s">
        <v>2993</v>
      </c>
      <c r="C1803" t="s">
        <v>3428</v>
      </c>
      <c r="D1803" t="s">
        <v>2994</v>
      </c>
      <c r="E1803" t="s">
        <v>14</v>
      </c>
      <c r="G1803" t="s">
        <v>37</v>
      </c>
      <c r="H1803" s="2">
        <v>44789</v>
      </c>
      <c r="I1803" t="s">
        <v>167</v>
      </c>
      <c r="J1803" t="s">
        <v>168</v>
      </c>
      <c r="L1803" t="s">
        <v>147</v>
      </c>
      <c r="M1803" t="s">
        <v>22</v>
      </c>
    </row>
    <row r="1804" spans="1:13" x14ac:dyDescent="0.3">
      <c r="A1804" t="str">
        <f>HYPERLINK("https://hsdes.intel.com/resource/14013178938","14013178938")</f>
        <v>14013178938</v>
      </c>
      <c r="B1804" t="s">
        <v>2995</v>
      </c>
      <c r="C1804" t="s">
        <v>3428</v>
      </c>
      <c r="D1804" t="s">
        <v>2996</v>
      </c>
      <c r="E1804" t="s">
        <v>14</v>
      </c>
      <c r="G1804" t="s">
        <v>37</v>
      </c>
      <c r="H1804" s="2">
        <v>44789</v>
      </c>
      <c r="I1804" t="s">
        <v>167</v>
      </c>
      <c r="J1804" t="s">
        <v>168</v>
      </c>
      <c r="L1804" t="s">
        <v>147</v>
      </c>
      <c r="M1804" t="s">
        <v>26</v>
      </c>
    </row>
    <row r="1805" spans="1:13" x14ac:dyDescent="0.3">
      <c r="A1805" t="str">
        <f>HYPERLINK("https://hsdes.intel.com/resource/14013178942","14013178942")</f>
        <v>14013178942</v>
      </c>
      <c r="B1805" t="s">
        <v>2997</v>
      </c>
      <c r="C1805" t="s">
        <v>3428</v>
      </c>
      <c r="D1805" t="s">
        <v>2998</v>
      </c>
      <c r="E1805" t="s">
        <v>14</v>
      </c>
      <c r="G1805" t="s">
        <v>69</v>
      </c>
      <c r="H1805" s="2">
        <v>44800</v>
      </c>
      <c r="I1805" t="s">
        <v>167</v>
      </c>
      <c r="J1805" t="s">
        <v>168</v>
      </c>
      <c r="L1805" t="s">
        <v>147</v>
      </c>
      <c r="M1805" t="s">
        <v>26</v>
      </c>
    </row>
    <row r="1806" spans="1:13" x14ac:dyDescent="0.3">
      <c r="A1806" t="str">
        <f>HYPERLINK("https://hsdes.intel.com/resource/14013179066","14013179066")</f>
        <v>14013179066</v>
      </c>
      <c r="B1806" t="s">
        <v>3396</v>
      </c>
      <c r="C1806" t="s">
        <v>3428</v>
      </c>
      <c r="D1806" t="s">
        <v>3397</v>
      </c>
      <c r="E1806" t="s">
        <v>14</v>
      </c>
      <c r="G1806" t="s">
        <v>63</v>
      </c>
      <c r="H1806" s="2">
        <v>44791</v>
      </c>
      <c r="I1806" t="s">
        <v>132</v>
      </c>
      <c r="J1806" t="s">
        <v>614</v>
      </c>
      <c r="L1806" t="s">
        <v>615</v>
      </c>
      <c r="M1806" t="s">
        <v>19</v>
      </c>
    </row>
    <row r="1807" spans="1:13" x14ac:dyDescent="0.3">
      <c r="A1807" t="str">
        <f>HYPERLINK("https://hsdes.intel.com/resource/14013179088","14013179088")</f>
        <v>14013179088</v>
      </c>
      <c r="B1807" t="s">
        <v>3398</v>
      </c>
      <c r="C1807" t="s">
        <v>3428</v>
      </c>
      <c r="D1807" t="s">
        <v>3399</v>
      </c>
      <c r="E1807" t="s">
        <v>14</v>
      </c>
      <c r="G1807" t="s">
        <v>63</v>
      </c>
      <c r="H1807" s="2">
        <v>44790</v>
      </c>
      <c r="I1807" t="s">
        <v>132</v>
      </c>
      <c r="J1807" t="s">
        <v>614</v>
      </c>
      <c r="L1807" t="s">
        <v>615</v>
      </c>
      <c r="M1807" t="s">
        <v>19</v>
      </c>
    </row>
    <row r="1808" spans="1:13" x14ac:dyDescent="0.3">
      <c r="A1808" t="str">
        <f>HYPERLINK("https://hsdes.intel.com/resource/14013179185","14013179185")</f>
        <v>14013179185</v>
      </c>
      <c r="B1808" t="s">
        <v>3400</v>
      </c>
      <c r="C1808" t="s">
        <v>3428</v>
      </c>
      <c r="D1808" t="s">
        <v>3401</v>
      </c>
      <c r="E1808" t="s">
        <v>14</v>
      </c>
      <c r="G1808" t="s">
        <v>63</v>
      </c>
      <c r="H1808" s="2">
        <v>44790</v>
      </c>
      <c r="I1808" t="s">
        <v>132</v>
      </c>
      <c r="J1808" t="s">
        <v>614</v>
      </c>
      <c r="L1808" t="s">
        <v>615</v>
      </c>
      <c r="M1808" t="s">
        <v>26</v>
      </c>
    </row>
    <row r="1809" spans="1:13" x14ac:dyDescent="0.3">
      <c r="A1809" t="str">
        <f>HYPERLINK("https://hsdes.intel.com/resource/14013179187","14013179187")</f>
        <v>14013179187</v>
      </c>
      <c r="B1809" t="s">
        <v>3402</v>
      </c>
      <c r="C1809" t="s">
        <v>3428</v>
      </c>
      <c r="D1809" t="s">
        <v>3403</v>
      </c>
      <c r="E1809" t="s">
        <v>14</v>
      </c>
      <c r="G1809" t="s">
        <v>63</v>
      </c>
      <c r="H1809" s="2">
        <v>44790</v>
      </c>
      <c r="I1809" t="s">
        <v>132</v>
      </c>
      <c r="J1809" t="s">
        <v>614</v>
      </c>
      <c r="L1809" t="s">
        <v>615</v>
      </c>
      <c r="M1809" t="s">
        <v>26</v>
      </c>
    </row>
    <row r="1810" spans="1:13" x14ac:dyDescent="0.3">
      <c r="A1810" t="str">
        <f>HYPERLINK("https://hsdes.intel.com/resource/14013179431","14013179431")</f>
        <v>14013179431</v>
      </c>
      <c r="B1810" t="s">
        <v>3405</v>
      </c>
      <c r="C1810" t="s">
        <v>3428</v>
      </c>
      <c r="D1810" t="s">
        <v>3406</v>
      </c>
      <c r="E1810" t="s">
        <v>14</v>
      </c>
      <c r="G1810" t="s">
        <v>63</v>
      </c>
      <c r="H1810" s="2">
        <v>44791</v>
      </c>
      <c r="I1810" t="s">
        <v>132</v>
      </c>
      <c r="J1810" t="s">
        <v>614</v>
      </c>
      <c r="L1810" t="s">
        <v>615</v>
      </c>
      <c r="M1810" t="s">
        <v>26</v>
      </c>
    </row>
    <row r="1811" spans="1:13" x14ac:dyDescent="0.3">
      <c r="A1811" t="str">
        <f>HYPERLINK("https://hsdes.intel.com/resource/14013179754","14013179754")</f>
        <v>14013179754</v>
      </c>
      <c r="B1811" t="s">
        <v>3408</v>
      </c>
      <c r="C1811" t="s">
        <v>3428</v>
      </c>
      <c r="D1811" t="s">
        <v>3409</v>
      </c>
      <c r="E1811" t="s">
        <v>14</v>
      </c>
      <c r="G1811" t="s">
        <v>37</v>
      </c>
      <c r="H1811" s="2">
        <v>44790</v>
      </c>
      <c r="I1811" t="s">
        <v>132</v>
      </c>
      <c r="J1811" t="s">
        <v>614</v>
      </c>
      <c r="L1811" t="s">
        <v>615</v>
      </c>
      <c r="M1811" t="s">
        <v>26</v>
      </c>
    </row>
    <row r="1812" spans="1:13" x14ac:dyDescent="0.3">
      <c r="A1812" t="str">
        <f>HYPERLINK("https://hsdes.intel.com/resource/14013184885","14013184885")</f>
        <v>14013184885</v>
      </c>
      <c r="B1812" t="s">
        <v>3003</v>
      </c>
      <c r="C1812" t="s">
        <v>3428</v>
      </c>
      <c r="D1812" t="s">
        <v>3004</v>
      </c>
      <c r="E1812" t="s">
        <v>14</v>
      </c>
      <c r="G1812" t="s">
        <v>37</v>
      </c>
      <c r="I1812" t="s">
        <v>167</v>
      </c>
      <c r="J1812" t="s">
        <v>2063</v>
      </c>
      <c r="L1812" t="s">
        <v>147</v>
      </c>
      <c r="M1812" t="s">
        <v>26</v>
      </c>
    </row>
    <row r="1813" spans="1:13" x14ac:dyDescent="0.3">
      <c r="A1813" t="str">
        <f>HYPERLINK("https://hsdes.intel.com/resource/14013184965","14013184965")</f>
        <v>14013184965</v>
      </c>
      <c r="B1813" t="s">
        <v>3005</v>
      </c>
      <c r="C1813" t="s">
        <v>3428</v>
      </c>
      <c r="D1813" t="s">
        <v>3006</v>
      </c>
      <c r="E1813" t="s">
        <v>14</v>
      </c>
      <c r="G1813" t="s">
        <v>37</v>
      </c>
      <c r="I1813" t="s">
        <v>167</v>
      </c>
      <c r="J1813" t="s">
        <v>2063</v>
      </c>
      <c r="L1813" t="s">
        <v>147</v>
      </c>
      <c r="M1813" t="s">
        <v>26</v>
      </c>
    </row>
    <row r="1814" spans="1:13" x14ac:dyDescent="0.3">
      <c r="A1814" t="str">
        <f>HYPERLINK("https://hsdes.intel.com/resource/14013185599","14013185599")</f>
        <v>14013185599</v>
      </c>
      <c r="B1814" t="s">
        <v>3410</v>
      </c>
      <c r="C1814" t="s">
        <v>3428</v>
      </c>
      <c r="D1814" t="s">
        <v>3411</v>
      </c>
      <c r="E1814" t="s">
        <v>120</v>
      </c>
      <c r="F1814" t="s">
        <v>2979</v>
      </c>
      <c r="G1814" t="s">
        <v>63</v>
      </c>
      <c r="H1814" s="2">
        <v>44797</v>
      </c>
      <c r="I1814" t="s">
        <v>48</v>
      </c>
      <c r="J1814" t="s">
        <v>49</v>
      </c>
      <c r="L1814" t="s">
        <v>50</v>
      </c>
      <c r="M1814" t="s">
        <v>19</v>
      </c>
    </row>
    <row r="1815" spans="1:13" x14ac:dyDescent="0.3">
      <c r="A1815" t="str">
        <f>HYPERLINK("https://hsdes.intel.com/resource/14013185608","14013185608")</f>
        <v>14013185608</v>
      </c>
      <c r="B1815" t="s">
        <v>3412</v>
      </c>
      <c r="C1815" t="s">
        <v>3428</v>
      </c>
      <c r="D1815" t="s">
        <v>3413</v>
      </c>
      <c r="E1815" t="s">
        <v>120</v>
      </c>
      <c r="G1815" t="s">
        <v>63</v>
      </c>
      <c r="H1815" s="2">
        <v>44790</v>
      </c>
      <c r="I1815" t="s">
        <v>48</v>
      </c>
      <c r="J1815" t="s">
        <v>49</v>
      </c>
      <c r="L1815" t="s">
        <v>50</v>
      </c>
      <c r="M1815" t="s">
        <v>19</v>
      </c>
    </row>
    <row r="1816" spans="1:13" x14ac:dyDescent="0.3">
      <c r="A1816" t="str">
        <f>HYPERLINK("https://hsdes.intel.com/resource/14013185622","14013185622")</f>
        <v>14013185622</v>
      </c>
      <c r="B1816" t="s">
        <v>3414</v>
      </c>
      <c r="C1816" t="s">
        <v>3428</v>
      </c>
      <c r="D1816" t="s">
        <v>3415</v>
      </c>
      <c r="E1816" t="s">
        <v>120</v>
      </c>
      <c r="G1816" t="s">
        <v>63</v>
      </c>
      <c r="H1816" s="2">
        <v>44790</v>
      </c>
      <c r="I1816" t="s">
        <v>48</v>
      </c>
      <c r="J1816" t="s">
        <v>49</v>
      </c>
      <c r="L1816" t="s">
        <v>50</v>
      </c>
      <c r="M1816" t="s">
        <v>19</v>
      </c>
    </row>
    <row r="1817" spans="1:13" x14ac:dyDescent="0.3">
      <c r="A1817" t="str">
        <f>HYPERLINK("https://hsdes.intel.com/resource/14013185661","14013185661")</f>
        <v>14013185661</v>
      </c>
      <c r="B1817" t="s">
        <v>3416</v>
      </c>
      <c r="C1817" t="s">
        <v>3428</v>
      </c>
      <c r="D1817" t="s">
        <v>3417</v>
      </c>
      <c r="E1817" t="s">
        <v>14</v>
      </c>
      <c r="G1817" t="s">
        <v>63</v>
      </c>
      <c r="H1817" s="2">
        <v>44790</v>
      </c>
      <c r="I1817" t="s">
        <v>132</v>
      </c>
      <c r="J1817" t="s">
        <v>614</v>
      </c>
      <c r="L1817" t="s">
        <v>615</v>
      </c>
      <c r="M1817" t="s">
        <v>26</v>
      </c>
    </row>
    <row r="1818" spans="1:13" x14ac:dyDescent="0.3">
      <c r="A1818" t="str">
        <f>HYPERLINK("https://hsdes.intel.com/resource/14013185674","14013185674")</f>
        <v>14013185674</v>
      </c>
      <c r="B1818" t="s">
        <v>3418</v>
      </c>
      <c r="C1818" t="s">
        <v>3428</v>
      </c>
      <c r="D1818" t="s">
        <v>3419</v>
      </c>
      <c r="E1818" t="s">
        <v>14</v>
      </c>
      <c r="G1818" t="s">
        <v>63</v>
      </c>
      <c r="H1818" s="2">
        <v>44791</v>
      </c>
      <c r="I1818" t="s">
        <v>132</v>
      </c>
      <c r="J1818" t="s">
        <v>614</v>
      </c>
      <c r="L1818" t="s">
        <v>615</v>
      </c>
      <c r="M1818" t="s">
        <v>26</v>
      </c>
    </row>
    <row r="1819" spans="1:13" x14ac:dyDescent="0.3">
      <c r="A1819" t="str">
        <f>HYPERLINK("https://hsdes.intel.com/resource/16014777355","16014777355")</f>
        <v>16014777355</v>
      </c>
      <c r="B1819" t="s">
        <v>3015</v>
      </c>
      <c r="C1819" t="s">
        <v>3428</v>
      </c>
      <c r="D1819" t="s">
        <v>2752</v>
      </c>
      <c r="E1819" t="s">
        <v>14</v>
      </c>
      <c r="G1819" t="s">
        <v>37</v>
      </c>
      <c r="I1819" t="s">
        <v>167</v>
      </c>
      <c r="J1819" t="s">
        <v>168</v>
      </c>
      <c r="L1819" t="s">
        <v>147</v>
      </c>
      <c r="M1819" t="s">
        <v>26</v>
      </c>
    </row>
    <row r="1820" spans="1:13" x14ac:dyDescent="0.3">
      <c r="A1820" t="str">
        <f>HYPERLINK("https://hsdes.intel.com/resource/16015067899","16015067899")</f>
        <v>16015067899</v>
      </c>
      <c r="B1820" t="s">
        <v>3018</v>
      </c>
      <c r="C1820" t="s">
        <v>3428</v>
      </c>
      <c r="D1820" t="s">
        <v>2752</v>
      </c>
      <c r="E1820" t="s">
        <v>14</v>
      </c>
      <c r="G1820" t="s">
        <v>37</v>
      </c>
      <c r="I1820" t="s">
        <v>167</v>
      </c>
      <c r="J1820" t="s">
        <v>168</v>
      </c>
      <c r="L1820" t="s">
        <v>147</v>
      </c>
      <c r="M1820" t="s">
        <v>26</v>
      </c>
    </row>
    <row r="1821" spans="1:13" x14ac:dyDescent="0.3">
      <c r="A1821" t="str">
        <f>HYPERLINK("https://hsdes.intel.com/resource/16015089042","16015089042")</f>
        <v>16015089042</v>
      </c>
      <c r="B1821" t="s">
        <v>3420</v>
      </c>
      <c r="C1821" t="s">
        <v>3428</v>
      </c>
      <c r="E1821" t="s">
        <v>14</v>
      </c>
      <c r="G1821" s="2" t="s">
        <v>69</v>
      </c>
      <c r="H1821" s="2">
        <v>44800</v>
      </c>
      <c r="I1821" t="s">
        <v>49</v>
      </c>
      <c r="L1821" t="s">
        <v>50</v>
      </c>
      <c r="M1821" t="s">
        <v>19</v>
      </c>
    </row>
    <row r="1822" spans="1:13" x14ac:dyDescent="0.3">
      <c r="A1822" t="str">
        <f>HYPERLINK("https://hsdes.intel.com/resource/16015170462","16015170462")</f>
        <v>16015170462</v>
      </c>
      <c r="B1822" t="s">
        <v>3021</v>
      </c>
      <c r="C1822" t="s">
        <v>3428</v>
      </c>
      <c r="E1822" t="s">
        <v>14</v>
      </c>
      <c r="G1822" t="s">
        <v>37</v>
      </c>
      <c r="I1822" t="s">
        <v>77</v>
      </c>
      <c r="L1822" t="s">
        <v>78</v>
      </c>
      <c r="M1822" t="s">
        <v>26</v>
      </c>
    </row>
    <row r="1823" spans="1:13" x14ac:dyDescent="0.3">
      <c r="A1823" t="str">
        <f>HYPERLINK("https://hsdes.intel.com/resource/16017270193","16017270193")</f>
        <v>16017270193</v>
      </c>
      <c r="B1823" t="s">
        <v>3421</v>
      </c>
      <c r="C1823" t="s">
        <v>3428</v>
      </c>
      <c r="E1823" t="s">
        <v>14</v>
      </c>
      <c r="G1823" t="s">
        <v>37</v>
      </c>
      <c r="I1823" t="s">
        <v>614</v>
      </c>
      <c r="L1823" t="s">
        <v>615</v>
      </c>
      <c r="M1823" t="s">
        <v>22</v>
      </c>
    </row>
    <row r="1824" spans="1:13" x14ac:dyDescent="0.3">
      <c r="A1824" t="str">
        <f>HYPERLINK("https://hsdes.intel.com/resource/22011834358","22011834358")</f>
        <v>22011834358</v>
      </c>
      <c r="B1824" t="s">
        <v>3022</v>
      </c>
      <c r="C1824" t="s">
        <v>3428</v>
      </c>
      <c r="D1824" t="s">
        <v>3023</v>
      </c>
      <c r="E1824" t="s">
        <v>14</v>
      </c>
      <c r="G1824" t="s">
        <v>37</v>
      </c>
      <c r="H1824" s="2">
        <v>44784</v>
      </c>
      <c r="I1824" t="s">
        <v>64</v>
      </c>
      <c r="J1824" t="s">
        <v>191</v>
      </c>
      <c r="L1824" t="s">
        <v>192</v>
      </c>
      <c r="M1824" t="s">
        <v>22</v>
      </c>
    </row>
    <row r="1825" spans="1:13" x14ac:dyDescent="0.3">
      <c r="A1825" t="str">
        <f>HYPERLINK("https://hsdes.intel.com/resource/22011834481","22011834481")</f>
        <v>22011834481</v>
      </c>
      <c r="B1825" t="s">
        <v>3422</v>
      </c>
      <c r="C1825" t="s">
        <v>3428</v>
      </c>
      <c r="D1825" t="s">
        <v>3423</v>
      </c>
      <c r="E1825" t="s">
        <v>14</v>
      </c>
      <c r="G1825" t="s">
        <v>37</v>
      </c>
      <c r="I1825" t="s">
        <v>32</v>
      </c>
      <c r="J1825" t="s">
        <v>82</v>
      </c>
      <c r="L1825" t="s">
        <v>125</v>
      </c>
      <c r="M1825" t="s">
        <v>26</v>
      </c>
    </row>
    <row r="1826" spans="1:13" x14ac:dyDescent="0.3">
      <c r="A1826" t="str">
        <f>HYPERLINK("https://hsdes.intel.com/resource/22011834488","22011834488")</f>
        <v>22011834488</v>
      </c>
      <c r="B1826" t="s">
        <v>3424</v>
      </c>
      <c r="C1826" t="s">
        <v>3428</v>
      </c>
      <c r="D1826" t="s">
        <v>3425</v>
      </c>
      <c r="E1826" t="s">
        <v>14</v>
      </c>
      <c r="G1826" t="s">
        <v>37</v>
      </c>
      <c r="I1826" t="s">
        <v>32</v>
      </c>
      <c r="J1826" t="s">
        <v>82</v>
      </c>
      <c r="L1826" t="s">
        <v>125</v>
      </c>
      <c r="M1826" t="s">
        <v>26</v>
      </c>
    </row>
    <row r="1827" spans="1:13" x14ac:dyDescent="0.3">
      <c r="A1827" t="str">
        <f>HYPERLINK("https://hsdes.intel.com/resource/22011834502","22011834502")</f>
        <v>22011834502</v>
      </c>
      <c r="B1827" t="s">
        <v>3426</v>
      </c>
      <c r="C1827" t="s">
        <v>3428</v>
      </c>
      <c r="D1827" t="s">
        <v>3427</v>
      </c>
      <c r="E1827" t="s">
        <v>14</v>
      </c>
      <c r="G1827" t="s">
        <v>37</v>
      </c>
      <c r="I1827" t="s">
        <v>32</v>
      </c>
      <c r="J1827" t="s">
        <v>82</v>
      </c>
      <c r="L1827" t="s">
        <v>125</v>
      </c>
      <c r="M1827" t="s">
        <v>26</v>
      </c>
    </row>
    <row r="1828" spans="1:13" x14ac:dyDescent="0.3">
      <c r="A1828" t="s">
        <v>3458</v>
      </c>
      <c r="B1828" t="s">
        <v>832</v>
      </c>
      <c r="C1828" t="s">
        <v>12</v>
      </c>
      <c r="D1828" t="s">
        <v>833</v>
      </c>
      <c r="E1828" t="s">
        <v>779</v>
      </c>
      <c r="F1828" s="9" t="s">
        <v>3459</v>
      </c>
      <c r="G1828" t="s">
        <v>31</v>
      </c>
      <c r="H1828" s="2">
        <v>44803</v>
      </c>
      <c r="I1828" t="s">
        <v>16</v>
      </c>
      <c r="J1828" t="s">
        <v>17</v>
      </c>
      <c r="L1828" t="s">
        <v>18</v>
      </c>
      <c r="M1828" t="s">
        <v>19</v>
      </c>
    </row>
    <row r="1829" spans="1:13" x14ac:dyDescent="0.3">
      <c r="A1829" t="s">
        <v>3460</v>
      </c>
      <c r="B1829" t="s">
        <v>840</v>
      </c>
      <c r="C1829" t="s">
        <v>12</v>
      </c>
      <c r="D1829" t="s">
        <v>841</v>
      </c>
      <c r="E1829" t="s">
        <v>779</v>
      </c>
      <c r="F1829" s="9" t="s">
        <v>3459</v>
      </c>
      <c r="G1829" t="s">
        <v>31</v>
      </c>
      <c r="H1829" s="2">
        <v>44803</v>
      </c>
      <c r="I1829" t="s">
        <v>16</v>
      </c>
      <c r="J1829" t="s">
        <v>17</v>
      </c>
      <c r="L1829" t="s">
        <v>18</v>
      </c>
      <c r="M1829" t="s">
        <v>19</v>
      </c>
    </row>
    <row r="1830" spans="1:13" x14ac:dyDescent="0.3">
      <c r="A1830" t="s">
        <v>3461</v>
      </c>
      <c r="B1830" t="s">
        <v>842</v>
      </c>
      <c r="C1830" t="s">
        <v>12</v>
      </c>
      <c r="D1830" t="s">
        <v>843</v>
      </c>
      <c r="E1830" t="s">
        <v>779</v>
      </c>
      <c r="F1830" s="9" t="s">
        <v>3459</v>
      </c>
      <c r="G1830" t="s">
        <v>31</v>
      </c>
      <c r="H1830" s="2">
        <v>44803</v>
      </c>
      <c r="I1830" t="s">
        <v>16</v>
      </c>
      <c r="J1830" t="s">
        <v>17</v>
      </c>
      <c r="L1830" t="s">
        <v>18</v>
      </c>
      <c r="M1830" t="s">
        <v>19</v>
      </c>
    </row>
    <row r="1831" spans="1:13" x14ac:dyDescent="0.3">
      <c r="A1831" t="s">
        <v>3462</v>
      </c>
      <c r="B1831" t="s">
        <v>864</v>
      </c>
      <c r="C1831" t="s">
        <v>12</v>
      </c>
      <c r="D1831" t="s">
        <v>865</v>
      </c>
      <c r="E1831" t="s">
        <v>779</v>
      </c>
      <c r="F1831" s="9" t="s">
        <v>3459</v>
      </c>
      <c r="G1831" t="s">
        <v>31</v>
      </c>
      <c r="H1831" s="2">
        <v>44803</v>
      </c>
      <c r="I1831" t="s">
        <v>16</v>
      </c>
      <c r="J1831" t="s">
        <v>17</v>
      </c>
      <c r="L1831" t="s">
        <v>18</v>
      </c>
      <c r="M1831" t="s">
        <v>19</v>
      </c>
    </row>
    <row r="1832" spans="1:13" x14ac:dyDescent="0.3">
      <c r="A1832" t="s">
        <v>3463</v>
      </c>
      <c r="B1832" t="s">
        <v>905</v>
      </c>
      <c r="C1832" t="s">
        <v>12</v>
      </c>
      <c r="D1832" t="s">
        <v>906</v>
      </c>
      <c r="E1832" t="s">
        <v>779</v>
      </c>
      <c r="F1832" s="9" t="s">
        <v>3459</v>
      </c>
      <c r="G1832" t="s">
        <v>31</v>
      </c>
      <c r="H1832" s="2">
        <v>44803</v>
      </c>
      <c r="I1832" t="s">
        <v>16</v>
      </c>
      <c r="J1832" t="s">
        <v>17</v>
      </c>
      <c r="L1832" t="s">
        <v>18</v>
      </c>
      <c r="M1832" t="s">
        <v>19</v>
      </c>
    </row>
    <row r="1833" spans="1:13" x14ac:dyDescent="0.3">
      <c r="A1833" t="s">
        <v>3464</v>
      </c>
      <c r="B1833" t="s">
        <v>907</v>
      </c>
      <c r="C1833" t="s">
        <v>12</v>
      </c>
      <c r="D1833" t="s">
        <v>908</v>
      </c>
      <c r="E1833" t="s">
        <v>779</v>
      </c>
      <c r="F1833" s="9" t="s">
        <v>3459</v>
      </c>
      <c r="G1833" t="s">
        <v>31</v>
      </c>
      <c r="H1833" s="2">
        <v>44803</v>
      </c>
      <c r="I1833" t="s">
        <v>16</v>
      </c>
      <c r="J1833" t="s">
        <v>17</v>
      </c>
      <c r="L1833" t="s">
        <v>18</v>
      </c>
      <c r="M1833" t="s">
        <v>19</v>
      </c>
    </row>
    <row r="1834" spans="1:13" x14ac:dyDescent="0.3">
      <c r="A1834" t="s">
        <v>3465</v>
      </c>
      <c r="B1834" t="s">
        <v>909</v>
      </c>
      <c r="C1834" t="s">
        <v>12</v>
      </c>
      <c r="D1834" t="s">
        <v>910</v>
      </c>
      <c r="E1834" t="s">
        <v>779</v>
      </c>
      <c r="F1834" s="9" t="s">
        <v>3459</v>
      </c>
      <c r="G1834" t="s">
        <v>31</v>
      </c>
      <c r="H1834" s="2">
        <v>44803</v>
      </c>
      <c r="I1834" t="s">
        <v>16</v>
      </c>
      <c r="J1834" t="s">
        <v>17</v>
      </c>
      <c r="L1834" t="s">
        <v>18</v>
      </c>
      <c r="M1834" t="s">
        <v>19</v>
      </c>
    </row>
    <row r="1835" spans="1:13" x14ac:dyDescent="0.3">
      <c r="A1835" t="s">
        <v>3466</v>
      </c>
      <c r="B1835" t="s">
        <v>911</v>
      </c>
      <c r="C1835" t="s">
        <v>12</v>
      </c>
      <c r="D1835" t="s">
        <v>912</v>
      </c>
      <c r="E1835" t="s">
        <v>779</v>
      </c>
      <c r="F1835" s="9" t="s">
        <v>3459</v>
      </c>
      <c r="G1835" t="s">
        <v>31</v>
      </c>
      <c r="H1835" s="2">
        <v>44803</v>
      </c>
      <c r="I1835" t="s">
        <v>16</v>
      </c>
      <c r="J1835" t="s">
        <v>17</v>
      </c>
      <c r="L1835" t="s">
        <v>18</v>
      </c>
      <c r="M1835" t="s">
        <v>19</v>
      </c>
    </row>
  </sheetData>
  <autoFilter ref="A1:M1835" xr:uid="{61828CD8-0BD3-4D06-8143-9530FC8FF132}"/>
  <customSheetViews>
    <customSheetView guid="{8A79E363-24E9-4EA3-830A-2B98826C3F5D}" scale="102" filter="1" showAutoFilter="1">
      <selection activeCell="C1" sqref="C1"/>
      <pageMargins left="0.7" right="0.7" top="0.75" bottom="0.75" header="0.3" footer="0.3"/>
      <pageSetup orientation="portrait" r:id="rId1"/>
      <autoFilter ref="A1:M1845" xr:uid="{6813A071-E410-4CAD-980A-1DE330E9746A}">
        <filterColumn colId="2">
          <filters>
            <filter val="GC"/>
          </filters>
        </filterColumn>
      </autoFilter>
    </customSheetView>
  </customSheetViews>
  <conditionalFormatting sqref="A1307:A1378">
    <cfRule type="duplicateValues" dxfId="11" priority="11"/>
  </conditionalFormatting>
  <conditionalFormatting sqref="A1379:A1450">
    <cfRule type="duplicateValues" dxfId="10" priority="10"/>
  </conditionalFormatting>
  <conditionalFormatting sqref="A1451:A1502">
    <cfRule type="duplicateValues" dxfId="9" priority="9"/>
  </conditionalFormatting>
  <conditionalFormatting sqref="A1503:A1573">
    <cfRule type="duplicateValues" dxfId="8" priority="8"/>
  </conditionalFormatting>
  <conditionalFormatting sqref="A1503:A1573">
    <cfRule type="duplicateValues" dxfId="7" priority="7"/>
  </conditionalFormatting>
  <conditionalFormatting sqref="A1574:A1594">
    <cfRule type="duplicateValues" dxfId="6" priority="6"/>
  </conditionalFormatting>
  <conditionalFormatting sqref="A1595:A1705">
    <cfRule type="duplicateValues" dxfId="5" priority="5"/>
  </conditionalFormatting>
  <conditionalFormatting sqref="A1706:A1827">
    <cfRule type="duplicateValues" dxfId="4" priority="4"/>
  </conditionalFormatting>
  <conditionalFormatting sqref="A1828:A1835">
    <cfRule type="duplicateValues" dxfId="3" priority="3"/>
  </conditionalFormatting>
  <conditionalFormatting sqref="A1828:A1835">
    <cfRule type="duplicateValues" dxfId="2" priority="2"/>
  </conditionalFormatting>
  <conditionalFormatting sqref="A1:A1048576">
    <cfRule type="duplicateValues" dxfId="1" priority="1"/>
  </conditionalFormatting>
  <conditionalFormatting sqref="A1:A1306">
    <cfRule type="duplicateValues" dxfId="0" priority="30"/>
  </conditionalFormatting>
  <hyperlinks>
    <hyperlink ref="F1473" r:id="rId2" display="javascript:WebForm_DoPostBackWithOptions(new WebForm_PostBackOptions(%22ctl00$MainContent$gdvClarification$ctl02$lnkTCID%22, %22%22, true, %22%22, %22%22, false, true))" xr:uid="{A6FB9F51-D8C2-4564-ACA9-70CB1AC9CDEC}"/>
  </hyperlinks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37005AFD410149AB0467987C6812AA" ma:contentTypeVersion="2" ma:contentTypeDescription="Create a new document." ma:contentTypeScope="" ma:versionID="aea98b1ee79cfeb2f75cda00bc53f3f7">
  <xsd:schema xmlns:xsd="http://www.w3.org/2001/XMLSchema" xmlns:xs="http://www.w3.org/2001/XMLSchema" xmlns:p="http://schemas.microsoft.com/office/2006/metadata/properties" xmlns:ns2="66d86815-3d6a-4b49-a283-3d87f045c0dd" targetNamespace="http://schemas.microsoft.com/office/2006/metadata/properties" ma:root="true" ma:fieldsID="0ef89f80a10fa99230c5cb76345df4c7" ns2:_="">
    <xsd:import namespace="66d86815-3d6a-4b49-a283-3d87f045c0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d86815-3d6a-4b49-a283-3d87f045c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C51FB4-958D-412F-8E04-7742EE5936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d86815-3d6a-4b49-a283-3d87f045c0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B88F60-8B2F-412B-AE91-77B1821F89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239FD4-139A-42A9-951F-E8A9891BFA1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Vasanth1X</dc:creator>
  <cp:lastModifiedBy>Agarwal, Naman</cp:lastModifiedBy>
  <dcterms:created xsi:type="dcterms:W3CDTF">2022-08-30T05:20:47Z</dcterms:created>
  <dcterms:modified xsi:type="dcterms:W3CDTF">2022-12-07T09:59:53Z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0x0101005737005AFD410149AB0467987C6812AA</vt:lpwstr>
  </property>
</Properties>
</file>