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0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eports\FV\"/>
    </mc:Choice>
  </mc:AlternateContent>
  <xr:revisionPtr revIDLastSave="0" documentId="13_ncr:81_{E4BBCF3E-654C-4FA4-9D60-3EC456E31014}" xr6:coauthVersionLast="47" xr6:coauthVersionMax="47" xr10:uidLastSave="{00000000-0000-0000-0000-000000000000}"/>
  <bookViews>
    <workbookView xWindow="-108" yWindow="-108" windowWidth="23256" windowHeight="12576" xr2:uid="{6ED80322-FD12-48C9-8446-95F7B9D82B20}"/>
  </bookViews>
  <sheets>
    <sheet name="Sheet1" sheetId="1" r:id="rId1"/>
  </sheets>
  <definedNames>
    <definedName name="_xlnm._FilterDatabase" localSheetId="0" hidden="1">Sheet1!$A$1:$P$2136</definedName>
    <definedName name="Z_079499D2_10B9_47D6_B43F_ECE40F57D846_.wvu.FilterData" localSheetId="0" hidden="1">Sheet1!$A$1:$M$2136</definedName>
    <definedName name="Z_0815ECB6_D193_4EB4_84B9_A3539CD025E7_.wvu.FilterData" localSheetId="0" hidden="1">Sheet1!$A$1:$M$2136</definedName>
    <definedName name="Z_09B2D11E_036E_4522_AC5F_A0C9F775118B_.wvu.FilterData" localSheetId="0" hidden="1">Sheet1!$A$1:$P$2136</definedName>
    <definedName name="Z_09DB3CC5_4A6A_4E87_B448_A6E5D71ABAA3_.wvu.FilterData" localSheetId="0" hidden="1">Sheet1!$A$1:$P$2136</definedName>
    <definedName name="Z_1E82479C_8178_46A3_99CC_2A1B01D1215D_.wvu.FilterData" localSheetId="0" hidden="1">Sheet1!$A$1:$M$2136</definedName>
    <definedName name="Z_242D23DC_3162_49D8_A6FF_75C5442B7D89_.wvu.FilterData" localSheetId="0" hidden="1">Sheet1!$A$1:$P$2136</definedName>
    <definedName name="Z_31A40D91_356E_445D_8B23_6AD4A5B5BB7F_.wvu.FilterData" localSheetId="0" hidden="1">Sheet1!$A$1:$M$2136</definedName>
    <definedName name="Z_36F83137_3DD0_42DD_A893_C87ED4299231_.wvu.FilterData" localSheetId="0" hidden="1">Sheet1!$A$1:$P$2136</definedName>
    <definedName name="Z_39DCAA26_D09D_4E58_A7E5_68BD1E719D7B_.wvu.FilterData" localSheetId="0" hidden="1">Sheet1!$A$1:$P$2136</definedName>
    <definedName name="Z_3C526FD2_A95F_451E_8023_0C05040DA509_.wvu.FilterData" localSheetId="0" hidden="1">Sheet1!$A$1:$M$2136</definedName>
    <definedName name="Z_3DFC3897_3C4A_40F0_B34C_B29F93D91537_.wvu.FilterData" localSheetId="0" hidden="1">Sheet1!$A$1:$M$2136</definedName>
    <definedName name="Z_42125731_D3DF_440A_8617_7AE5A7FD5352_.wvu.FilterData" localSheetId="0" hidden="1">Sheet1!$A$1:$P$2136</definedName>
    <definedName name="Z_4694DAB0_ACCD_4A72_A2CD_0C6916B0E36F_.wvu.FilterData" localSheetId="0" hidden="1">Sheet1!$A$1:$P$2136</definedName>
    <definedName name="Z_57DDAC49_C7DD_46BB_9D33_507EDA507DBF_.wvu.FilterData" localSheetId="0" hidden="1">Sheet1!$A$1:$M$2136</definedName>
    <definedName name="Z_5C410C56_CEB5_4765_BB55_43230A2184A9_.wvu.FilterData" localSheetId="0" hidden="1">Sheet1!$A$1:$P$2136</definedName>
    <definedName name="Z_60ECE924_7A48_4FEA_AB93_6E6E8D3658E7_.wvu.FilterData" localSheetId="0" hidden="1">Sheet1!$A$1:$M$2136</definedName>
    <definedName name="Z_7030A501_30A0_42A0_A6F9_1A7DE340DA7A_.wvu.FilterData" localSheetId="0" hidden="1">Sheet1!$A$1:$M$2136</definedName>
    <definedName name="Z_816E84CC_9506_465E_9C48_BFF7AB97D33D_.wvu.FilterData" localSheetId="0" hidden="1">Sheet1!$A$1:$P$2136</definedName>
    <definedName name="Z_846AD1D6_1AA0_4493_B45E_881E584ADC89_.wvu.FilterData" localSheetId="0" hidden="1">Sheet1!$A$1:$M$2136</definedName>
    <definedName name="Z_8A02CA5B_B001_4F2C_94C0_F49A6533ED02_.wvu.FilterData" localSheetId="0" hidden="1">Sheet1!$A$1:$M$2136</definedName>
    <definedName name="Z_A28A7532_2E24_46C2_A2A7_76F75C510262_.wvu.FilterData" localSheetId="0" hidden="1">Sheet1!$A$1:$M$2136</definedName>
    <definedName name="Z_B02A58B0_52CA_4F8A_A4B3_58C90CF4495A_.wvu.FilterData" localSheetId="0" hidden="1">Sheet1!$A$1:$P$2136</definedName>
    <definedName name="Z_BA2DF4A5_5456_428F_AF50_805C36C633F4_.wvu.FilterData" localSheetId="0" hidden="1">Sheet1!$A$1:$M$2136</definedName>
    <definedName name="Z_BD4A3908_38B1_4B7F_98C4_5CF8C281AE94_.wvu.FilterData" localSheetId="0" hidden="1">Sheet1!$A$1:$M$2136</definedName>
    <definedName name="Z_DC5863E7_A692_4487_8AC2_ED169956D883_.wvu.FilterData" localSheetId="0" hidden="1">Sheet1!$A$1:$M$2136</definedName>
    <definedName name="Z_DF14F78C_0072_45A1_9A58_0AE2FE318AF5_.wvu.FilterData" localSheetId="0" hidden="1">Sheet1!$A$1:$M$2136</definedName>
    <definedName name="Z_E898421F_68B8_4202_A540_E41CCE66AB2A_.wvu.FilterData" localSheetId="0" hidden="1">Sheet1!$A$1:$P$2136</definedName>
    <definedName name="Z_EB287F3A_4C7E_49C8_9F26_7615807EE190_.wvu.FilterData" localSheetId="0" hidden="1">Sheet1!$A$1:$P$2136</definedName>
    <definedName name="Z_F026DC35_567C_43B3_A484_39806B390DEE_.wvu.FilterData" localSheetId="0" hidden="1">Sheet1!$A$1:$P$2136</definedName>
  </definedNames>
  <calcPr calcId="191029"/>
  <customWorkbookViews>
    <customWorkbookView name="Anil Kariyil, AnjuX - Personal View" guid="{42125731-D3DF-440A-8617-7AE5A7FD5352}" mergeInterval="0" personalView="1" xWindow="10" yWindow="16" windowWidth="1910" windowHeight="1014" activeSheetId="1"/>
    <customWorkbookView name="Wilson, JeffyX George - Personal View" guid="{09B2D11E-036E-4522-AC5F-A0C9F775118B}" mergeInterval="0" personalView="1" minimized="1" windowWidth="0" windowHeight="0" activeSheetId="1"/>
    <customWorkbookView name="Deivasigamani, SwethaX - Personal View" guid="{4694DAB0-ACCD-4A72-A2CD-0C6916B0E36F}" mergeInterval="0" personalView="1" maximized="1" xWindow="-11" yWindow="-11" windowWidth="1942" windowHeight="1042" activeSheetId="1"/>
    <customWorkbookView name="Kumar, Vasanth1X - Personal View" guid="{E898421F-68B8-4202-A540-E41CCE66AB2A}" mergeInterval="0" personalView="1" maximized="1" xWindow="-9" yWindow="-9" windowWidth="1938" windowHeight="1048" activeSheetId="1"/>
    <customWorkbookView name="Tamilarasan, PrasanthX - Personal View" guid="{8A02CA5B-B001-4F2C-94C0-F49A6533ED02}" mergeInterval="0" personalView="1" maximized="1" xWindow="-9" yWindow="-9" windowWidth="1938" windowHeight="1048" activeSheetId="1"/>
    <customWorkbookView name="Sha, MuhammedX C S - Personal View" guid="{36F83137-3DD0-42DD-A893-C87ED4299231}" mergeInterval="0" personalView="1" maximized="1" xWindow="-9" yWindow="-9" windowWidth="1938" windowHeight="1048" activeSheetId="1"/>
    <customWorkbookView name="Pm, KalyaniX - Personal View" guid="{079499D2-10B9-47D6-B43F-ECE40F57D846}" mergeInterval="0" personalView="1" maximized="1" xWindow="-9" yWindow="-9" windowWidth="1938" windowHeight="1048" activeSheetId="1"/>
    <customWorkbookView name="Fakurthin, VaahithX - Personal View" guid="{F026DC35-567C-43B3-A484-39806B390DEE}" mergeInterval="0" personalView="1" maximized="1" xWindow="-9" yWindow="-9" windowWidth="1938" windowHeight="1048" activeSheetId="1"/>
    <customWorkbookView name="Rajikumar, DivyaX - Personal View" guid="{816E84CC-9506-465E-9C48-BFF7AB97D33D}" mergeInterval="0" personalView="1" maximized="1" xWindow="-9" yWindow="-9" windowWidth="1938" windowHeight="1048" activeSheetId="1"/>
    <customWorkbookView name="Rajanna, ManasaX - Personal View" guid="{EB287F3A-4C7E-49C8-9F26-7615807EE190}" mergeInterval="0" personalView="1" maximized="1" xWindow="-11" yWindow="-11" windowWidth="1942" windowHeight="1042" activeSheetId="1"/>
    <customWorkbookView name="Rathod, AmbikaX - Personal View" guid="{5C410C56-CEB5-4765-BB55-43230A2184A9}" mergeInterval="0" personalView="1" maximized="1" xWindow="-9" yWindow="-9" windowWidth="1938" windowHeight="1048" activeSheetId="1"/>
    <customWorkbookView name="Agarwal, Naman - Personal View" guid="{09DB3CC5-4A6A-4E87-B448-A6E5D71ABAA3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00" i="1" l="1"/>
  <c r="A912" i="1" l="1"/>
  <c r="F285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41" i="1"/>
  <c r="A740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39" i="1"/>
  <c r="A438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02" i="1"/>
  <c r="A101" i="1"/>
  <c r="A100" i="1"/>
  <c r="A99" i="1"/>
  <c r="A98" i="1"/>
  <c r="A97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<sst xmlns="http://schemas.openxmlformats.org/spreadsheetml/2006/main" count="19688" uniqueCount="3650">
  <si>
    <t>Config</t>
  </si>
  <si>
    <t>jama_id</t>
  </si>
  <si>
    <t>Actul Results</t>
  </si>
  <si>
    <t>Date</t>
  </si>
  <si>
    <t>automation_status</t>
  </si>
  <si>
    <t>domain</t>
  </si>
  <si>
    <t>jama_platform_feature_and_capability</t>
  </si>
  <si>
    <t>test_complexity</t>
  </si>
  <si>
    <t>Verify Charging of SUT using USB Type C port via USB Type C adaptor in dead battery condition</t>
  </si>
  <si>
    <t>DC1</t>
  </si>
  <si>
    <t>CSS-IVE-50923</t>
  </si>
  <si>
    <t>passed</t>
  </si>
  <si>
    <t>sha</t>
  </si>
  <si>
    <t>Automatable</t>
  </si>
  <si>
    <t>power_management</t>
  </si>
  <si>
    <t>Embedded controller and Power sources</t>
  </si>
  <si>
    <t>Low</t>
  </si>
  <si>
    <t>Verify charging of battery using USB Type C Port after restart</t>
  </si>
  <si>
    <t>CSS-IVE-50924</t>
  </si>
  <si>
    <t>io_usb.type_c_subsystem</t>
  </si>
  <si>
    <t>TCSS</t>
  </si>
  <si>
    <t>High</t>
  </si>
  <si>
    <t>Verify charging of battery using USB Type C Port in CMS State</t>
  </si>
  <si>
    <t>CSS-IVE-50926</t>
  </si>
  <si>
    <t>Medium</t>
  </si>
  <si>
    <t>Validate Hybrid Graphics (HG) enumeration at OS with DP display connected on SUT</t>
  </si>
  <si>
    <t>CSS-IVE-52477</t>
  </si>
  <si>
    <t>manohar</t>
  </si>
  <si>
    <t>graphics</t>
  </si>
  <si>
    <t>Display, Graphics, Video and Audio</t>
  </si>
  <si>
    <t>Verify touch panel connected through I2C bus are detected and functional in OS.</t>
  </si>
  <si>
    <t>CSS-IVE-52494</t>
  </si>
  <si>
    <t>inprogress</t>
  </si>
  <si>
    <t>display</t>
  </si>
  <si>
    <t>Touch &amp; Sensing</t>
  </si>
  <si>
    <t>Verify Dual display is working in Clone mode (onboard eDP+HDMI) with S4, S5, warm and cold reset cycles</t>
  </si>
  <si>
    <t>CSS-IVE-70040</t>
  </si>
  <si>
    <t>NA</t>
  </si>
  <si>
    <t>Verify Dual display is working in Clone mode with (onboard eDP+HDMI) S3 cycles</t>
  </si>
  <si>
    <t>CSS-IVE-70340</t>
  </si>
  <si>
    <t>BIOS-CS: Verify Battery Charging/ Discharging happening in connected Standby</t>
  </si>
  <si>
    <t>CSS-IVE-71012</t>
  </si>
  <si>
    <t>power_management.battery</t>
  </si>
  <si>
    <t>Verify basic Power Button Functionality in   DC  mode</t>
  </si>
  <si>
    <t>CSS-IVE-85621</t>
  </si>
  <si>
    <t>reset</t>
  </si>
  <si>
    <t>Verify SUT gets charged via Type-C Docking along with 2K DP and USB 3.0 devices connected</t>
  </si>
  <si>
    <t>CSS-IVE-94326</t>
  </si>
  <si>
    <t>Verify SUT gets charged via Type-C Docking during Sx (S3,S4 and S5 ) states</t>
  </si>
  <si>
    <t>CSS-IVE-94327</t>
  </si>
  <si>
    <t>Verify SUT gets charged via Type-C Docking during Connected MoS state</t>
  </si>
  <si>
    <t>CSS-IVE-94328</t>
  </si>
  <si>
    <t>Verify Touch Host Controller"s BDF to enable iTouch</t>
  </si>
  <si>
    <t>CSS-IVE-97231</t>
  </si>
  <si>
    <t>[TBT] Verify Concurrent support of Charging SUT and TBT functionality</t>
  </si>
  <si>
    <t>CSS-IVE-84967</t>
  </si>
  <si>
    <t>Verify SUT Battery Charging in Sx state through TBT port (Consumer Mode)</t>
  </si>
  <si>
    <t>CSS-IVE-87029</t>
  </si>
  <si>
    <t>Verify Client SUT Battery charging via TBT port (Producer Mode)</t>
  </si>
  <si>
    <t>CSS-IVE-87030</t>
  </si>
  <si>
    <t>[TBT] Verify TBT Storage functionality with   DC  source</t>
  </si>
  <si>
    <t>CSS-IVE-86882</t>
  </si>
  <si>
    <t>Verify SUT gets charged via Type-C Docking along with 4K Display and USB2.0 devices connected</t>
  </si>
  <si>
    <t>CSS-IVE-100095</t>
  </si>
  <si>
    <t>BIOS shall send the DRAM_INIT_DONE message &amp; complete GFX initialization before getting the boot options</t>
  </si>
  <si>
    <t>CSS-IVE-102063</t>
  </si>
  <si>
    <t>Debug</t>
  </si>
  <si>
    <t>manageability</t>
  </si>
  <si>
    <t>Manageability Support</t>
  </si>
  <si>
    <t>ISH Sensor Functionality pre and post S3 cycle - Altimeter</t>
  </si>
  <si>
    <t>CSS-IVE-102207</t>
  </si>
  <si>
    <t>sensor</t>
  </si>
  <si>
    <t>ISH Sensor Functionality post S4 cycle - Altimeter</t>
  </si>
  <si>
    <t>CSS-IVE-102208</t>
  </si>
  <si>
    <t>ISH Sensor Functionality post S5 cycle - Altimeter</t>
  </si>
  <si>
    <t>CSS-IVE-102209</t>
  </si>
  <si>
    <t>Verify Battery-Charging during S3 and after S3 using Type-C Power Bank</t>
  </si>
  <si>
    <t>CSS-IVE-102296</t>
  </si>
  <si>
    <t>Verify Charging Priority after S3</t>
  </si>
  <si>
    <t>CSS-IVE-102309</t>
  </si>
  <si>
    <t>CLID -8253</t>
  </si>
  <si>
    <t>Verify concurrent support of onboard HD audio and charging SUT via Type-C port</t>
  </si>
  <si>
    <t>CSS-IVE-105543</t>
  </si>
  <si>
    <t>soundwire</t>
  </si>
  <si>
    <t>Vasanth</t>
  </si>
  <si>
    <t>Verify P-state cycling in Normal charging mode and fast charging mode</t>
  </si>
  <si>
    <t>CSS-IVE-113800</t>
  </si>
  <si>
    <t>Failed</t>
  </si>
  <si>
    <t>Power Management</t>
  </si>
  <si>
    <t>Verify Single touch functionality when both controllers (THC0 and THC1) Disabled</t>
  </si>
  <si>
    <t>CSS-IVE-113814</t>
  </si>
  <si>
    <t>Verify Coexistence of Discrete Wi-Fi and Bluetooth functionality in OS after Connected Modern Standby cycles</t>
  </si>
  <si>
    <t>CSS-IVE-117092</t>
  </si>
  <si>
    <t>connectivity</t>
  </si>
  <si>
    <t>Networking and Connectivity</t>
  </si>
  <si>
    <t>Verify Network functionality using AIC connected over PCIe slot after cold Boot/warm reset</t>
  </si>
  <si>
    <t>CSS-IVE-118277</t>
  </si>
  <si>
    <t>Verify Network functionality using AIC connected over PCIe slot after Sx cycles</t>
  </si>
  <si>
    <t>CSS-IVE-118278</t>
  </si>
  <si>
    <t>Validate USB4 Hub Device functionality during  DeepSx Cycle</t>
  </si>
  <si>
    <t>CSS-IVE-133221</t>
  </si>
  <si>
    <t>Verify system wakes from Connected Modern Standby (CMS ) state via Touch Panel(I2C)</t>
  </si>
  <si>
    <t>CSS-IVE-135352</t>
  </si>
  <si>
    <t>Verify Memory LPDDR4/LPDDR4x 16GB Memory Down configuration functionality</t>
  </si>
  <si>
    <t>CSS-IVE-118084</t>
  </si>
  <si>
    <t>memory</t>
  </si>
  <si>
    <t>Memory Technologies and Topologies</t>
  </si>
  <si>
    <t>Verify that MRC training  in LPDDR4x/DDR4 at 3200  with Gear 2</t>
  </si>
  <si>
    <t>CSS-IVE-133318</t>
  </si>
  <si>
    <t>CLID-8268</t>
  </si>
  <si>
    <t>Performance and Responsiveness</t>
  </si>
  <si>
    <t>Verify that MRC training  in LPDDR4x at1600/LPDDR5  with Gear 1 (2R/1R)</t>
  </si>
  <si>
    <t>CSS-IVE-138223</t>
  </si>
  <si>
    <t>Verify that system resumes after S3/S4 states in Hybrid Graphics (HG) mode with eDP display connected in SUT</t>
  </si>
  <si>
    <t>CSS-IVE-62444</t>
  </si>
  <si>
    <t>Verify Dual display is working in Clone mode (onboard eDP+HDMI)</t>
  </si>
  <si>
    <t>CSS-IVE-67824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</si>
  <si>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</si>
  <si>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</si>
  <si>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</si>
  <si>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</si>
  <si>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AVStream Enumerated as GFX Child - with Switchable Graphics</t>
  </si>
  <si>
    <t>CSS-IVE-70921</t>
  </si>
  <si>
    <t>Verify onboard graphics driver can be Installed/uninstalled without issue in single display mode for DP</t>
  </si>
  <si>
    <t>CSS-IVE-70954</t>
  </si>
  <si>
    <t>Verify HG device RTD3 status on PCI Express</t>
  </si>
  <si>
    <t>CSS-IVE-70957</t>
  </si>
  <si>
    <t xml:space="preserve">As per CO TC is NA Because HDMI Native port is not there </t>
  </si>
  <si>
    <t>Verify S3,S4 &amp; S5 entry &amp; exit using power button in Hybrid Graphics (HG) mode</t>
  </si>
  <si>
    <t>CSS-IVE-71189</t>
  </si>
  <si>
    <t>Check the LED/Fan indication on the Hybrid Graphics (HG) card during boot and OS</t>
  </si>
  <si>
    <t>CSS-IVE-71190</t>
  </si>
  <si>
    <t>Verify iGFX functionality of Hybrid Graphics (HG) card connected system after disabling HG</t>
  </si>
  <si>
    <t>CSS-IVE-71248</t>
  </si>
  <si>
    <t>Stress Test_Verify HG and iGfx enumeration and functionality during S3/S4/S5 cycles</t>
  </si>
  <si>
    <t>CSS-IVE-71249</t>
  </si>
  <si>
    <t>PerformanceTest_Verify system performance when SG/HG enabled</t>
  </si>
  <si>
    <t>CSS-IVE-71250</t>
  </si>
  <si>
    <t>Validate system stability, S3, S4 and cold boot with 3D benchmark tool with Hybrid Gfx mode on PCIE-X4 slot</t>
  </si>
  <si>
    <t>CSS-IVE-80935</t>
  </si>
  <si>
    <t>Validate System stability during Enable/Disable of HG Card on PCIE-X4 slot</t>
  </si>
  <si>
    <t>CSS-IVE-88801</t>
  </si>
  <si>
    <t>Check system stability during uninstalling and installing different Hybrid Graphics (HG) cards with Drivers</t>
  </si>
  <si>
    <t>CSS-IVE-88804</t>
  </si>
  <si>
    <t>As per CO TC is NA Because HDMI Native port is not available</t>
  </si>
  <si>
    <t>Verify Audio recording and playback over 3.5mm-Jack-Headset (via Soundwire), pre and post S0i3 cycle</t>
  </si>
  <si>
    <t>CSS-IVE-114673</t>
  </si>
  <si>
    <t>audio</t>
  </si>
  <si>
    <t>Verify Audio recording and playback over 3.5mm-Jack-Headset (via Soundwire), pre and post S3 cycle</t>
  </si>
  <si>
    <t>CSS-IVE-114676</t>
  </si>
  <si>
    <t>Verify DashG device RTD3 status on PCI Express</t>
  </si>
  <si>
    <t>CSS-IVE-119040</t>
  </si>
  <si>
    <t>CLID-8727</t>
  </si>
  <si>
    <t>Verify Touch Panel should be enumerated as a PCI device</t>
  </si>
  <si>
    <t>CSS-IVE-86487</t>
  </si>
  <si>
    <t>Verify user can create/delete RAID volume using RstVmdConfig.efi</t>
  </si>
  <si>
    <t>CSS-IVE-129713</t>
  </si>
  <si>
    <t>storage</t>
  </si>
  <si>
    <t>Internal and External Storage</t>
  </si>
  <si>
    <t>Verify Touch Panel(I2C) enumeration and functionality in OS pre and post Sx cycles</t>
  </si>
  <si>
    <t>CSS-IVE-133612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</si>
  <si>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</si>
  <si>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</si>
  <si>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</si>
  <si>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</si>
  <si>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DMIC basic functionality test with Soundwire Codec, pre and post CMS cycles</t>
  </si>
  <si>
    <t>CSS-IVE-145625</t>
  </si>
  <si>
    <t>Verify the Dual Display functionality (onboard eDP+DP) in OS pre and Post S4, S5, warm and cold reboot cycles</t>
  </si>
  <si>
    <t>CSS-IVE-145175</t>
  </si>
  <si>
    <t>cc</t>
  </si>
  <si>
    <t>Verify Audio recording and playback over 3.5mm-Jack-Headset (via Soundwire), pre and post S4, S5, warm and cold reset cycles</t>
  </si>
  <si>
    <t>CSS-IVE-145187</t>
  </si>
  <si>
    <t>Verify discrete Wi-Fi wake event from S0i3</t>
  </si>
  <si>
    <t>CSS-IVE-71105</t>
  </si>
  <si>
    <t>CLID -8694</t>
  </si>
  <si>
    <t>Verify DashG (DG2) graphics functionality with RTD3 on Mobile Reference Board (MRB)</t>
  </si>
  <si>
    <t>CSS-IVE-146984</t>
  </si>
  <si>
    <t>Negative: Verify DMIC basic functionality test over Soundwire Audio Codec</t>
  </si>
  <si>
    <t>CSS-IVE-145663</t>
  </si>
  <si>
    <t>Verify VRAM self refresh support with DashG (DG2) graphics functionality on Mobile Reference Board (MRB)</t>
  </si>
  <si>
    <t>Negative: Verify Audio Playback using 3.5mm-Jack-Headset over Soundwire Codec</t>
  </si>
  <si>
    <t>Verify that the Discrete VPU device enumeration, pre and post S4, S5, warm and cold reset cycles</t>
  </si>
  <si>
    <t>CSS-IVE-147002</t>
  </si>
  <si>
    <t>artificial_intelligence.vpu</t>
  </si>
  <si>
    <t>Verify memory LPDDR4x_8GB_2933Mhz_Memory Down configuration functionality</t>
  </si>
  <si>
    <t>CSS-IVE-119150</t>
  </si>
  <si>
    <t>14013158695</t>
  </si>
  <si>
    <t>Verify TBT RTD3 entry and exit in a Daisy chain</t>
  </si>
  <si>
    <t>CSS-IVE-118924</t>
  </si>
  <si>
    <t>14013158792</t>
  </si>
  <si>
    <t>[TBT] Verify TBT-External Graphics functionality with Discrete graphics after Sx and reboot cycles</t>
  </si>
  <si>
    <t>CSS-IVE-94002</t>
  </si>
  <si>
    <t>Jama_Not_Evaluated</t>
  </si>
  <si>
    <t>22011834247</t>
  </si>
  <si>
    <t>Verify hot-plug functionality of TBT Daisy chain between S3 and resume phases</t>
  </si>
  <si>
    <t>CSS-IVE-118812</t>
  </si>
  <si>
    <t>22011834254</t>
  </si>
  <si>
    <t>Verify hot-plug functionality of TBT Daisy chain between S4 and resume phases</t>
  </si>
  <si>
    <t>CSS-IVE-118813</t>
  </si>
  <si>
    <t>22011834261</t>
  </si>
  <si>
    <t>[TBT] Verify wake from S3 using USB Keyboard/Mouse of TBT Daisy chain</t>
  </si>
  <si>
    <t>CSS-IVE-118815</t>
  </si>
  <si>
    <t>22011834267</t>
  </si>
  <si>
    <t>[TBT] Verify wake from S3 using USB Keyboard/Mouse of TBT Daisy chain with a USB keyboard or mouse</t>
  </si>
  <si>
    <t>CSS-IVE-118817</t>
  </si>
  <si>
    <t>22011834277</t>
  </si>
  <si>
    <t>[TBT] Verify wake from S3 using USB Keyboard/Mouse connected over TBT-Daisy chain device</t>
  </si>
  <si>
    <t>CSS-IVE-118894</t>
  </si>
  <si>
    <t>22011834363</t>
  </si>
  <si>
    <t>Validate Type-C USB3.2 gen2 Host Mode functionality - after G3 and Warm reboot cycles</t>
  </si>
  <si>
    <t>CSS-IVE-113751</t>
  </si>
  <si>
    <t>22011834371</t>
  </si>
  <si>
    <t>Verify USB3.2 Gen2 device functionality with pre and post Sx cycles over Type-C port</t>
  </si>
  <si>
    <t>CSS-IVE-113755</t>
  </si>
  <si>
    <t>22011834384</t>
  </si>
  <si>
    <t>Validate Type-C USB3.2 gen2x2 host mode functionality on hot insert and removal over Type-C port</t>
  </si>
  <si>
    <t>CSS-IVE-113757</t>
  </si>
  <si>
    <t>22011834386</t>
  </si>
  <si>
    <t>Verify USB3.2 gen2 device functionality before/after CMS state over Type-C port</t>
  </si>
  <si>
    <t>CSS-IVE-113758</t>
  </si>
  <si>
    <t>22011834396</t>
  </si>
  <si>
    <t>Verify Type-C multi port functionality - Consumer, Digital Audio and USB3.2 Gen2 SSD</t>
  </si>
  <si>
    <t>CSS-IVE-113763</t>
  </si>
  <si>
    <t>22011834401</t>
  </si>
  <si>
    <t>Verify Type-C multi port functionality - Consumer, Digital Audio and USB3.2 Gen2 SSD after G3 and reboot cycle</t>
  </si>
  <si>
    <t>CSS-IVE-113764</t>
  </si>
  <si>
    <t>22011834406</t>
  </si>
  <si>
    <t>Verify Type-C multi port functionality - Consumer, Digital Audio and USB3.2 Gen2 SSD after Sx Cycles</t>
  </si>
  <si>
    <t>CSS-IVE-113765</t>
  </si>
  <si>
    <t>22011834412</t>
  </si>
  <si>
    <t>Verify Type-C multi port functionality - Consumer, Digital Audio and USB3.2 Gen2 SSD after CMS state</t>
  </si>
  <si>
    <t>CSS-IVE-113767</t>
  </si>
  <si>
    <t>22011834422</t>
  </si>
  <si>
    <t>[TBT] Verify connection Swap during S3 with all Type-C ports - USB3.2 Gen2, USB3.0 Hub and USB2.0</t>
  </si>
  <si>
    <t>CSS-IVE-113770</t>
  </si>
  <si>
    <t>22011834426</t>
  </si>
  <si>
    <t>[TBT] Verify connection Swap during S4 with all Type-C ports - USB3.2 Gen2, USB3.0 Hub and USB2.0</t>
  </si>
  <si>
    <t>CSS-IVE-113771</t>
  </si>
  <si>
    <t>22011834428</t>
  </si>
  <si>
    <t>[TBT] Verify connection Swap during S5 with all Type-C ports - USB3.2 Gen2, USB3.0 Hub and USB2.0</t>
  </si>
  <si>
    <t>CSS-IVE-113772</t>
  </si>
  <si>
    <t>22011834434</t>
  </si>
  <si>
    <t>Verify connection Swap during DeepS4 with all Type-C ports - USB3.2 Gen2, USB3.0 Hub and USB2.0</t>
  </si>
  <si>
    <t>CSS-IVE-113774</t>
  </si>
  <si>
    <t>22011834437</t>
  </si>
  <si>
    <t>Verify connection Swap during DeepS5 with all Type-C ports - USB3.2 Gen2, USB3.0 Hub and USB2.0</t>
  </si>
  <si>
    <t>CSS-IVE-113775</t>
  </si>
  <si>
    <t>22011834453</t>
  </si>
  <si>
    <t>Validate Type-C USB3.2 Gen1x1, Gen 2x1 functionality with multiple data transfer</t>
  </si>
  <si>
    <t>CSS-IVE-113791</t>
  </si>
  <si>
    <t>22011834456</t>
  </si>
  <si>
    <t>Verify Dual Controller Support - USB3.2 Gen2 storage functionality after Sx and reboot cycles</t>
  </si>
  <si>
    <t>CSS-IVE-113781</t>
  </si>
  <si>
    <t>22011834460</t>
  </si>
  <si>
    <t>Verify Dual Controller Support - USB3.2 Gen2 storage functionality on Hot-Plug</t>
  </si>
  <si>
    <t>CSS-IVE-113784</t>
  </si>
  <si>
    <t>22011834465</t>
  </si>
  <si>
    <t>Verify Dual Controller Support - USB3.2 Gen2 storage functionality after cold boot</t>
  </si>
  <si>
    <t>CSS-IVE-113786</t>
  </si>
  <si>
    <t>22011834529</t>
  </si>
  <si>
    <t>Verify functionality of TBT3 Dock (hot plug) before and after resume from S4,S5 for 5 cycles</t>
  </si>
  <si>
    <t>CSS-IVE-119264</t>
  </si>
  <si>
    <t>22011834579</t>
  </si>
  <si>
    <t>Verify TCSS status dashboard - TBT FW Ready and error info.</t>
  </si>
  <si>
    <t>CSS-IVE-119493</t>
  </si>
  <si>
    <t>22011834581</t>
  </si>
  <si>
    <t>Verify Type-C device functionality before/after S4, S5 state when VCCST option is enabled/Disabled in BIOS</t>
  </si>
  <si>
    <t>CSS-IVE-119494</t>
  </si>
  <si>
    <t>checked with DP port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</si>
  <si>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</si>
  <si>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</si>
  <si>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</si>
  <si>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</si>
  <si>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</si>
  <si>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</si>
  <si>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</si>
  <si>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</si>
  <si>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</si>
  <si>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</si>
  <si>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</si>
  <si>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</si>
  <si>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Turbo ratio limit for all Big cores via MSR_TURBO_RATIO_LIMIT MSR</t>
  </si>
  <si>
    <t>CSS-IVE-117778</t>
  </si>
  <si>
    <t>14013174785</t>
  </si>
  <si>
    <t>Verify Dual display functionality in OS (onboard eDP+DP) Pre and Post CMS/S0i3 (Modern Standby) cycle</t>
  </si>
  <si>
    <t>CSS-IVE-115307</t>
  </si>
  <si>
    <t>14013176209</t>
  </si>
  <si>
    <t>Verify BIOS support for PCIe x4 port</t>
  </si>
  <si>
    <t>CSS-IVE-84968</t>
  </si>
  <si>
    <t>check with one X4 port</t>
  </si>
  <si>
    <t>io_pcie</t>
  </si>
  <si>
    <t>Flex I/O and Internal Buses</t>
  </si>
  <si>
    <t>14013179352</t>
  </si>
  <si>
    <t>Verify platform can be able to send and receive data over serial port(capture windbg)</t>
  </si>
  <si>
    <t>CSS-IVE-97330</t>
  </si>
  <si>
    <t>windbg</t>
  </si>
  <si>
    <t>debug</t>
  </si>
  <si>
    <t>Debug Interfaces and Traces</t>
  </si>
  <si>
    <t>14013179362</t>
  </si>
  <si>
    <t>Verify OS debug support using Windbg debugging via USB3.0 debug port during SUT resume from S4, S5 state</t>
  </si>
  <si>
    <t>CSS-IVE-101497</t>
  </si>
  <si>
    <t>CLID-8264</t>
  </si>
  <si>
    <t>14013179366</t>
  </si>
  <si>
    <t>Verify OS debug support using Windbg debugging over Type-C port during SUT resume from S4,S5 state</t>
  </si>
  <si>
    <t>CSS-IVE-101503</t>
  </si>
  <si>
    <t>14013174783</t>
  </si>
  <si>
    <t>Verify independent update support of GOP Binary</t>
  </si>
  <si>
    <t>CSS-IVE-115114</t>
  </si>
  <si>
    <t>14013174839</t>
  </si>
  <si>
    <t>Verify Video Play back on 8K DP Monitor Pre and Post DMS cycles</t>
  </si>
  <si>
    <t>CSS-IVE-116771</t>
  </si>
  <si>
    <t>14013175124</t>
  </si>
  <si>
    <t>Verify 4K HDR Display Panel enumeration in OS over onboard HDMI and DP port</t>
  </si>
  <si>
    <t>CSS-IVE-133114</t>
  </si>
  <si>
    <t>14013175419</t>
  </si>
  <si>
    <t>Verify Dual display functionality in Extended mode (onboard eDP+HDMI) Post S4, S5, warm and cold reset cycles</t>
  </si>
  <si>
    <t>CSS-IVE-145174</t>
  </si>
  <si>
    <t>14013175425</t>
  </si>
  <si>
    <t>Verify PlayReady3 functionality on external display pre and post S4 and S5 cycle</t>
  </si>
  <si>
    <t>CSS-IVE-145190</t>
  </si>
  <si>
    <t>content_protection</t>
  </si>
  <si>
    <t>14013184549</t>
  </si>
  <si>
    <t>Validate Graphics turbo frequency is achieved by system pre and post S3 cycle</t>
  </si>
  <si>
    <t>CSS-IVE-77469</t>
  </si>
  <si>
    <t>soc</t>
  </si>
  <si>
    <t>14013184965</t>
  </si>
  <si>
    <t>System stability test while performing Hybrid Sleep cycles with ongoing video playback</t>
  </si>
  <si>
    <t>CSS-IVE-80694</t>
  </si>
  <si>
    <t>audio.cavs</t>
  </si>
  <si>
    <t>14013174471</t>
  </si>
  <si>
    <t>Verify 5K Display Panel enumeration in Device Manager</t>
  </si>
  <si>
    <t>CSS-IVE-99446</t>
  </si>
  <si>
    <t>14013174486</t>
  </si>
  <si>
    <t>Verify Display Audio Driver enumeration with 5K Panel</t>
  </si>
  <si>
    <t>CSS-IVE-99453</t>
  </si>
  <si>
    <t>14013174491</t>
  </si>
  <si>
    <t>Verify Audio Play back on 5K Display Panel</t>
  </si>
  <si>
    <t>CSS-IVE-99454</t>
  </si>
  <si>
    <t>14013174650</t>
  </si>
  <si>
    <t>Verify 5K Display Panel enumeration in Device Manager before and after S3 cycle</t>
  </si>
  <si>
    <t>CSS-IVE-100978</t>
  </si>
  <si>
    <t>DC2</t>
  </si>
  <si>
    <t>Passed</t>
  </si>
  <si>
    <t>Vaahith</t>
  </si>
  <si>
    <t>gfx card</t>
  </si>
  <si>
    <t>Manasa</t>
  </si>
  <si>
    <t>CLID- 8923</t>
  </si>
  <si>
    <t>Manigandan</t>
  </si>
  <si>
    <t>vaahith</t>
  </si>
  <si>
    <t>pallavi</t>
  </si>
  <si>
    <t>verified with res 1920x1280</t>
  </si>
  <si>
    <t>Altimeter</t>
  </si>
  <si>
    <t>deepSx</t>
  </si>
  <si>
    <t>CLID- 8268</t>
  </si>
  <si>
    <t>Ambika</t>
  </si>
  <si>
    <t>option NA</t>
  </si>
  <si>
    <t>Verify Storage Redirection session cannot be established through Wired LAN With Storage Redirection disabled under MEBX in BIOS</t>
  </si>
  <si>
    <t>DC5</t>
  </si>
  <si>
    <t>CSS-IVE-145827</t>
  </si>
  <si>
    <t>Verify Provisioning AMT over onboard LAN from BIOS setup options using static IP and check for KVM connectivity</t>
  </si>
  <si>
    <t>CSS-IVE-145875</t>
  </si>
  <si>
    <t>Verify _DSD method for D3 with NVMe connected to M.2 PCH slot  in AHCI mode</t>
  </si>
  <si>
    <t>CSS-IVE-145802</t>
  </si>
  <si>
    <t>manasa</t>
  </si>
  <si>
    <t>Verify remapped NVME RTD3 cold support with default config</t>
  </si>
  <si>
    <t>CSS-IVE-147213</t>
  </si>
  <si>
    <t>verified with max res of type C dock 1920x1080</t>
  </si>
  <si>
    <t>Verify Memory-DDR5_SODIMM_3200Mhz_2_RANK_1DPC_CH0_8GB is functioning</t>
  </si>
  <si>
    <t>CSS-IVE-113633</t>
  </si>
  <si>
    <t>Swetha</t>
  </si>
  <si>
    <t>Verify AMT WEBUI is accessible during sx cycles over Wired LAN</t>
  </si>
  <si>
    <t>CSS-IVE-130030</t>
  </si>
  <si>
    <t>[OCR] Verify AMT UEFI Boot Options should be Greyed out  with Redirection session over Wired LAN</t>
  </si>
  <si>
    <t>CSS-IVE-135853</t>
  </si>
  <si>
    <t>[OCR] Verify OCR_WinRE flow intact after G3 State from AMT Remote session over wired LAN</t>
  </si>
  <si>
    <t>CSS-IVE-136421</t>
  </si>
  <si>
    <t>[OCR] Verify OCR_PBA boot flow intact after G3 State from AMT Remote session over wired LAN</t>
  </si>
  <si>
    <t>CSS-IVE-136422</t>
  </si>
  <si>
    <t>[OCR]  Verify OCR_HTTPS boot flow intact after G3 State from AMT Remote session over wired LAN</t>
  </si>
  <si>
    <t>CSS-IVE-136423</t>
  </si>
  <si>
    <t>[OCR] Verify OCR_WinRE Boot flow intact Post Sx State from AMT Remote session over wired LAN</t>
  </si>
  <si>
    <t>CSS-IVE-136424</t>
  </si>
  <si>
    <t>[OCR] Verify OCR_PBA boot flow intact Post Sx State from AMT Remote session over wired LAN</t>
  </si>
  <si>
    <t>CSS-IVE-136425</t>
  </si>
  <si>
    <t>[OCR] Verify OCR_WinRE boot flow functionality over wired LAN When SUT is at BIOS menu</t>
  </si>
  <si>
    <t>CSS-IVE-138259</t>
  </si>
  <si>
    <t>[OCR]  Verify OCR_HTTPS boot flow intact Post Sx State from AMT Remote session over wired LAN</t>
  </si>
  <si>
    <t>CSS-IVE-136426</t>
  </si>
  <si>
    <t>[OCR] Verify OCR_WinRE flow intact from AMT Remote session over wired LAN  post generating BSOD</t>
  </si>
  <si>
    <t>CSS-IVE-138226</t>
  </si>
  <si>
    <t>[OCR] Verify OCR_WinRE flow intact from AMT Remote session over wired LAN  post generating  System Hang</t>
  </si>
  <si>
    <t>CSS-IVE-138234</t>
  </si>
  <si>
    <t>Verify  SUT boot with DDR5_UDIMM_2DPC_memory configuration at 4267 MHz</t>
  </si>
  <si>
    <t>CSS-IVE-113807</t>
  </si>
  <si>
    <t>Automation Not Possible</t>
  </si>
  <si>
    <t>Verify Memory-DDR4_SODIMM_3200MHz_2_RANK_1DPC_CH1_8GB is functioning</t>
  </si>
  <si>
    <t>CSS-IVE-100151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</si>
  <si>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</si>
  <si>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</si>
  <si>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</si>
  <si>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</si>
  <si>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 SUT boot with DDR5_UDIMM_2DPC_memory configuration at 3733 MHz</t>
  </si>
  <si>
    <t>CSS-IVE-114596</t>
  </si>
  <si>
    <t>Verify NVMe SSD achieve SLP_S0 residency during CS</t>
  </si>
  <si>
    <t>CSS-IVE-101337</t>
  </si>
  <si>
    <t>failed</t>
  </si>
  <si>
    <t>HSD FAIL :  https://hsdes.intel.com/appstore/article/#/16017037857</t>
  </si>
  <si>
    <t>Verify remapped NVME RTD3 support with default config in DC Mode</t>
  </si>
  <si>
    <t>CSS-IVE-113650</t>
  </si>
  <si>
    <t>Verify warm reset and Sx cycle with PCIe Gen4 NVMe SSD connected over PCIe Gen4 supported X4 slot</t>
  </si>
  <si>
    <t>CSS-IVE-119125</t>
  </si>
  <si>
    <t>Verify NVMe device boot and system stability after Sx with VMD port enabled</t>
  </si>
  <si>
    <t>CSS-IVE-129735</t>
  </si>
  <si>
    <t>Verify Sx cycles before and after remapping of NVMe device Through VMD</t>
  </si>
  <si>
    <t>CSS-IVE-144696</t>
  </si>
  <si>
    <t>sata ssd</t>
  </si>
  <si>
    <t>Verify KVM session over Wired LAN after 5 Sx cycles</t>
  </si>
  <si>
    <t>CSS-IVE-131882</t>
  </si>
  <si>
    <t>Verify SUT boots from the remote media as defined in RCC through Wired LAN</t>
  </si>
  <si>
    <t>CSS-IVE-131886</t>
  </si>
  <si>
    <t>With Storage redirection disabled in MEBX, verify Storage redirection session cannot be established with IMRGUI through Wired LAN</t>
  </si>
  <si>
    <t>CSS-IVE-131887</t>
  </si>
  <si>
    <t>DC4</t>
  </si>
  <si>
    <t>21-07-22</t>
  </si>
  <si>
    <t>raghav3x</t>
  </si>
  <si>
    <t>bios.alderlake,bios.apollolake,bios.arrowlake,bios.cannonlake,bios.coffeelake,bios.cometlake,bios.icelake-client,bios.jasperlake,bios.kabylake,bios.kabylake_r,bios.lakefield,bios.lunarlake,bios.meteorlake,bios.raptorlake,bios.tigerlake,bios.whiskeylake</t>
  </si>
  <si>
    <t>TBT</t>
  </si>
  <si>
    <t>22-07-22</t>
  </si>
  <si>
    <t>pke</t>
  </si>
  <si>
    <t>bios.alderlake,bios.amberlake,bios.apollolake,bios.arrowlake,bios.broxton,bios.cannonlake,bios.coffeelake,bios.cometlake,bios.icelake-client,bios.kabylake,bios.kabylake_r,bios.meteorlake,bios.raptorlake,bios.rocketlake,bios.tigerlake,bios.whiskeylake</t>
  </si>
  <si>
    <t>Touch is not applicable</t>
  </si>
  <si>
    <t>sumith2x</t>
  </si>
  <si>
    <t>bios.alderlake,bios.amberlake,bios.apollolake,bios.arrowlake,bios.broxton,bios.cannonlake,bios.coffeelake,bios.geminilake,bios.kabylake,bios.kabylake_r,bios.lunarlake,bios.meteorlake,bios.raptorlake,bios.tigerlake</t>
  </si>
  <si>
    <t>bios.alderlake,bios.arrowlake,bios.lunarlake,bios.meteorlake,bios.raptorlake</t>
  </si>
  <si>
    <t>anaray5x</t>
  </si>
  <si>
    <t>bios.alderlake,bios.arrowlake,bios.lunarlake,bios.meteorlake,bios.raptorlake,bios.rocketlake</t>
  </si>
  <si>
    <t>Install OS from external USB Flash Disk to UFS</t>
  </si>
  <si>
    <t>CSS-IVE-67699</t>
  </si>
  <si>
    <t>bios.alderlake,bios.arrowlake,bios.broxton,bios.lunarlake,bios.meteorlake,bios.raptorlake,bios.whiskeylake</t>
  </si>
  <si>
    <t>io_usb</t>
  </si>
  <si>
    <t>prasad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</si>
  <si>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arrowlake,ifwi.broxton,ifwi.cannonlake,ifwi.coffeelake,ifwi.cometlake,ifwi.geminilake,ifwi.icelake,ifwi.kabylake,ifwi.kabylake_r,ifwi.meteorlake,ifwi.raptorlake,ifwi.tigerlake,ifwi.whiskeylake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</si>
  <si>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</si>
  <si>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bios.alderlake,bios.amberlake,bios.apollolake,bios.arrowlake,bios.cannonlake,bios.coffeelake,bios.cometlake,bios.icelake-client,bios.jasperlake,bios.kabylake,bios.kabylake_r,bios.lakefield,bios.lunarlake,bios.meteorlake,bios.raptorlake,bios.tigerlake,bios.whiskeylake</t>
  </si>
  <si>
    <t>bios.alderlake,bios.amberlake,bios.arrowlake,bios.cannonlake,bios.coffeelake,bios.icelake-client,bios.jasperlake,bios.kabylake,bios.kabylake_r,bios.lakefield,bios.lunarlake,bios.meteorlake,bios.raptorlake,bios.tigerlake,bios.whiskeylake</t>
  </si>
  <si>
    <t>bios.alderlake,bios.amberlake,bios.arrowlake,bios.cannonlake,bios.coffeelake,bios.icelake-client,bios.jasperlake,bios.kabylake,bios.kabylake_r,bios.lakefield,bios.lunarlake,bios.meteorlake,bios.raptorlake,bios.tigerlake,bios.whiskeylake,ifwi.alderlake,ifwi.amberlake,ifwi.cannonlake,ifwi.coffeelake,ifwi.icelake,ifwi.kabylake,ifwi.kabylake_r,ifwi.lakefield,ifwi.tigerlake,ifwi.whiskeylake</t>
  </si>
  <si>
    <t>bios.alderlake,bios.arrowlake,bios.meteorlake,bios.raptorlake,bios.tigerlake</t>
  </si>
  <si>
    <t>Verify Dual Touch functionality in OS after DeepS4 and DeepS5</t>
  </si>
  <si>
    <t>CSS-IVE-113808</t>
  </si>
  <si>
    <t>bios.alderlake,bios.amberlake,bios.arrowlake,bios.cannonlake,bios.coffeelake,bios.icelake-client,bios.kabylake,bios.kabylake_r,bios.lunarlake,bios.meteorlake,bios.raptorlake,bios.tigerlake</t>
  </si>
  <si>
    <t>Verify AMT WEBUI is accessible after sx cycles over PCIe LAN card</t>
  </si>
  <si>
    <t>CSS-IVE-118219</t>
  </si>
  <si>
    <t>bios.alderlake,bios.arrowlake,bios.meteorlake,bios.raptorlake,ifwi.alderlake,ifwi.cometlake,ifwi.tigerlake</t>
  </si>
  <si>
    <t>Verify AMT storage redirection after sx cycles should support for PCIe LAN card</t>
  </si>
  <si>
    <t>CSS-IVE-118226</t>
  </si>
  <si>
    <t>Mesh cmd</t>
  </si>
  <si>
    <t>bios.arrowlake,bios.raptorlake,ifwi.cometlake,ifwi.tigerlake</t>
  </si>
  <si>
    <t>vhebbarx</t>
  </si>
  <si>
    <t>bios.alderlake,bios.apollolake,bios.arrowlake,bios.cannonlake,bios.coffeelake,bios.cometlake,bios.geminilake,bios.icelake-client,bios.kabylake,bios.kabylake_r,bios.lunarlake,bios.meteorlake,bios.raptorlake,bios.rocketlake,bios.tigerlake,bios.whiskeylake,ifwi.apollolake,ifwi.arrowlake,ifwi.cannonlake,ifwi.coffeelake,ifwi.cometlake,ifwi.geminilake,ifwi.icelake,ifwi.kabylake,ifwi.kabylake_r,ifwi.lunarlake,ifwi.meteorlake,ifwi.raptorlake,ifwi.tigerlake,ifwi.whiskeylake</t>
  </si>
  <si>
    <t>deepSX NA</t>
  </si>
  <si>
    <t>bios.alderlake,bios.arrowlake,bios.lunarlake,bios.meteorlake,bios.raptorlake,bios.rocketlake,bios.tigerlake</t>
  </si>
  <si>
    <t>bios.alderlake,bios.arrowlake,bios.meteorlake,bios.raptorlake</t>
  </si>
  <si>
    <t>bios.alderlake,bios.arrowlake,bios.lunarlake,bios.meteorlake,bios.raptorlake,bios.tigerlake</t>
  </si>
  <si>
    <t>bios.alderlake,bios.arrowlake,bios.meteorlake,bios.raptorlake,bios.tigerlake,ifwi.arrowlake,ifwi.meteorlake</t>
  </si>
  <si>
    <t>bios.alderlake,bios.arrowlake,bios.icelake-client,bios.jasperlake,bios.lakefield,bios.lunarlake,bios.meteorlake,bios.raptorlake,bios.tigerlake</t>
  </si>
  <si>
    <t>Graphics</t>
  </si>
  <si>
    <t>bios.alderlake,bios.arrowlake,bios.cannonlake,bios.coffeelake,bios.cometlake,bios.icelake-client,bios.kabylake,bios.meteorlake,bios.raptorlake,bios.rocketlake,bios.tigerlake,ifwi.arrowlake,ifwi.cannonlake,ifwi.coffeelake,ifwi.cometlake,ifwi.icelake,ifwi.kabylake,ifwi.meteorlake,ifwi.raptorlake,ifwi.tiger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</si>
  <si>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</t>
  </si>
  <si>
    <t>bios.alderlake,bios.apollolake,bios.arrowlake,bios.broxton,bios.cannonlake,bios.cometlake,bios.geminilake,bios.icelake-client,bios.kabylake,bios.lunarlake,bios.meteorlake,bios.raptorlake,bios.rocketlake,bios.tigerlake,ifwi.arrowlake,ifwi.meteorlake</t>
  </si>
  <si>
    <t>bios.alderlake,bios.arrowlake,bios.broxton,bios.cometlake,bios.geminilake,bios.icelake-client,bios.jasperlake,bios.lunarlake,bios.meteorlake,bios.raptorlake,bios.rocketlake,bios.tigerlake</t>
  </si>
  <si>
    <t>Inprogress</t>
  </si>
  <si>
    <t>bios.alderlake,bios.amberlake,bios.arrowlake,bios.cannonlake,bios.coffeelake,bios.cometlake,bios.icelake-client,bios.jasperlake,bios.kabylake,bios.meteorlake,bios.raptorlake,bios.rocketlake,bios.tigerlake,bios.whiskeylake</t>
  </si>
  <si>
    <t>bios.alderlake,bios.arrowlake,bios.cannonlake,bios.coffeelake,bios.icelake-client,bios.jasperlake,bios.kabylake,bios.meteorlake,bios.raptorlake,bios.rocketlake,bios.tigerlake</t>
  </si>
  <si>
    <t>bios.alderlake,bios.arrowlake,bios.cannonlake,bios.coffeelake,bios.cometlake,bios.icelake-client,bios.jasperlake,bios.kabylake,bios.meteorlake,bios.raptorlake,bios.rocketlake,bios.tigerlake</t>
  </si>
  <si>
    <t>bios.alderlake,bios.arrowlake,bios.cannonlake,bios.coffeelake,bios.cometlake,bios.icelake-client,bios.jasperlake,bios.kabylake,bios.kabylake_r,bios.meteorlake,bios.raptorlake,bios.rocketlake,bios.tigerlake</t>
  </si>
  <si>
    <t>bios.alderlake,bios.arrowlake,bios.cannonlake,bios.coffeelake,bios.jasperlake,bios.kabylake,bios.kabylake_r,bios.meteorlake,bios.raptorlake,bios.rocketlake,bios.tigerlake,bios.whiskeylake</t>
  </si>
  <si>
    <t>Check no BSOD on HG Setup with MSFT Inbox Driver</t>
  </si>
  <si>
    <t>CSS-IVE-71252</t>
  </si>
  <si>
    <t>bios.alderlake,bios.arrowlake,bios.cannonlake,bios.coffeelake,bios.icelake-client,bios.jasperlake,bios.kabylake,bios.kabylake_r,bios.meteorlake,bios.raptorlake,bios.rocketlake,bios.tigerlake,bios.whiskeylake</t>
  </si>
  <si>
    <t>bios.alderlake,bios.apollolake,bios.arrowlake,bios.geminilake,bios.icelake-client,bios.lunarlake,bios.meteorlake,bios.raptorlake,bios.rocketlake,bios.tigerlake,ifwi.apollolake,ifwi.arrowlake,ifwi.geminilake,ifwi.icelake,ifwi.lunarlake,ifwi.meteorlake,ifwi.raptorlake,ifwi.tigerlake</t>
  </si>
  <si>
    <t>Verify System completes S3 cycles successfully with Discrete graphics  when external graphics card connected</t>
  </si>
  <si>
    <t>CSS-IVE-80978</t>
  </si>
  <si>
    <t>bios.alderlake,bios.apollolake,bios.arrowlake,bios.cometlake,bios.geminilake,bios.icelake-client,bios.meteorlake,bios.raptorlake,bios.rocketlake,bios.tigerlake,ifwi.apollolake,ifwi.arrowlake,ifwi.cometlake,ifwi.geminilake,ifwi.icelake,ifwi.meteorlake,ifwi.raptorlake,ifwi.tigerlake</t>
  </si>
  <si>
    <t>Validate Discrete Graphics enumeration at OS with DGFX card connected</t>
  </si>
  <si>
    <t>CSS-IVE-80985</t>
  </si>
  <si>
    <t>bios.alderlake,bios.apollolake,bios.arrowlake,bios.cometlake,bios.geminilake,bios.icelake-client,bios.meteorlake,bios.raptorlake,bios.rocketlake,bios.tigerlake,ifwi.apollolake,ifwi.arrowlake,ifwi.cometlake,ifwi.geminilake,ifwi.icelake,ifwi.lunarlake,ifwi.meteorlake,ifwi.raptorlake,ifwi.tigerlake</t>
  </si>
  <si>
    <t>Validate basic display functionality of Discrete Graphics  at Pre-OS and Post OS when HG card connected on x4 PCIe slot</t>
  </si>
  <si>
    <t>CSS-IVE-80986</t>
  </si>
  <si>
    <t>bios.alderlake,bios.apollolake,bios.arrowlake,bios.cometlake,bios.geminilake,bios.icelake-client,bios.meteorlake,bios.raptorlake,bios.tigerlake,ifwi.apollolake,ifwi.arrowlake,ifwi.cometlake,ifwi.geminilake,ifwi.icelake,ifwi.raptorlake,ifwi.tigerlake</t>
  </si>
  <si>
    <t>bios.alderlake,bios.apollolake,bios.arrowlake,bios.cometlake,bios.geminilake,bios.icelake-client,bios.meteorlake,bios.raptorlake,bios.rocketlake,bios.tigerlake</t>
  </si>
  <si>
    <t>As per config sheet NIVIDIA driver is not applicable</t>
  </si>
  <si>
    <t>bios.alderlake,bios.apollolake,bios.arrowlake,bios.geminilake,bios.icelake-client,bios.meteorlake,bios.raptorlake,bios.rocketlake,bios.tigerlake</t>
  </si>
  <si>
    <t>bios.alderlake,bios.arrowlake,bios.cannonlake,bios.coffeelake,bios.cometlake,bios.icelake-client,bios.jasperlake,bios.lakefield,bios.lunarlake,bios.meteorlake,bios.raptorlake,bios.rocketlake,bios.tigerlake,bios.whiskeylake,ifwi.arrowlake,ifwi.lunarlake,ifwi.meteorlake,ifwi.raptorlake</t>
  </si>
  <si>
    <t>bios.alderlake,bios.arrowlake,bios.cannonlake,bios.coffeelake,bios.cometlake,bios.icelake-client,bios.jasperlake,bios.lunarlake,bios.meteorlake,bios.raptorlake,bios.rocketlake,bios.tigerlake,bios.whiskeylake</t>
  </si>
  <si>
    <t>Verify C10 and Slp-S0 is achieved in Connected MOS during 3D Game with HG Card connected on PCIe x4 Gen4 slot</t>
  </si>
  <si>
    <t>CSS-IVE-119072</t>
  </si>
  <si>
    <t>bios.alderlake,bios.arrowlake,bios.meteorlake,bios.raptorlake,bios.tigerlake,ifwi.arrowlake,ifwi.lunarlake,ifwi.meteorlake,ifwi.raptorlake,ifwi.tigerlake</t>
  </si>
  <si>
    <t>Verify _DSM functions defined for the PCIe RTD3 in ACPI</t>
  </si>
  <si>
    <t>CSS-IVE-120117</t>
  </si>
  <si>
    <t>Verify Gen4 Discrete Graphics basic functionality on x4 PCIE Gen4 slot with Sx cycles</t>
  </si>
  <si>
    <t>CSS-IVE-133865</t>
  </si>
  <si>
    <t>bios.alderlake,bios.arrowlake,bios.meteorlake,bios.raptorlake,bios.rocketlake,bios.tigerlake,ifwi.arrowlake,ifwi.lunarlake,ifwi.meteorlake,ifwi.raptorlake,ifwi.tigerlake</t>
  </si>
  <si>
    <t>Verify Gen4 Discrete Graphics basic functionality on x4 PCIE Gen4 slot with CMS cycles</t>
  </si>
  <si>
    <t>CSS-IVE-133866</t>
  </si>
  <si>
    <t>Verify System completes S4/S5 cycles successfully with Discrete graphics when external graphics card connected</t>
  </si>
  <si>
    <t>CSS-IVE-145166</t>
  </si>
  <si>
    <t>bios.alderlake,bios.arrowlake,bios.jasperlake,bios.meteorlake,bios.raptorlake,bios.rocketlake</t>
  </si>
  <si>
    <t>Verify Gen4 Discrete Graphics basic functionality on x4 PCIE Gen4 slot with warm and cold reboot cycles</t>
  </si>
  <si>
    <t>CSS-IVE-145393</t>
  </si>
  <si>
    <t>bios.alderlake,bios.arrowlake,bios.meteorlake,bios.raptorlake,bios.rocketlake,ifwi.arrowlake,ifwi.lunarlake,ifwi.meteorlake,ifwi.raptorlake</t>
  </si>
  <si>
    <t>bios.alderlake,bios.apollolake,bios.arrowlake,bios.broxton,bios.geminilake,bios.jasperlake,bios.lunarlake,bios.meteorlake,bios.raptorlake,ifwi.apollolake,ifwi.broxton,ifwi.geminilake</t>
  </si>
  <si>
    <t>bios.alderlake,bios.amberlake,bios.arrowlake,bios.cannonlake,bios.coffeelake,bios.geminilake,bios.kabylake,bios.kabylake_r,bios.lunarlake,bios.meteorlake,bios.raptorlake</t>
  </si>
  <si>
    <t>bios.alderlake,bios.arrowlake,bios.cannonlake,bios.icelake-client,bios.lunarlake,bios.meteorlake,bios.raptorlake,bios.tigerlake</t>
  </si>
  <si>
    <t>bios.alderlake,bios.arrowlake,bios.lunarlake,bios.meteorlake,bios.raptorlake,bios.rocketlake,bios.tigerlake,ifwi.arrowlake,ifwi.lunarlake,ifwi.meteorlake,ifwi.raptorlake,ifwi.tigerlake</t>
  </si>
  <si>
    <t>bios.alderlake,bios.arrowlake,bios.lunarlake,bios.meteorlake,bios.raptorlake,bios.tigerlake,bios.whiskeylake</t>
  </si>
  <si>
    <t>bios.alderlake,bios.arrowlake,bios.jasperlake,bios.lunarlake,bios.meteorlake,bios.raptorlake,bios.tigerlake</t>
  </si>
  <si>
    <t>bios.alderlake,bios.arrowlake,bios.lunarlake,bios.meteorlake,bios.raptorlake,bios.ridgeport,bios.tigerlake,ifwi.tigerlake</t>
  </si>
  <si>
    <t>bios.alderlake,bios.arrowlake,bios.lunarlake,bios.meteorlake,bios.raptorlake,bios.rocketlake,bios.tigerlake,ifwi.arrowlake,ifwi.meteorlake,ifwi.raptorlake,ifwi.tigerlake</t>
  </si>
  <si>
    <t>bios.alderlake,bios.arrowlake,bios.lunarlake,bios.meteorlake,bios.raptorlake,bios.rocketlake,bios.tigerlake,ifwi.raptorlake,ifwi.tigerlake</t>
  </si>
  <si>
    <t>Verify display check on HDMI when connected via DP 1.2 to HDMI dongle</t>
  </si>
  <si>
    <t>CSS-IVE-71258</t>
  </si>
  <si>
    <t>DP port is not available in board</t>
  </si>
  <si>
    <t>bios.alderlake,bios.apollolake,bios.arrowlake,bios.broxton,bios.geminilake,bios.lunarlake,bios.meteorlake,bios.raptorlake,bios.tigerlake,ifwi.apollolake,ifwi.arrowlake,ifwi.broxton,ifwi.geminilake,ifwi.lunarlake,ifwi.meteorlake,ifwi.raptorlake,ifwi.tigerlake</t>
  </si>
  <si>
    <t>system</t>
  </si>
  <si>
    <t>bios.alderlake,bios.arrowlake,bios.jasperlake,bios.lunarlake,bios.meteorlake,bios.raptorlake,bios.rocketlake</t>
  </si>
  <si>
    <t>CSS-IVE-131622</t>
  </si>
  <si>
    <t>MEBUX is not applicable</t>
  </si>
  <si>
    <t>bios.alderlake,bios.arrowlake,bios.raptorlake,ifwi.alderlake,ifwi.arrowlake,ifwi.lunarlake,ifwi.meteorlake,ifwi.raptorlake,ifwi.rocketlake</t>
  </si>
  <si>
    <t>Verify AMT KVM session after sx cycles over PCIe LAN card</t>
  </si>
  <si>
    <t>CSS-IVE-131624</t>
  </si>
  <si>
    <t>CSS-IVE-131626</t>
  </si>
  <si>
    <t>Verify discrete graphics (DGfx) functionality with/without PCIE Resizable BAR support with external graphics card on X4 PCIE slot, post S3 cycles</t>
  </si>
  <si>
    <t>CSS-IVE-145212</t>
  </si>
  <si>
    <t>bios.alderlake,bios.arrowlake,bios.coffeelake,bios.cometlake,bios.meteorlake,bios.raptorlake,bios.rocketlake,bios.tigerlake,bios.whiskeylake</t>
  </si>
  <si>
    <t>Verify discrete graphics (DGfx) functionality with/without PCIE Resizable BAR support with external graphics card on X4 PCIE slot, post S4, S5, warm/cold reset cycles</t>
  </si>
  <si>
    <t>Verify hot-plug/unplug functionality with discrete graphics (DGfx) with/without PCIE Resizable BAR support with external graphics card on X4 PCIE slot</t>
  </si>
  <si>
    <t>Verify hot-plug/unplug functionality with discrete graphics (DGfx) with/without PCIE Resizable BAR support with DashG graphics card on X8 PEG slot</t>
  </si>
  <si>
    <t>bios.arrowlake,bios.lunarlake,bios.meteorlake,bios.raptorlake</t>
  </si>
  <si>
    <t>bios.raptorlake</t>
  </si>
  <si>
    <t>bios.alderlake,bios.arrowlake,bios.cometlake,bios.meteorlake,bios.raptorlake,bios.whiskeylake</t>
  </si>
  <si>
    <t>Verify that NR build of the BIOS does not support enabling Testmenu</t>
  </si>
  <si>
    <t>2SDC1</t>
  </si>
  <si>
    <t>CSS-IVE-52387</t>
  </si>
  <si>
    <t>Vinisha</t>
  </si>
  <si>
    <t>Platform Config and Board BOM</t>
  </si>
  <si>
    <t>Verify yellow bang checks on waking system from S5 for in both AC and DC mode</t>
  </si>
  <si>
    <t>CSS-IVE-52481</t>
  </si>
  <si>
    <t>Touch panel</t>
  </si>
  <si>
    <t>Verify Dual OS Boot functionality</t>
  </si>
  <si>
    <t>CSS-IVE-53973</t>
  </si>
  <si>
    <t>Type-C</t>
  </si>
  <si>
    <t>Verify "Boot Performance Mode" bios options and CPU frequency reflects according to the option in BIOS</t>
  </si>
  <si>
    <t>CSS-IVE-44273</t>
  </si>
  <si>
    <t>processor_core</t>
  </si>
  <si>
    <t>Machine Check Architecture Support</t>
  </si>
  <si>
    <t>CSS-IVE-44358</t>
  </si>
  <si>
    <t>Verify if Bios detects two previous processor steppings</t>
  </si>
  <si>
    <t>CSS-IVE-80050</t>
  </si>
  <si>
    <t>verified with N'th stepping</t>
  </si>
  <si>
    <t>Verify CPU C10 residency when system connected to Wi-Fi Network</t>
  </si>
  <si>
    <t>CSS-IVE-101394</t>
  </si>
  <si>
    <t xml:space="preserve">verified with NVMe </t>
  </si>
  <si>
    <t>connectivity.wifi</t>
  </si>
  <si>
    <t>Verify  ER debug mode enabled status get reflected correctly in  ETR3 Register</t>
  </si>
  <si>
    <t>CSS-IVE-133841</t>
  </si>
  <si>
    <t>Verify ACPI implementation to control WIFI 6 11AX support based on _DSM Method</t>
  </si>
  <si>
    <t>CSS-IVE-133051</t>
  </si>
  <si>
    <t>Verify Windows OS presents the Boot repair options on 2 consecutive boot failures with fast boot enabled</t>
  </si>
  <si>
    <t>CSS-IVE-44546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</si>
  <si>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</si>
  <si>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</si>
  <si>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</si>
  <si>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</si>
  <si>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</si>
  <si>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</si>
  <si>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</si>
  <si>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</si>
  <si>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</si>
  <si>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Hussain</t>
  </si>
  <si>
    <t>Verify if BIOS displays Firmware Status 1, Status 2 values and check if the same is displayed in OS</t>
  </si>
  <si>
    <t>CSS-IVE-80247</t>
  </si>
  <si>
    <t>System Firmware Builds and bringup</t>
  </si>
  <si>
    <t>2560X1440</t>
  </si>
  <si>
    <t>Verify ISH device ID"s are displayed in EFI Log</t>
  </si>
  <si>
    <t>CSS-IVE-84951</t>
  </si>
  <si>
    <t>'Device 51FC' from step 6log</t>
  </si>
  <si>
    <t>Verify RTD3 flow for CNVi BT Device</t>
  </si>
  <si>
    <t>CSS-IVE-101183</t>
  </si>
  <si>
    <t>Verify CNVi Wi-Fi/BT do not enumerate in OS with CNVi option Disabled in BIOS</t>
  </si>
  <si>
    <t>CSS-IVE-101273</t>
  </si>
  <si>
    <t>Altimeter NA POR</t>
  </si>
  <si>
    <t>https://hsdes.intel.com/appstore/article/#/16017115455</t>
  </si>
  <si>
    <t>Verify Connect/Disconnect Wi-Fi Hotspot in OS</t>
  </si>
  <si>
    <t>CSS-IVE-102506</t>
  </si>
  <si>
    <t>Verify CNVi Bluetooth Enumeration in OS before / after Connected Standby (CMS) cycle</t>
  </si>
  <si>
    <t>CSS-IVE-105405</t>
  </si>
  <si>
    <t>Verify SUT wakes from S3 using Bluetooth (BT Devices)</t>
  </si>
  <si>
    <t>CSS-IVE-105757</t>
  </si>
  <si>
    <t>Verify SUT wakes from S4 using Bluetooth (BT Devices)</t>
  </si>
  <si>
    <t>CSS-IVE-114273</t>
  </si>
  <si>
    <t>Validate SUT wake from S0i3 Using USB-LAN</t>
  </si>
  <si>
    <t>CSS-IVE-114799</t>
  </si>
  <si>
    <t>CLID-8244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</si>
  <si>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</si>
  <si>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</si>
  <si>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</si>
  <si>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</si>
  <si>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</si>
  <si>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</si>
  <si>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Verify BIOS have ability to enable and disable Wake on WLAN</t>
  </si>
  <si>
    <t>CSS-IVE-115601</t>
  </si>
  <si>
    <t>Verify BIOS have ability to enable and disable Wake on Bluetooth</t>
  </si>
  <si>
    <t>CSS-IVE-115602</t>
  </si>
  <si>
    <t>Verify Bluetooth Regulatory Updates in BIOS</t>
  </si>
  <si>
    <t>CSS-IVE-117956</t>
  </si>
  <si>
    <t>verified with x4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</si>
  <si>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</si>
  <si>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</si>
  <si>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</si>
  <si>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</si>
  <si>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</si>
  <si>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</si>
  <si>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</si>
  <si>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</si>
  <si>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Validate on board LAN device for RTD3</t>
  </si>
  <si>
    <t>CSS-IVE-122356</t>
  </si>
  <si>
    <t>Verify S0i3 residency when system connected to Wi-Fi Network</t>
  </si>
  <si>
    <t>CSS-IVE-133709</t>
  </si>
  <si>
    <t>CLID-8696</t>
  </si>
  <si>
    <t>Verify CNVi Bluetooth Functionality in OS before/after warm reset cycle</t>
  </si>
  <si>
    <t>CSS-IVE-135471</t>
  </si>
  <si>
    <t>Verify system stability after S3 and S4 cycles using LAN connect over Foxville Port as wake source.</t>
  </si>
  <si>
    <t>CSS-IVE-136346</t>
  </si>
  <si>
    <t>Validate on PCIe LAN device for RTD3</t>
  </si>
  <si>
    <t>CSS-IVE-136395</t>
  </si>
  <si>
    <t>Verify Wi-Fi Device Entry in ACPI table</t>
  </si>
  <si>
    <t>CSS-IVE-144717</t>
  </si>
  <si>
    <t>Verify additional restart occurs when system falls back from fast boot to full boot with TPM enabled</t>
  </si>
  <si>
    <t>CSS-IVE-80322</t>
  </si>
  <si>
    <t>power_and_perf</t>
  </si>
  <si>
    <t>BIOS should skip OPROM code during fast boot if device associated with OPROM is not present</t>
  </si>
  <si>
    <t>CSS-IVE-80331</t>
  </si>
  <si>
    <t>SATA SSD</t>
  </si>
  <si>
    <t>BIOS should skip Optional ROM code during fast boot if device associated with Optional ROM is not present</t>
  </si>
  <si>
    <t>CSS-IVE-99235</t>
  </si>
  <si>
    <t>Verify system attains responsiveness metrics with PTT enabled Consumer IFWI and with OS installed on Optane enabled drive with SSD</t>
  </si>
  <si>
    <t>CSS-IVE-101031</t>
  </si>
  <si>
    <t>Verify responsiveness metrics are attained with Pre-boot DMA protection enabled without any TBT devices plugged in</t>
  </si>
  <si>
    <t>CSS-IVE-118832</t>
  </si>
  <si>
    <t>Verify that system boots successfully after enabling SAGV and MRC fast boot options</t>
  </si>
  <si>
    <t>CSS-IVE-70391</t>
  </si>
  <si>
    <t>ANIL</t>
  </si>
  <si>
    <t>Verify Scroll Lock/Num/caps Lock on-board LED Functionality using Scan Matrix Keyboard</t>
  </si>
  <si>
    <t>CSS-IVE-72294</t>
  </si>
  <si>
    <t>Verified with Caps Locks</t>
  </si>
  <si>
    <t>Verify when the system is reset, the 7 segment POST code display is cleared</t>
  </si>
  <si>
    <t>CSS-IVE-71571</t>
  </si>
  <si>
    <t>[FSP] [GCC]:Boot mode Check (Full Configuration,S3 Resume &amp; S4 Resume)</t>
  </si>
  <si>
    <t>CSS-IVE-132859</t>
  </si>
  <si>
    <t>GCC debug</t>
  </si>
  <si>
    <t>Industry Specs and Open source initiatives</t>
  </si>
  <si>
    <t>https://hsdes.intel.com/appstore/article/#/16017073834</t>
  </si>
  <si>
    <t>tamil</t>
  </si>
  <si>
    <t>Verify SUT wake from S0i3 using PCIE LAN devices (WOL)</t>
  </si>
  <si>
    <t>CSS-IVE-76027</t>
  </si>
  <si>
    <t>Verify Data Transfer Over Internet - WLAN</t>
  </si>
  <si>
    <t>CSS-IVE-94980</t>
  </si>
  <si>
    <t>Verify Opal supported NVMe SSD detection in BIOS Opal menu</t>
  </si>
  <si>
    <t>CSS-IVE-95021</t>
  </si>
  <si>
    <t>verified with availabe NVMe</t>
  </si>
  <si>
    <t>Verify VMD NVMe device boot and system stability after Sx cycles</t>
  </si>
  <si>
    <t>CSS-IVE-115637</t>
  </si>
  <si>
    <t>Verify ASPM and L1 substate Values in OS with NVMe remapping</t>
  </si>
  <si>
    <t>CSS-IVE-116781</t>
  </si>
  <si>
    <t xml:space="preserve">NA </t>
  </si>
  <si>
    <t>SATA HDD</t>
  </si>
  <si>
    <t>Verify NVMe device boot and system stability after Sx with VMD port disabled</t>
  </si>
  <si>
    <t>CSS-IVE-129730</t>
  </si>
  <si>
    <t>Verify OS installation and system stability after Sx with NVME connected in PCH slot with VMD port enabled</t>
  </si>
  <si>
    <t>CSS-IVE-129737</t>
  </si>
  <si>
    <t>Verify BT audio Offload Bios policy for CNVi and discrete Module</t>
  </si>
  <si>
    <t>CSS-IVE-129967</t>
  </si>
  <si>
    <t>connectivity.bluetooth</t>
  </si>
  <si>
    <t>Verify RST device manager menu for PCIe and Sata Storage device Through VMD</t>
  </si>
  <si>
    <t>CSS-IVE-144538</t>
  </si>
  <si>
    <t>Verify reboot cycles before and after remapping of NVMe device Through VMD</t>
  </si>
  <si>
    <t>CSS-IVE-144697</t>
  </si>
  <si>
    <t>Validate Foxville LAN device for RTD3</t>
  </si>
  <si>
    <t>CSS-IVE-145161</t>
  </si>
  <si>
    <t>Verify BIOS support for [CNV][WIFI] New ACPI table SGOM- SAR GEO Offset Mapping</t>
  </si>
  <si>
    <t>CSS-IVE-145680</t>
  </si>
  <si>
    <t>Verify BIOS support for [CNV][WIFI] New ACPI table WTAS - Wi-Fi time Average SAR</t>
  </si>
  <si>
    <t>CSS-IVE-145681</t>
  </si>
  <si>
    <t>Verify preconfigured BLE HID devices are auto connected in UEFI mode after S4 , S5 , cold reboot and warm reboot cycles</t>
  </si>
  <si>
    <t>CSS-IVE-145054</t>
  </si>
  <si>
    <t>Verify CNVi WLAN Functionality in OS  pre and post S4 , S5 , warm and cold reboot cycles</t>
  </si>
  <si>
    <t>CSS-IVE-145041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</si>
  <si>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</si>
  <si>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</si>
  <si>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</si>
  <si>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</si>
  <si>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Verify CNVi WLAN and Bluetooth functionality in Pre-OS with RF Kill switch enabled on board</t>
  </si>
  <si>
    <t>CSS-IVE-113961</t>
  </si>
  <si>
    <t>BA ODC</t>
  </si>
  <si>
    <t>Verify SUT wakes from S0i3/C-MoS using Bluetooth (BT Devices)</t>
  </si>
  <si>
    <t>CSS-IVE-65480</t>
  </si>
  <si>
    <t>Verify system attains responsiveness metrics with PTT disabled Consumer IFWI with dTPM connected</t>
  </si>
  <si>
    <t>CSS-IVE-91104</t>
  </si>
  <si>
    <t>Verify system attains responsiveness metrics with PTT enabled Consumer IFWI and with OS installed on SATA HDD</t>
  </si>
  <si>
    <t>CSS-IVE-92258</t>
  </si>
  <si>
    <t>Verify system attains responsiveness metrics with PTT disabled Consumer IFWI with dTPM connected and with OS installed on SATA HDD</t>
  </si>
  <si>
    <t>CSS-IVE-92260</t>
  </si>
  <si>
    <t>Verify CNVi Bluetooth Functionality in OS before/after S3 cycle</t>
  </si>
  <si>
    <t>CSS-IVE-95144</t>
  </si>
  <si>
    <t>Verify CNVi WLAN Functionality in OS before/after S3 cycle</t>
  </si>
  <si>
    <t>CSS-IVE-95149</t>
  </si>
  <si>
    <t>Verify CNVi WLAN and Bluetooth functionality in OS with RF Kill switch enabled on board</t>
  </si>
  <si>
    <t>CSS-IVE-95225</t>
  </si>
  <si>
    <t>Verify if BIOS S3 resume time and suspend time are exceeded with VMD enabled</t>
  </si>
  <si>
    <t>Prasanth</t>
  </si>
  <si>
    <t>verify with available memory size</t>
  </si>
  <si>
    <t>Verify changed BIOS settings do not effective on power button press before saving settings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</si>
  <si>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</si>
  <si>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</si>
  <si>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</si>
  <si>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</si>
  <si>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</si>
  <si>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BIOS shall display setup option to enable or disabled Force GT Wake</t>
  </si>
  <si>
    <t>CSS-IVE-70953</t>
  </si>
  <si>
    <t>Prasath</t>
  </si>
  <si>
    <t>Verify onboard graphics driver can be Installed/uninstalled without issue in single display mode for HDMI</t>
  </si>
  <si>
    <t>CSS-IVE-70955</t>
  </si>
  <si>
    <t>Check Enable/Disable Gen2 option in BIOS for its functionality</t>
  </si>
  <si>
    <t>CSS-IVE-71251</t>
  </si>
  <si>
    <t>DMI Max Link Speed option is not available in BIOS</t>
  </si>
  <si>
    <t>Check if BIOS supports the multiple DVMT option</t>
  </si>
  <si>
    <t>CSS-IVE-92231</t>
  </si>
  <si>
    <t>14013174288</t>
  </si>
  <si>
    <t>Verify ISP camera device enumeration when GFX driver uninstalled using USB Camera</t>
  </si>
  <si>
    <t>CSS-IVE-86899</t>
  </si>
  <si>
    <t>imaging</t>
  </si>
  <si>
    <t>14013174349</t>
  </si>
  <si>
    <t>Check Audio DSP state in BIOS during CMS</t>
  </si>
  <si>
    <t>CSS-IVE-80320</t>
  </si>
  <si>
    <t>Verify Audio offload While in Connected MOS</t>
  </si>
  <si>
    <t>CSS-IVE-95211</t>
  </si>
  <si>
    <t>14013174406</t>
  </si>
  <si>
    <t>Verify CD Clock menu options in BIOS &amp; its functionality in OS</t>
  </si>
  <si>
    <t>CSS-IVE-97227</t>
  </si>
  <si>
    <t>Verify PlayReady3 functionality before &amp; after S3</t>
  </si>
  <si>
    <t>CSS-IVE-97319</t>
  </si>
  <si>
    <t>swetha</t>
  </si>
  <si>
    <t>14013174432</t>
  </si>
  <si>
    <t>Verify PlayReady3 functionality before &amp; after S4</t>
  </si>
  <si>
    <t>CSS-IVE-97320</t>
  </si>
  <si>
    <t>14013174439</t>
  </si>
  <si>
    <t>Verify PlayReady3 functionality before &amp; after S5</t>
  </si>
  <si>
    <t>CSS-IVE-97321</t>
  </si>
  <si>
    <t>14013174442</t>
  </si>
  <si>
    <t>Verify CD Clock menu settings in BIOS and its functionality in OS before &amp; after S3</t>
  </si>
  <si>
    <t>CSS-IVE-97322</t>
  </si>
  <si>
    <t>14013174444</t>
  </si>
  <si>
    <t>Verify timeout errors should not get registered in Event Viewer during AV Stress testing over WIFI connectivity</t>
  </si>
  <si>
    <t>CSS-IVE-97332</t>
  </si>
  <si>
    <t>14013174453</t>
  </si>
  <si>
    <t>Verify Front Camera functionality in OS with taking video for 15mins</t>
  </si>
  <si>
    <t>CSS-IVE-99406</t>
  </si>
  <si>
    <t>14013174569</t>
  </si>
  <si>
    <t>Verify display behaviour with HDMI Plug\Unplug HDMI during Video play back</t>
  </si>
  <si>
    <t>CSS-IVE-99731</t>
  </si>
  <si>
    <t>14013174609</t>
  </si>
  <si>
    <t>Verify video playback in OS using 3.5mm-Jack-Headset connected (Headset connected during play back)</t>
  </si>
  <si>
    <t>CSS-IVE-100025</t>
  </si>
  <si>
    <t>14013174639</t>
  </si>
  <si>
    <t>Verify 8K Display Panel enumeration in Device Manager with S3 cycles</t>
  </si>
  <si>
    <t>CSS-IVE-100921</t>
  </si>
  <si>
    <t>14013174645</t>
  </si>
  <si>
    <t>Verify 8K Display Panel enumeration in Device Manager with S4,S5, cold and warm reset cycles</t>
  </si>
  <si>
    <t>CSS-IVE-100966</t>
  </si>
  <si>
    <t>14013174656</t>
  </si>
  <si>
    <t>Verify Dual display functionality in Extended mode (onboard eDP+HDMI) Post S3 cycle</t>
  </si>
  <si>
    <t>CSS-IVE-101248</t>
  </si>
  <si>
    <t>14013174674</t>
  </si>
  <si>
    <t>Verify Dual display functionality in Extended mode (onboard eDP+HDMI) Post Connected MOS cycle</t>
  </si>
  <si>
    <t>CSS-IVE-101251</t>
  </si>
  <si>
    <t>14013174680</t>
  </si>
  <si>
    <t>Verify Dual display functionality in clone mode (onboard eDP+HDMI) Post Connected MOS cycle</t>
  </si>
  <si>
    <t>CSS-IVE-101252</t>
  </si>
  <si>
    <t>14013174724</t>
  </si>
  <si>
    <t>Verify 4K HDMI Display Panel enumeration in Device Manager</t>
  </si>
  <si>
    <t>CSS-IVE-101921</t>
  </si>
  <si>
    <t>14013174729</t>
  </si>
  <si>
    <t>Verify Display Audio Driver enumeration with 4K Panel</t>
  </si>
  <si>
    <t>CSS-IVE-101923</t>
  </si>
  <si>
    <t>14013174739</t>
  </si>
  <si>
    <t>Verify 4K Display Panel enumeration in Device Manager before and after S3 cycle</t>
  </si>
  <si>
    <t>CSS-IVE-101927</t>
  </si>
  <si>
    <t>Verify DMIC basic functionality test over High Definition Audio (HDA) Codec, pre and post S4, S5 and warm and cold reset cycles</t>
  </si>
  <si>
    <t>CSS-IVE-145665</t>
  </si>
  <si>
    <t>Verify DMIC basic functionality test over High Definition Audio (HDA) Codec, pre and post S3 cycles</t>
  </si>
  <si>
    <t>CSS-IVE-145666</t>
  </si>
  <si>
    <t>14013176417</t>
  </si>
  <si>
    <t>Verify "PCH Trace Hub Memory Region 0 Buffer Size" BIOS policy/option for NPK Support</t>
  </si>
  <si>
    <t>CSS-IVE-84939</t>
  </si>
  <si>
    <t>14013176423</t>
  </si>
  <si>
    <t>Verify "PCH TH Mem Buffer Size 1" BIOS policy/option for NPK Support</t>
  </si>
  <si>
    <t>CSS-IVE-84942</t>
  </si>
  <si>
    <t>14013176448</t>
  </si>
  <si>
    <t>Verify Intel HDA Power/Clock gating setup option in BIOS</t>
  </si>
  <si>
    <t>CSS-IVE-78781</t>
  </si>
  <si>
    <t>14013176661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</si>
  <si>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</si>
  <si>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</si>
  <si>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</si>
  <si>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</si>
  <si>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Verify BIOS should program REMAP BASE and LIMIT Registers from Memory Mapped Register Range Base Space</t>
  </si>
  <si>
    <t>CSS-IVE-101001</t>
  </si>
  <si>
    <t>selftest - Run in 4SP2</t>
  </si>
  <si>
    <t>14013176879</t>
  </si>
  <si>
    <t>Verify Clear LPP_CTL.LPMEN bit before initializing Trace Hub</t>
  </si>
  <si>
    <t>CSS-IVE-102188</t>
  </si>
  <si>
    <t>Verify BIOS support for multiple PCI segments</t>
  </si>
  <si>
    <t>CSS-IVE-102195</t>
  </si>
  <si>
    <t>Validate USB3.2 Gen2x2 Storage device functionality after CMS Cycles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</si>
  <si>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</si>
  <si>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</si>
  <si>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</si>
  <si>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</si>
  <si>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</si>
  <si>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</si>
  <si>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</si>
  <si>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CMS/S0i3 cycles with online video streaming</t>
  </si>
  <si>
    <t>CSS-IVE-89996</t>
  </si>
  <si>
    <t>4SP2</t>
  </si>
  <si>
    <t>used battery with 5%</t>
  </si>
  <si>
    <t>Laptop chrger</t>
  </si>
  <si>
    <t>varun</t>
  </si>
  <si>
    <t>Abhilash</t>
  </si>
  <si>
    <t>inventory block</t>
  </si>
  <si>
    <t>verified with Nth stepping</t>
  </si>
  <si>
    <t>SATA SDD</t>
  </si>
  <si>
    <t>Divya</t>
  </si>
  <si>
    <t>verified with ADL-P tag</t>
  </si>
  <si>
    <t>anil</t>
  </si>
  <si>
    <t>res 1920x1280</t>
  </si>
  <si>
    <t>intel</t>
  </si>
  <si>
    <t>Verify SUT wake from S0i3/C-MoS using LAN</t>
  </si>
  <si>
    <t>CSS-IVE-114803</t>
  </si>
  <si>
    <t>Verify system does not wake from Sx via LAN with "wake on LAN" option disabled in BIOS</t>
  </si>
  <si>
    <t>CSS-IVE-114943</t>
  </si>
  <si>
    <t>Verify BIOS have ability to enable and disable Wake on LAN</t>
  </si>
  <si>
    <t>CSS-IVE-115600</t>
  </si>
  <si>
    <t>verified with 8087 &amp; PID 0033</t>
  </si>
  <si>
    <t>Verify System achieve SLP_S0 residency when GBE is enabled or disabled in BIOS</t>
  </si>
  <si>
    <t>CSS-IVE-117848</t>
  </si>
  <si>
    <t>Verify SUT wakes from S3 using Touchpad</t>
  </si>
  <si>
    <t>CSS-IVE-147135</t>
  </si>
  <si>
    <t>wake form S3</t>
  </si>
  <si>
    <t>NA for DDR5 or LPDDR5</t>
  </si>
  <si>
    <t>CLID-8927</t>
  </si>
  <si>
    <t>Verify disable/enable of Internal GbE Controller in BIOS</t>
  </si>
  <si>
    <t>CSS-IVE-62149</t>
  </si>
  <si>
    <t>SGOM</t>
  </si>
  <si>
    <t>CLID-8540</t>
  </si>
  <si>
    <t>only checked with BT keyboard</t>
  </si>
  <si>
    <t>verified with BT keyboard</t>
  </si>
  <si>
    <t xml:space="preserve">Memory Frequency and Memory size values are same in bios and os 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</si>
  <si>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</si>
  <si>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</si>
  <si>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</si>
  <si>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</si>
  <si>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</si>
  <si>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</si>
  <si>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</si>
  <si>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</si>
  <si>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</si>
  <si>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</si>
  <si>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</si>
  <si>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</si>
  <si>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</si>
  <si>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</si>
  <si>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</si>
  <si>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</si>
  <si>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</si>
  <si>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</si>
  <si>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</si>
  <si>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</si>
  <si>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</si>
  <si>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</si>
  <si>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</si>
  <si>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</si>
  <si>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</si>
  <si>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</si>
  <si>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</si>
  <si>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</si>
  <si>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</si>
  <si>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</si>
  <si>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upgradation from OS using TDT tool</t>
  </si>
  <si>
    <t>CSS-IVE-145324</t>
  </si>
  <si>
    <t>Retimer Firmware tool is not available</t>
  </si>
  <si>
    <t>Verify Retimer firmware Down gradation from OS using TDT tool</t>
  </si>
  <si>
    <t>CSS-IVE-145370</t>
  </si>
  <si>
    <t>14013165372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</si>
  <si>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</si>
  <si>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</si>
  <si>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</si>
  <si>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</si>
  <si>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</si>
  <si>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CSS-IVE-145373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</si>
  <si>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</si>
  <si>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</si>
  <si>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</si>
  <si>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</si>
  <si>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</si>
  <si>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</si>
  <si>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</si>
  <si>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</si>
  <si>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</si>
  <si>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</si>
  <si>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</si>
  <si>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</si>
  <si>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</si>
  <si>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</si>
  <si>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</si>
  <si>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</si>
  <si>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</si>
  <si>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</si>
  <si>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</si>
  <si>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</si>
  <si>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</si>
  <si>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</si>
  <si>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</si>
  <si>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</si>
  <si>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</si>
  <si>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</si>
  <si>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</si>
  <si>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</si>
  <si>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</si>
  <si>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</si>
  <si>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with One Moniter only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</si>
  <si>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</si>
  <si>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</si>
  <si>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</si>
  <si>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</si>
  <si>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DeepSx cycle with all Type-C ports - DP, HDMI and USB</t>
  </si>
  <si>
    <t>CSS-IVE-145221</t>
  </si>
  <si>
    <t>Verify fast boot functionality and BIOS setup options</t>
  </si>
  <si>
    <t>CSS-IVE-50906</t>
  </si>
  <si>
    <t>14013115234</t>
  </si>
  <si>
    <t>Verify if system boots in Fast Boot mode from Cold Boot with system hardware configuration unchanged</t>
  </si>
  <si>
    <t>CSS-IVE-50972</t>
  </si>
  <si>
    <t>14013115427</t>
  </si>
  <si>
    <t>Verify system resumes from S4 with FastBoot mode enabled</t>
  </si>
  <si>
    <t>CSS-IVE-50985</t>
  </si>
  <si>
    <t>14013116396</t>
  </si>
  <si>
    <t>Verify proper screen is displayed when any non-predefined keys/predefined keys is pressed with fastboot enabled.</t>
  </si>
  <si>
    <t>CSS-IVE-51084</t>
  </si>
  <si>
    <t>14013116828</t>
  </si>
  <si>
    <t>Verify Splash screen and USB device enumeration are skipped when system fast boots to OS.</t>
  </si>
  <si>
    <t>CSS-IVE-51143</t>
  </si>
  <si>
    <t>14013117217</t>
  </si>
  <si>
    <t>Verify Windows boot options menu can be initiated on restart, overriding Fast Boot settings</t>
  </si>
  <si>
    <t>CSS-IVE-51226</t>
  </si>
  <si>
    <t>14013117361</t>
  </si>
  <si>
    <t>Verify Fast Boot and Full Boot timings and compare both</t>
  </si>
  <si>
    <t>CSS-IVE-51264</t>
  </si>
  <si>
    <t>14013120738</t>
  </si>
  <si>
    <t>Verify that MRC training is not repeated after the fast boot and force repeated post cold boot.</t>
  </si>
  <si>
    <t>CSS-IVE-54174</t>
  </si>
  <si>
    <t>14013158182</t>
  </si>
  <si>
    <t>Verify whether system is able to complete S5 (Shutdown) cycles after disabling fast boot in Performance BIOS</t>
  </si>
  <si>
    <t>CSS-IVE-69897</t>
  </si>
  <si>
    <t>14013165985</t>
  </si>
  <si>
    <t>Verify BIOS S3 resume and suspend delta times are inline with responsiveness metrics</t>
  </si>
  <si>
    <t>CSS-IVE-69084</t>
  </si>
  <si>
    <t>14013166044</t>
  </si>
  <si>
    <t>Verify system stability post Gfx overclocking</t>
  </si>
  <si>
    <t>CSS-IVE-70860</t>
  </si>
  <si>
    <t>overclocking</t>
  </si>
  <si>
    <t>Performance Tuning and overclocking</t>
  </si>
  <si>
    <t>14013166087</t>
  </si>
  <si>
    <t>Verify BIOS gives user an option to change Memory frequencies</t>
  </si>
  <si>
    <t>CSS-IVE-71099</t>
  </si>
  <si>
    <t>14013166219</t>
  </si>
  <si>
    <t>Verify user should be able to read and write Voltage / frequency override values for System Agent domain</t>
  </si>
  <si>
    <t>CSS-IVE-71328</t>
  </si>
  <si>
    <t>14013166315</t>
  </si>
  <si>
    <t>Verify Overclocking capabilities for GT can be read via Overclocking mailbox</t>
  </si>
  <si>
    <t>CSS-IVE-95543</t>
  </si>
  <si>
    <t>14013166440</t>
  </si>
  <si>
    <t>Verify system stability on clocking to 150 Mhz BClk frequency</t>
  </si>
  <si>
    <t>CSS-IVE-114219</t>
  </si>
  <si>
    <t>14013166714</t>
  </si>
  <si>
    <t>Verify deprecated features does not come up as part of Overclocking user interface as part of Setup</t>
  </si>
  <si>
    <t>CSS-IVE-122128</t>
  </si>
  <si>
    <t>14013166736</t>
  </si>
  <si>
    <t>Verify Overclocking lock happens prior to 2nd patch load</t>
  </si>
  <si>
    <t>CSS-IVE-129923</t>
  </si>
  <si>
    <t>14013166741</t>
  </si>
  <si>
    <t>Verify user can enable / disable Hyper threading on an Overclocking enabled system</t>
  </si>
  <si>
    <t>CSS-IVE-133046</t>
  </si>
  <si>
    <t>14013166744</t>
  </si>
  <si>
    <t>Validate BCLK can be adjusted at real time for changes upto 15Mhz</t>
  </si>
  <si>
    <t>CSS-IVE-133044</t>
  </si>
  <si>
    <t>14013166925</t>
  </si>
  <si>
    <t>Verify Fast Boot Timing is impacted not more than threshold limit with and without TPM enabled</t>
  </si>
  <si>
    <t>CSS-IVE-80274</t>
  </si>
  <si>
    <t>14013166930</t>
  </si>
  <si>
    <t>System should support Multi-Monitor with fast boot mode enabled</t>
  </si>
  <si>
    <t>CSS-IVE-80242</t>
  </si>
  <si>
    <t>14013166939</t>
  </si>
  <si>
    <t>System should perform full boot when it is shut down using 4 second Power button override (Type 2 exception) with fast boot mode enabled</t>
  </si>
  <si>
    <t>CSS-IVE-80255</t>
  </si>
  <si>
    <t>14013166943</t>
  </si>
  <si>
    <t>Verify that system falls back to full boot mode when Intel RST Premium and OROM UI &amp; banner are enabled even with fast boot enabled</t>
  </si>
  <si>
    <t>CSS-IVE-80273</t>
  </si>
  <si>
    <t>14013166951</t>
  </si>
  <si>
    <t>Verify BIOS fast boots from second bootable device, if first bootable device fails to load when fast boot mode is enabled</t>
  </si>
  <si>
    <t>CSS-IVE-80288</t>
  </si>
  <si>
    <t>14013166957</t>
  </si>
  <si>
    <t>System should continue to boot in fast boot mode even after output console is changed</t>
  </si>
  <si>
    <t>CSS-IVE-80300</t>
  </si>
  <si>
    <t>14013166966</t>
  </si>
  <si>
    <t>System should continue to boot in fast boot mode even after input console is changed</t>
  </si>
  <si>
    <t>CSS-IVE-80302</t>
  </si>
  <si>
    <t>Verified with USB keyboard</t>
  </si>
  <si>
    <t>14013166973</t>
  </si>
  <si>
    <t>Verify system skips fast boot when memory configuration change is detected</t>
  </si>
  <si>
    <t>CSS-IVE-75860</t>
  </si>
  <si>
    <t>verified with inbuilt memory</t>
  </si>
  <si>
    <t>14013166980</t>
  </si>
  <si>
    <t>Verify BIOS enumerates all the "Reconnect Last Good Input Consoles" with fast boot enabled</t>
  </si>
  <si>
    <t>CSS-IVE-78744</t>
  </si>
  <si>
    <t>14013166986</t>
  </si>
  <si>
    <t>Verify BEEP sound is not heard during boot with fast boot enabled.</t>
  </si>
  <si>
    <t>CSS-IVE-80272</t>
  </si>
  <si>
    <t>14013166995</t>
  </si>
  <si>
    <t>Verify POST or Splash Screen is not displayed with "Fast Boot" enabled in BIOS</t>
  </si>
  <si>
    <t>CSS-IVE-80277</t>
  </si>
  <si>
    <t>14013167008</t>
  </si>
  <si>
    <t>Full boot should move successful boot target to front of boot list for subsequent fast boots when fast boot is enabled</t>
  </si>
  <si>
    <t>CSS-IVE-80327</t>
  </si>
  <si>
    <t>14013167011</t>
  </si>
  <si>
    <t>Validate Sx Cycles with Performance Bios</t>
  </si>
  <si>
    <t>CSS-IVE-80328</t>
  </si>
  <si>
    <t>14013167043</t>
  </si>
  <si>
    <t>Verify that system boots in fast boot mode with Silent boot enabled</t>
  </si>
  <si>
    <t>CSS-IVE-80333</t>
  </si>
  <si>
    <t>14013167052</t>
  </si>
  <si>
    <t>Verify whether GOP Init completes in less than threshold limit with Consumer IFWI</t>
  </si>
  <si>
    <t>CSS-IVE-92714</t>
  </si>
  <si>
    <t>verified in GUID (SST)</t>
  </si>
  <si>
    <t>14013167054</t>
  </si>
  <si>
    <t>System should fall back to full boot from fast boot when it detects CPU replacement</t>
  </si>
  <si>
    <t>CSS-IVE-80241</t>
  </si>
  <si>
    <t>verified with n stepping</t>
  </si>
  <si>
    <t>14013167061</t>
  </si>
  <si>
    <t>System should fall back to full boot from fast boot when BIOS detects RTC battery is drained out</t>
  </si>
  <si>
    <t>CSS-IVE-80152</t>
  </si>
  <si>
    <t>14013167069</t>
  </si>
  <si>
    <t>System should fall back to full boot from fast boot when it detects CMOS jumpers were shorted</t>
  </si>
  <si>
    <t>CSS-IVE-80111</t>
  </si>
  <si>
    <t>14013167076</t>
  </si>
  <si>
    <t>Verify system attains responsiveness metrics with PTT enabled Consumer IFWI and with OS installed on PleasantStar SSD</t>
  </si>
  <si>
    <t>CSS-IVE-101007</t>
  </si>
  <si>
    <t>14013167092</t>
  </si>
  <si>
    <t>Verify system attains responsiveness metrics with PTT enabled Consumer IFWI and with OS installed on M.2 SATA SSD</t>
  </si>
  <si>
    <t>CSS-IVE-101009</t>
  </si>
  <si>
    <t>14013167252</t>
  </si>
  <si>
    <t>Verify system boots in Fast Boot mode when legacy device are connected</t>
  </si>
  <si>
    <t>CSS-IVE-117479</t>
  </si>
  <si>
    <t>14013167326</t>
  </si>
  <si>
    <t>Verify responsiveness metrics are attained by system flashed with  ((Pre_Prod IFWI) or (Prod IFWI)) + Internal BIOS and with IOMMU disabled</t>
  </si>
  <si>
    <t>CSS-IVE-118818</t>
  </si>
  <si>
    <t>verified without TBT-Board_AIC</t>
  </si>
  <si>
    <t>14013167336</t>
  </si>
  <si>
    <t>Verify responsiveness metrics are attained by system flashed with  Pre_Prod IFWI + Internal BIOS and with IOMMU enabled with exception list</t>
  </si>
  <si>
    <t>CSS-IVE-118824</t>
  </si>
  <si>
    <t>14013167355</t>
  </si>
  <si>
    <t>Verify responsiveness metrics are attained by system flashed with ((Pre_Prod IFWI) or (Prod IFWI)) + External BIOS and with IOMMU disabled</t>
  </si>
  <si>
    <t>CSS-IVE-118825</t>
  </si>
  <si>
    <t>14013167380</t>
  </si>
  <si>
    <t>Verify responsiveness metrics are attained by system flashed with ((Pre_Prod IFWI) or (Prod IFWI))  + External BIOS and with IOMMU enabled with exception list</t>
  </si>
  <si>
    <t>CSS-IVE-118826</t>
  </si>
  <si>
    <t>14013167401</t>
  </si>
  <si>
    <t>Verify Cold Boot time is inline with responsiveness metrics when Pre-boot DMA protection disabled</t>
  </si>
  <si>
    <t>CSS-IVE-118827</t>
  </si>
  <si>
    <t>14013167451</t>
  </si>
  <si>
    <t>Verify responsiveness metrics are attained with Pre-boot DMA protection enabled with a TBT storage device plugged in</t>
  </si>
  <si>
    <t>CSS-IVE-118828</t>
  </si>
  <si>
    <t>14013167486</t>
  </si>
  <si>
    <t>Verify Cold Boot time is inline with responsiveness metrics when Pre-boot DMA protection enabled with a TBT storage device plugged in</t>
  </si>
  <si>
    <t>CSS-IVE-118829</t>
  </si>
  <si>
    <t>14013167520</t>
  </si>
  <si>
    <t>Verify Cold Boot time is inline with responsiveness metrics when Pre-boot DMA protection enabled without any TBT devices plugged in</t>
  </si>
  <si>
    <t>CSS-IVE-118830</t>
  </si>
  <si>
    <t>14013167540</t>
  </si>
  <si>
    <t>Verify responsiveness metrics are attained with Pre-boot DMA protection Disabled</t>
  </si>
  <si>
    <t>CSS-IVE-118831</t>
  </si>
  <si>
    <t>14013167579</t>
  </si>
  <si>
    <t>Verify responsiveness metrics are attained by system flashed with  Pre_Prod IFWI + External BIOS and with IOMMU enabled with exception list</t>
  </si>
  <si>
    <t>CSS-IVE-118889</t>
  </si>
  <si>
    <t>14013167586</t>
  </si>
  <si>
    <t>Verify Quiet Boot is disabled when Fast Boot enabled in BIOS option</t>
  </si>
  <si>
    <t>CSS-IVE-122398</t>
  </si>
  <si>
    <t>14013167593</t>
  </si>
  <si>
    <t>Verify system attains responsiveness metrics with PTT enabled Consumer IFWI (1x32MB)size and with OS installed on PleasantStar SSD</t>
  </si>
  <si>
    <t>CSS-IVE-133064</t>
  </si>
  <si>
    <t>14013168995</t>
  </si>
  <si>
    <t>Verify that MRC training  Gear 1 with Gear 2</t>
  </si>
  <si>
    <t>CSS-IVE-133640</t>
  </si>
  <si>
    <t>16014913842</t>
  </si>
  <si>
    <t>Verify Splash screen and USB device enumeration when system boots in full boot</t>
  </si>
  <si>
    <t>Verify Dual Controller Support - USB3.1 Gen2 storage functionality after cold boot</t>
  </si>
  <si>
    <t>CSS-IVE-101375</t>
  </si>
  <si>
    <t>Verify Type-C multi port functionality - USB Hub, HDMI,TBT eGFx,Consumer before/after Sx and reboot state</t>
  </si>
  <si>
    <t>CSS-IVE-101393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</si>
  <si>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</si>
  <si>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</si>
  <si>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</si>
  <si>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</si>
  <si>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</si>
  <si>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</si>
  <si>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</si>
  <si>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</si>
  <si>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CSS-IVE-101431</t>
  </si>
  <si>
    <t>CSS-IVE-101433</t>
  </si>
  <si>
    <t>CSS-IVE-101445</t>
  </si>
  <si>
    <t>CSS-IVE-101450</t>
  </si>
  <si>
    <t>CSS-IVE-101470</t>
  </si>
  <si>
    <t>Verify Type-C multi port functionality - WinDBG,TBT-Display,TBT-SSD, TBT-Dock on Hot Plug</t>
  </si>
  <si>
    <t>CSS-IVE-101386</t>
  </si>
  <si>
    <t>14013162831</t>
  </si>
  <si>
    <t>Verify Dual Controller Support - USB4 Hub &amp; USB4 Dock functionality after S4, S5 and warm boot cycles</t>
  </si>
  <si>
    <t>CSS-IVE-122118</t>
  </si>
  <si>
    <t>ODC</t>
  </si>
  <si>
    <t>14013162835</t>
  </si>
  <si>
    <t>Verify Dual Controller Support - USB4 Hub &amp; USB4 Dock functionality on Hot-Plug</t>
  </si>
  <si>
    <t>CSS-IVE-122119</t>
  </si>
  <si>
    <t>Verify with USB 4 HUB only</t>
  </si>
  <si>
    <t>Verify Dual Controller Support - USB4 Hub &amp; USB4 Dock functionality on Cold-Plug</t>
  </si>
  <si>
    <t>CSS-IVE-122120</t>
  </si>
  <si>
    <t>Verify USB4 storage functionality hot plug during S4, S5 cycles</t>
  </si>
  <si>
    <t>CSS-IVE-122124</t>
  </si>
  <si>
    <t>clarification raised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</si>
  <si>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</si>
  <si>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</si>
  <si>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</si>
  <si>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</si>
  <si>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</si>
  <si>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</si>
  <si>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</si>
  <si>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</si>
  <si>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</si>
  <si>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</si>
  <si>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</si>
  <si>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</si>
  <si>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Bios programs power management configuration registers correctly</t>
  </si>
  <si>
    <t>CSS-IVE-145818</t>
  </si>
  <si>
    <t>steps will be modified confirmation from co</t>
  </si>
  <si>
    <t>harshitha</t>
  </si>
  <si>
    <t>Verify Bios sends IPC1 command to check for errors in the IPC1 interface during CPU strap overrides</t>
  </si>
  <si>
    <t>CSS-IVE-145869</t>
  </si>
  <si>
    <t>14013157693</t>
  </si>
  <si>
    <t>Verify S0ix address passed to OS as part of LPIT table is programmed correctly</t>
  </si>
  <si>
    <t>CSS-IVE-145870</t>
  </si>
  <si>
    <t>Verify system stability post Sx cycles with Lid Switch as wake source</t>
  </si>
  <si>
    <t>CSS-IVE-65921</t>
  </si>
  <si>
    <t>14013157822</t>
  </si>
  <si>
    <t>Verify System stability on staying in idle state for 12 hours with Display ON</t>
  </si>
  <si>
    <t>CSS-IVE-50608</t>
  </si>
  <si>
    <t>[Type-c]Verify RTD3 support for USB3.0 device (Pendrive)</t>
  </si>
  <si>
    <t>CSS-IVE-66100</t>
  </si>
  <si>
    <t>2SD</t>
  </si>
  <si>
    <t>Verify RTD3 support for USB2.0 Device</t>
  </si>
  <si>
    <t>CSS-IVE-66099</t>
  </si>
  <si>
    <t>14013158128</t>
  </si>
  <si>
    <t>Verify all BKC drivers gets installed successfully via command line Installation</t>
  </si>
  <si>
    <t>CSS-IVE-67697</t>
  </si>
  <si>
    <t xml:space="preserve">verified in GC </t>
  </si>
  <si>
    <t>Verify devices (M.2 SATA SSD, WiFi, BT, Camera, Touch Panel) are entering to RTD3 cold state</t>
  </si>
  <si>
    <t>CSS-IVE-70971</t>
  </si>
  <si>
    <t>14013158446</t>
  </si>
  <si>
    <t>Verify RTD3 residency for SATA HDD during S0(Idle) and DMS states</t>
  </si>
  <si>
    <t>CSS-IVE-79966</t>
  </si>
  <si>
    <t>Na</t>
  </si>
  <si>
    <t>14013158470</t>
  </si>
  <si>
    <t>Verify different power states (Active/IDLE, partial and slumber) for SATA Phy layer</t>
  </si>
  <si>
    <t>CSS-IVE-88927</t>
  </si>
  <si>
    <t>14013158485</t>
  </si>
  <si>
    <t>Verify that ACPI supports Low Power Idle Table (LPIT) to support Modern Standby</t>
  </si>
  <si>
    <t>CSS-IVE-78644</t>
  </si>
  <si>
    <t>14013158501</t>
  </si>
  <si>
    <t>Verify system stability on performing 3 cycles of Warm and Cold boot cycles</t>
  </si>
  <si>
    <t>CSS-IVE-92240</t>
  </si>
  <si>
    <t>14013158871</t>
  </si>
  <si>
    <t>Verify Sx/S0ix cycle"s with ODD connected to System</t>
  </si>
  <si>
    <t>CSS-IVE-95195</t>
  </si>
  <si>
    <t>inventory block ZPODD</t>
  </si>
  <si>
    <t>14013158965</t>
  </si>
  <si>
    <t>Verify RTD3 residency for SATA SSD during CS and Idle states</t>
  </si>
  <si>
    <t>CSS-IVE-95782</t>
  </si>
  <si>
    <t>14013158967</t>
  </si>
  <si>
    <t>Verify no errors gets registered as part of configuration registers post Sx cycles</t>
  </si>
  <si>
    <t>CSS-IVE-97229</t>
  </si>
  <si>
    <t>14013158987</t>
  </si>
  <si>
    <t>Verify System won"t wake from S3 when HDMI display hot plug-in and hot plug-out</t>
  </si>
  <si>
    <t>CSS-IVE-98898</t>
  </si>
  <si>
    <t>14013158996</t>
  </si>
  <si>
    <t>Validate USB3.1 Gen2 device functionality with pre and post Sx cycles over USB3.0 Type-A port</t>
  </si>
  <si>
    <t>CSS-IVE-99296</t>
  </si>
  <si>
    <t>14013158998</t>
  </si>
  <si>
    <t>Verify USB3.1 gen2 device enumeration as SuperSpeed+ device over USB3.0 Type-A port</t>
  </si>
  <si>
    <t>CSS-IVE-99297</t>
  </si>
  <si>
    <t>14013159000</t>
  </si>
  <si>
    <t>Validate USB3.1 gen2 device functionality before/after C-MoS state over USB3.1 Type-A port</t>
  </si>
  <si>
    <t>CSS-IVE-99298</t>
  </si>
  <si>
    <t>14013159008</t>
  </si>
  <si>
    <t>Verify system stability on performing Sx cycles with "Driver Verifier Options" enabled in OS</t>
  </si>
  <si>
    <t>CSS-IVE-99403</t>
  </si>
  <si>
    <t>14013159034</t>
  </si>
  <si>
    <t>Verify display turns off post reaching RTC time limit</t>
  </si>
  <si>
    <t>CSS-IVE-99965</t>
  </si>
  <si>
    <t>14013159304</t>
  </si>
  <si>
    <t>Validate system performs S4 and S5 cycles with "10Sec power button OVR" enabled in Bios with system in AC mode</t>
  </si>
  <si>
    <t>CSS-IVE-100993</t>
  </si>
  <si>
    <t>Verify system performs Sx cycle successfully irrespective of EC Low power mode option in Bios</t>
  </si>
  <si>
    <t>CSS-IVE-100997</t>
  </si>
  <si>
    <t>14013159844</t>
  </si>
  <si>
    <t>Verify Deep Sx LED Status</t>
  </si>
  <si>
    <t>CSS-IVE-101353</t>
  </si>
  <si>
    <t xml:space="preserve"> deep sx</t>
  </si>
  <si>
    <t>14013159852</t>
  </si>
  <si>
    <t>Verify Package C10 Residency post Hibernation</t>
  </si>
  <si>
    <t>CSS-IVE-101379</t>
  </si>
  <si>
    <t>14013115314</t>
  </si>
  <si>
    <t>Verify device manager post sleep cycling with system in AC mode</t>
  </si>
  <si>
    <t>CSS-IVE-50980</t>
  </si>
  <si>
    <t>14013119169</t>
  </si>
  <si>
    <t>Verify Sx functionality post generating BSOD</t>
  </si>
  <si>
    <t>CSS-IVE-52489</t>
  </si>
  <si>
    <t>14013119607</t>
  </si>
  <si>
    <t>Verify the functionality of devices after 10 S3/S0i3 and S4 Cycle in AC and DC</t>
  </si>
  <si>
    <t>CSS-IVE-52841</t>
  </si>
  <si>
    <t>14013119649</t>
  </si>
  <si>
    <t>Verify video playback post sleep cycling</t>
  </si>
  <si>
    <t>CSS-IVE-53879</t>
  </si>
  <si>
    <t>14013120050</t>
  </si>
  <si>
    <t>Verify audio playback post Sleep cycling in AC mode</t>
  </si>
  <si>
    <t>CSS-IVE-53890</t>
  </si>
  <si>
    <t>14013120901</t>
  </si>
  <si>
    <t>Verify Platform PL1 and PL2 status reflection as part of MSR_PLATFORM_POWER_LIMIT MSR</t>
  </si>
  <si>
    <t>CSS-IVE-54205</t>
  </si>
  <si>
    <t>14013156796</t>
  </si>
  <si>
    <t>Verify P-State transitions of CPU based on Turbo mode</t>
  </si>
  <si>
    <t>CSS-IVE-50809</t>
  </si>
  <si>
    <t>14013156809</t>
  </si>
  <si>
    <t>Verify number of P states and ratio that can be set as part of Custom P - State table</t>
  </si>
  <si>
    <t>CSS-IVE-50832</t>
  </si>
  <si>
    <t>14013156833</t>
  </si>
  <si>
    <t>Validate "Power Limit 2" BIOS options</t>
  </si>
  <si>
    <t>CSS-IVE-64117</t>
  </si>
  <si>
    <t>Validate Intel Speed Step functionality</t>
  </si>
  <si>
    <t>CSS-IVE-44268</t>
  </si>
  <si>
    <t>Verify package C-states support with system in AC mode</t>
  </si>
  <si>
    <t>CSS-IVE-44355</t>
  </si>
  <si>
    <t>14013156847</t>
  </si>
  <si>
    <t>Verify "C-states" is enabled by default in BIOS</t>
  </si>
  <si>
    <t>CSS-IVE-44356</t>
  </si>
  <si>
    <t>14013156854</t>
  </si>
  <si>
    <t>Verify user cant override Flex ratio when Flex ratio indication bit is cleared</t>
  </si>
  <si>
    <t>CSS-IVE-65803</t>
  </si>
  <si>
    <t>14013156860</t>
  </si>
  <si>
    <t>Verify the Intel(R) Speed Shift Technology performance via IA32_HWP_REQUEST MSR</t>
  </si>
  <si>
    <t>CSS-IVE-50830</t>
  </si>
  <si>
    <t>14013156862</t>
  </si>
  <si>
    <t>Verify BIOS control of Intel(R) Speed Shift Technology (HWP) via MISC_PWR_MGMT MSR</t>
  </si>
  <si>
    <t>CSS-IVE-65799</t>
  </si>
  <si>
    <t>14013156870</t>
  </si>
  <si>
    <t>Verify Intel(R) Speed Shift Technology Capabilities via IA32_HWP_CAPABILITIES MSR</t>
  </si>
  <si>
    <t>CSS-IVE-50718</t>
  </si>
  <si>
    <t>14013156877</t>
  </si>
  <si>
    <t>Verify package C-state won"t be available on disabling C-states in Bios</t>
  </si>
  <si>
    <t>CSS-IVE-47419</t>
  </si>
  <si>
    <t>14013156879</t>
  </si>
  <si>
    <t>Verify the CPU reaches its rated turbo speed when all cores are active.</t>
  </si>
  <si>
    <t>CSS-IVE-50712</t>
  </si>
  <si>
    <t>14013156896</t>
  </si>
  <si>
    <t>Verify status of Turbo mode on disabling EIST(Enhanced Intel Speed Step) via IA32_MISC_ENABLE MSR</t>
  </si>
  <si>
    <t>CSS-IVE-50709</t>
  </si>
  <si>
    <t>14013156898</t>
  </si>
  <si>
    <t>Verify TURBO_POWER_LIMIT via PACKAGE_RAPL_LIMIT MSR</t>
  </si>
  <si>
    <t>CSS-IVE-50708</t>
  </si>
  <si>
    <t>14013156900</t>
  </si>
  <si>
    <t>Verify core C6 residency with system in S0 state</t>
  </si>
  <si>
    <t>CSS-IVE-64415</t>
  </si>
  <si>
    <t>14013156903</t>
  </si>
  <si>
    <t>Verify Intel(R) Speed Shift Technology Interrupt Notification status via MISC_PWR_MGMT MSR</t>
  </si>
  <si>
    <t>CSS-IVE-50717</t>
  </si>
  <si>
    <t>14013156976</t>
  </si>
  <si>
    <t>Verify Package Power Limit 1 Time window</t>
  </si>
  <si>
    <t>CSS-IVE-71141</t>
  </si>
  <si>
    <t>14013156979</t>
  </si>
  <si>
    <t>Verify CPU Flex Ratio Override setup option</t>
  </si>
  <si>
    <t>CSS-IVE-71156</t>
  </si>
  <si>
    <t>14013156980</t>
  </si>
  <si>
    <t>Verify CPU supports for PSYS feature</t>
  </si>
  <si>
    <t>CSS-IVE-71186</t>
  </si>
  <si>
    <t>14013157004</t>
  </si>
  <si>
    <t>Verify core ratio limit overrides reverts back to default values correctly on loading Bios defaults</t>
  </si>
  <si>
    <t>CSS-IVE-80837</t>
  </si>
  <si>
    <t>14013157008</t>
  </si>
  <si>
    <t>Verify Power Limit 3 via PL3_CONTROL MSR</t>
  </si>
  <si>
    <t>CSS-IVE-80989</t>
  </si>
  <si>
    <t>14013157009</t>
  </si>
  <si>
    <t>Verify Bios has an option to change the PL3 Time window Value</t>
  </si>
  <si>
    <t>CSS-IVE-81018</t>
  </si>
  <si>
    <t>14013157010</t>
  </si>
  <si>
    <t>Verify config TDP levels supported via CONFIG_TDP_CONTROL MSR</t>
  </si>
  <si>
    <t>CSS-IVE-84556</t>
  </si>
  <si>
    <t>Serial IO configuration options check for default, enable and disable in BIOS</t>
  </si>
  <si>
    <t>CSS-IVE-51374</t>
  </si>
  <si>
    <t>io_general</t>
  </si>
  <si>
    <t>Verify PCIe device enumeration before/after Sx-cycles</t>
  </si>
  <si>
    <t>CSS-IVE-80338</t>
  </si>
  <si>
    <t>Verify ACPI CPPC objects from SSDT and DSDT</t>
  </si>
  <si>
    <t>CSS-IVE-50726</t>
  </si>
  <si>
    <t>14013160825</t>
  </si>
  <si>
    <t>Verify BIOS should provide the options to enable/disable for PEP CSME PCI device and should pass all PEP Constraints</t>
  </si>
  <si>
    <t>CSS-IVE-105859</t>
  </si>
  <si>
    <t>HSDES: 16017139708 - [RPL][RPL_P][LP5][J0]:  unable to run pepBIOSchecker tool</t>
  </si>
  <si>
    <t>14013160847</t>
  </si>
  <si>
    <t>Verify BIOS should support to enable PEP constrain on Gbe and should pass all PEP Constraints</t>
  </si>
  <si>
    <t>CSS-IVE-108387</t>
  </si>
  <si>
    <t>power_management.modern_standby</t>
  </si>
  <si>
    <t>14013161732</t>
  </si>
  <si>
    <t>Verify bios an option to enable/disable "Intel Turbo Boost Max Technology 3.0"</t>
  </si>
  <si>
    <t>CSS-IVE-117487</t>
  </si>
  <si>
    <t>14013161901</t>
  </si>
  <si>
    <t>Verify Bios has separate options to enable Deep S4 and Deep S5</t>
  </si>
  <si>
    <t>CSS-IVE-115841</t>
  </si>
  <si>
    <t>14013162068</t>
  </si>
  <si>
    <t>Verify GUID of ACPI &amp; SMBIOS table</t>
  </si>
  <si>
    <t>CSS-IVE-105604</t>
  </si>
  <si>
    <t>14013163540</t>
  </si>
  <si>
    <t>Verify platform's PL1,PL2 and Tau registers values in MSR and MMIO  when Dual Tau option Enabled in Bios  with pre and post Sx</t>
  </si>
  <si>
    <t>CSS-IVE-133578</t>
  </si>
  <si>
    <t>14013163970</t>
  </si>
  <si>
    <t>Verify BIOS setup options for RFI Spread Spectrum control (SSC) range</t>
  </si>
  <si>
    <t>CSS-IVE-135386</t>
  </si>
  <si>
    <t>14013173233</t>
  </si>
  <si>
    <t>Verify current PECI access mode can be configured from BIOS menu</t>
  </si>
  <si>
    <t>CSS-IVE-147208</t>
  </si>
  <si>
    <t>io_general.spi</t>
  </si>
  <si>
    <t>14013173261</t>
  </si>
  <si>
    <t>[FSP2.0]: Verify FSP_SMBIOS_MEMORY_INFO_HOB table</t>
  </si>
  <si>
    <t>CSS-IVE-79821</t>
  </si>
  <si>
    <t>14013173264</t>
  </si>
  <si>
    <t>[FSP] Boot mode Check (Full Configuration,S3 Resume &amp; S4 Resume)</t>
  </si>
  <si>
    <t>CSS-IVE-78919</t>
  </si>
  <si>
    <t>14013173302</t>
  </si>
  <si>
    <t>[FSP][GCC]: Verify FSP_SMBIOS_MEMORY_INFO_HOB table</t>
  </si>
  <si>
    <t>CSS-IVE-132858</t>
  </si>
  <si>
    <t>14013175782</t>
  </si>
  <si>
    <t>Verify Disabling the Internal GbE Controller - Detect GbE Flash Region</t>
  </si>
  <si>
    <t>CSS-IVE-63280</t>
  </si>
  <si>
    <t>14013178209</t>
  </si>
  <si>
    <t>Verify  PMC executes the Host Boot Post   IccConfig chipsetinit to program USB3Reg1 register bits</t>
  </si>
  <si>
    <t>CSS-IVE-135435</t>
  </si>
  <si>
    <t>14013178354</t>
  </si>
  <si>
    <t>Verify Subsystem Vendor ID and Subsystem ID register in BDF-0:0:0 is correctly configured by BIOS</t>
  </si>
  <si>
    <t>CSS-IVE-144434</t>
  </si>
  <si>
    <t>DC3</t>
  </si>
  <si>
    <t xml:space="preserve">DP port </t>
  </si>
  <si>
    <t>bios.sa</t>
  </si>
  <si>
    <t>Verify AC to DC  transition occurs with Virtual battery switch.</t>
  </si>
  <si>
    <t>CSS-IVE-52488</t>
  </si>
  <si>
    <t>bios.pch</t>
  </si>
  <si>
    <t>bios.cpu_pm</t>
  </si>
  <si>
    <t>vasanth</t>
  </si>
  <si>
    <t>Verify BIOS setting change for CPU DMI UNRD</t>
  </si>
  <si>
    <t>CSS-IVE-147234</t>
  </si>
  <si>
    <t>reddyv5x</t>
  </si>
  <si>
    <t>bios.alderlake,bios.raptorlake,bios.rocketlake</t>
  </si>
  <si>
    <t>bios.platform</t>
  </si>
  <si>
    <t>bios.alderlake,bios.amberlake,bios.apollolake,bios.arrowlake,bios.cannonlake,bios.coffeelake,bios.cometlake,bios.icelake-client,bios.jasperlake,bios.kabylake,bios.kabylake_r,bios.lakefield,bios.lunarlake,bios.meteorlake,bios.raptorlake,bios.tigerlake,bios.whiskeylake,ifwi.amberlake</t>
  </si>
  <si>
    <t>bios.platform,bios.sa</t>
  </si>
  <si>
    <t>bios.alderlake,bios.amberlake,bios.arrowlake,bios.cannonlake,bios.coffeelake,bios.cometlake,bios.icelake-client,bios.kabylake,bios.kabylake_r,bios.lunarlake,bios.meteorlake,bios.raptorlake,bios.tigerlake,bios.whiskeylake</t>
  </si>
  <si>
    <t>bios.me</t>
  </si>
  <si>
    <t>bios.alderlake,bios.amberlake,bios.arrowlake,bios.cannonlake,bios.cometlake,bios.kabylake,bios.kabylake_r,bios.lunarlake,bios.meteorlake,bios.raptorlake,bios.rocketlake,bios.tigerlake</t>
  </si>
  <si>
    <t>ddr5</t>
  </si>
  <si>
    <t>bios.mem_decode</t>
  </si>
  <si>
    <t>Verify BIOS SETUP "LPIT Residency Counter" item for ATX Shutdown (PS_ON) for IntelPEP access</t>
  </si>
  <si>
    <t>CSS-IVE-129980</t>
  </si>
  <si>
    <t>ATX port</t>
  </si>
  <si>
    <t>na</t>
  </si>
  <si>
    <t>skipped step 1</t>
  </si>
  <si>
    <t>bios.alderlake,bios.arrowlake,bios.icelake-client,bios.jasperlake,bios.meteorlake,bios.raptorlake,bios.tigerlake</t>
  </si>
  <si>
    <t>bios.sa,fw.ifwi.bios</t>
  </si>
  <si>
    <t>performance bios</t>
  </si>
  <si>
    <t>Verify BIOS support to spin up a drive that is in the PUIS state when resuming from S3</t>
  </si>
  <si>
    <t>CSS-IVE-84970</t>
  </si>
  <si>
    <t>bios.alderlake,bios.arrowlake,bios.coffeelake,bios.cometlake,bios.jasperlake,bios.lunarlake,bios.meteorlake,bios.raptorlake,bios.rocketlake,bios.tigerlake</t>
  </si>
  <si>
    <t>Verify BIOS shall resume a ZPODD device from Sx state</t>
  </si>
  <si>
    <t>CSS-IVE-85702</t>
  </si>
  <si>
    <t>bios.alderlake,bios.apollolake,bios.arrowlake,bios.coffeelake,bios.cometlake,bios.jasperlake,bios.kabylake,bios.lunarlake,bios.meteorlake,bios.raptorlake,bios.rocketlake,bios.tigerlake</t>
  </si>
  <si>
    <t>BIOS should allow the user to set their own values for DEVSLP Idle Timeout (DITO) and DITO Multiplier (DM)</t>
  </si>
  <si>
    <t>CSS-IVE-97349</t>
  </si>
  <si>
    <t>sata</t>
  </si>
  <si>
    <t>bios.alderlake,bios.cannonlake,bios.coffeelake,bios.cometlake,bios.icelake-client,bios.kabylake,bios.kabylake_r,bios.raptorlake,bios.rocketlake,bios.tigerlake,bios.whiskeylake</t>
  </si>
  <si>
    <t>Verify LPSS SPI need to be on PCI mode by default</t>
  </si>
  <si>
    <t>CSS-IVE-105573</t>
  </si>
  <si>
    <t>bios.pch,bios.platform</t>
  </si>
  <si>
    <t>bios.alderlake,bios.arrowlake,bios.cannonlake,bios.cometlake,bios.icelake-client,bios.jasperlake,bios.lakefield,bios.lunarlake,bios.meteorlake,bios.raptorlake,bios.rocketlake,bios.tigerlake</t>
  </si>
  <si>
    <t>Verify BIOS support for Early Hard disk Spin up</t>
  </si>
  <si>
    <t>CSS-IVE-114237</t>
  </si>
  <si>
    <t>bios.alderlake,bios.arrowlake,bios.jasperlake,bios.meteorlake,bios.raptorlake,bios.tigerlake</t>
  </si>
  <si>
    <t>bios.pch,fw.ifwi.pmc</t>
  </si>
  <si>
    <t>3rd party  pci nvme</t>
  </si>
  <si>
    <t>Verify Type-C device functionality before/after S3 state when VCCST option is enabled/Disabled in BIOS</t>
  </si>
  <si>
    <t>GC</t>
  </si>
  <si>
    <t>Validate Type-C USB2.0 Host Mode (Type-C to A) functionality - after S3, device connected when SUT is in S3 state</t>
  </si>
  <si>
    <t>CSS-IVE-50863</t>
  </si>
  <si>
    <t>Verify pop-up message on connect/disconnect devices and concurrent support of onboard audio and usb mass storage over Type-C port</t>
  </si>
  <si>
    <t>CSS-IVE-50868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</si>
  <si>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</si>
  <si>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</si>
  <si>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</si>
  <si>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CSS-IVE-50876</t>
  </si>
  <si>
    <t>Dhanya</t>
  </si>
  <si>
    <t>Verify Hardware Pre-Fetcher reflection via MISC_FEATURE_CONTROL MSR</t>
  </si>
  <si>
    <t>CSS-IVE-50877</t>
  </si>
  <si>
    <t>Afza</t>
  </si>
  <si>
    <t>thermal_management</t>
  </si>
  <si>
    <t>Thermal Management</t>
  </si>
  <si>
    <t>Verify "Disable Prochot# Output signal" is enabled by default in Bios.</t>
  </si>
  <si>
    <t>CSS-IVE-50881</t>
  </si>
  <si>
    <t>Verify RTIT feature is Enabled if CPU is detected</t>
  </si>
  <si>
    <t>CSS-IVE-50911</t>
  </si>
  <si>
    <t>itp debugger</t>
  </si>
  <si>
    <t>Verify that SUT boots to OS with BIST option Enabled/Disable in BIOS setup and debug prints in logs</t>
  </si>
  <si>
    <t>CSS-IVE-50912</t>
  </si>
  <si>
    <t>db</t>
  </si>
  <si>
    <t>Verify USB 3.0 device functionality over Type-C port after resume from C-MoS when device is plugged in when SUT is in C-MoS</t>
  </si>
  <si>
    <t>CSS-IVE-50918</t>
  </si>
  <si>
    <t>Verify USB 3.0 bootable thumb-drive detect in BIOS and initializes</t>
  </si>
  <si>
    <t>CSS-IVE-50928</t>
  </si>
  <si>
    <t>Anju</t>
  </si>
  <si>
    <t>Verify booting support through USB 3.0 (SS mass storage) connected over USB Type-A port</t>
  </si>
  <si>
    <t>CSS-IVE-50967</t>
  </si>
  <si>
    <t>Verify concurrent support of USB2.0/3.0 mass storage and USB keyboard/mouse device functionality check over USB Type-A port across Sx (S3,S4,S5)_x000D_
 cycles</t>
  </si>
  <si>
    <t>CSS-IVE-50978</t>
  </si>
  <si>
    <t>Verify BIOS Setup entry (UEFI Firmware Settings) from Windows</t>
  </si>
  <si>
    <t>CSS-IVE-50982</t>
  </si>
  <si>
    <t>Verify system enumerates PS2/USB keyboard appropriately with fast boot enabled and PS/2 Console selected as input console</t>
  </si>
  <si>
    <t>CSS-IVE-50992</t>
  </si>
  <si>
    <t>verified with usb keyboard</t>
  </si>
  <si>
    <t>Verify Boot priority change when USB bootable device connected over USB Type-A port</t>
  </si>
  <si>
    <t>CSS-IVE-51141</t>
  </si>
  <si>
    <t>Verify BIOS options for HD Audio, Soundwire and I2S Configuration</t>
  </si>
  <si>
    <t>CSS-IVE-51162</t>
  </si>
  <si>
    <t>kalyani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</si>
  <si>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</si>
  <si>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</si>
  <si>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</si>
  <si>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CSS-IVE-51213</t>
  </si>
  <si>
    <t>Verification of P2SB device Hiding</t>
  </si>
  <si>
    <t>CSS-IVE-51214</t>
  </si>
  <si>
    <t>Verify that Storage OROM, Network OROM, driver displays correct handle in BIOS shell(UEFI), when UEFI Option is selected</t>
  </si>
  <si>
    <t>CSS-IVE-51251</t>
  </si>
  <si>
    <t>Verify BIOS options to hide LPSS devices from OS</t>
  </si>
  <si>
    <t>CSS-IVE-51254</t>
  </si>
  <si>
    <t>anju</t>
  </si>
  <si>
    <t>Verify SUT can boot to EFI Shell and SUT resets on Ctrl+Alt+Del</t>
  </si>
  <si>
    <t>CSS-IVE-52371</t>
  </si>
  <si>
    <t>Shwetha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</si>
  <si>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</si>
  <si>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</si>
  <si>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</si>
  <si>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</si>
  <si>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</si>
  <si>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CSS-IVE-52378</t>
  </si>
  <si>
    <t>hema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</si>
  <si>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</si>
  <si>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</si>
  <si>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</si>
  <si>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</si>
  <si>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</si>
  <si>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</si>
  <si>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</si>
  <si>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</si>
  <si>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</si>
  <si>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CSS-IVE-52541</t>
  </si>
  <si>
    <t>Verify wakeup event using Touch sensor is successful for multiple iterations(Touch Pad)</t>
  </si>
  <si>
    <t>CSS-IVE-52738</t>
  </si>
  <si>
    <t>Verify that when either charger or battery is connected, the "Power Saver" profile can be changed &amp; implemented in the SUT.</t>
  </si>
  <si>
    <t>CSS-IVE-53739</t>
  </si>
  <si>
    <t>Verify xHCI device detection and USB port configuration</t>
  </si>
  <si>
    <t>CSS-IVE-53883</t>
  </si>
  <si>
    <t>Verify DMIC Array works with Intel Wake on Voice enabled in BIOS</t>
  </si>
  <si>
    <t>CSS-IVE-53969</t>
  </si>
  <si>
    <t>Verify Analog Microphone functionality when Audio DSP enabled/disabled in BIOS</t>
  </si>
  <si>
    <t>CSS-IVE-53971</t>
  </si>
  <si>
    <t>Validate cold-plug USB keyboard functionality check in BIOS over USB Type-A port</t>
  </si>
  <si>
    <t>CSS-IVE-54025</t>
  </si>
  <si>
    <t>Verify Windows OS presents the Boot repair options on 2 consecutive boot failures</t>
  </si>
  <si>
    <t>CSS-IVE-54042</t>
  </si>
  <si>
    <t>NA for cobalt OS</t>
  </si>
  <si>
    <t>Verifying XHCI Debug Port exposed via ACPI DBGP Table</t>
  </si>
  <si>
    <t>CSS-IVE-54043</t>
  </si>
  <si>
    <t>Verifying ACPI device enumeration for non PCIe devices</t>
  </si>
  <si>
    <t>CSS-IVE-54046</t>
  </si>
  <si>
    <t>TOUCH PAD</t>
  </si>
  <si>
    <t>Verifying functionality of GPIO Pins/INT with Volume Up/Volume Down/Home/ Wireless ON/OFF buttons</t>
  </si>
  <si>
    <t>CSS-IVE-54056</t>
  </si>
  <si>
    <t>io_general.lsio_gpio</t>
  </si>
  <si>
    <t>Verify PAVPC Register programming</t>
  </si>
  <si>
    <t>CSS-IVE-54075</t>
  </si>
  <si>
    <t>Verify whether the operation of Windows in safe mode is supported</t>
  </si>
  <si>
    <t>CSS-IVE-54155</t>
  </si>
  <si>
    <t>Verify system boots with maximum memory populated on channel 1</t>
  </si>
  <si>
    <t>CSS-IVE-54160</t>
  </si>
  <si>
    <t>verified with available memory slots</t>
  </si>
  <si>
    <t>Sharath S K</t>
  </si>
  <si>
    <t>Verify that system boot with maximum memory populated on Channel 0</t>
  </si>
  <si>
    <t>CSS-IVE-54161</t>
  </si>
  <si>
    <t>Verify Memory details displayed in BIOS Setup Menu is reflecting in the OS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</si>
  <si>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</si>
  <si>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</si>
  <si>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</si>
  <si>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</si>
  <si>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</si>
  <si>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</si>
  <si>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</si>
  <si>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</si>
  <si>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</si>
  <si>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</si>
  <si>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</si>
  <si>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</si>
  <si>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</si>
  <si>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</si>
  <si>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</si>
  <si>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</si>
  <si>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</si>
  <si>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</si>
  <si>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</si>
  <si>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</si>
  <si>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</si>
  <si>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</si>
  <si>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</si>
  <si>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</si>
  <si>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</si>
  <si>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</si>
  <si>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</si>
  <si>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</si>
  <si>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</si>
  <si>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verified with available memory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</si>
  <si>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</si>
  <si>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</si>
  <si>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</si>
  <si>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</si>
  <si>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</si>
  <si>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</si>
  <si>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</si>
  <si>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</si>
  <si>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</si>
  <si>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</si>
  <si>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</si>
  <si>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CSS-IVE-54204</t>
  </si>
  <si>
    <t>Arya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</si>
  <si>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</si>
  <si>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</si>
  <si>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</si>
  <si>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</si>
  <si>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</si>
  <si>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</si>
  <si>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Verify options provided for PCI Express Configuration in BIOS</t>
  </si>
  <si>
    <t>CSS-IVE-54250</t>
  </si>
  <si>
    <t>ver with available port</t>
  </si>
  <si>
    <t>Verify system stability post Warm and Cold reset cycles from EFI shell</t>
  </si>
  <si>
    <t>CSS-IVE-54317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</si>
  <si>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</si>
  <si>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</si>
  <si>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</si>
  <si>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</si>
  <si>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</si>
  <si>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</si>
  <si>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</si>
  <si>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</si>
  <si>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</si>
  <si>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</si>
  <si>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</si>
  <si>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</si>
  <si>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</si>
  <si>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</si>
  <si>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</si>
  <si>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CSS-IVE-61819</t>
  </si>
  <si>
    <t>Verify Idle Timeout value can be set under MEBx menu in BIOS</t>
  </si>
  <si>
    <t>CSS-IVE-145644</t>
  </si>
  <si>
    <t>Verify if user can edit Network Name under MEBx menu in BIOS</t>
  </si>
  <si>
    <t>CSS-IVE-145645</t>
  </si>
  <si>
    <t>Verify BIOS shall display an option to Enable or Disable Remote Configuration under MEBx menu</t>
  </si>
  <si>
    <t>CSS-IVE-145635</t>
  </si>
  <si>
    <t>Verify "Opt-in Configurable from Remote IT" option can be successfully enabled/disabled in BIOS under MEBx menu</t>
  </si>
  <si>
    <t>CSS-IVE-145650</t>
  </si>
  <si>
    <t>Sachin</t>
  </si>
  <si>
    <t>Verify that the Active Management Technology (AMT) reflects correct state of Enabled or Disabled depending upon MEBX in BIOS</t>
  </si>
  <si>
    <t>CSS-IVE-145659</t>
  </si>
  <si>
    <t>Verify if SUT reboots after user enters incorrect MEBx password under BIOS for 3 consecutive tries</t>
  </si>
  <si>
    <t>CSS-IVE-145643</t>
  </si>
  <si>
    <t>Verify Storage Redirection session cannot be established through Wireless LAN With Storage Redirection disabled under MEBX in BIOS</t>
  </si>
  <si>
    <t>CSS-IVE-145828</t>
  </si>
  <si>
    <t>[Vpro] BKM for AMT Configuration (MEBx) in BIOS</t>
  </si>
  <si>
    <t>CSS-IVE-145871</t>
  </si>
  <si>
    <t>Verify Provisioning AMT over wireless LAN from BIOS setup options using Static IP and check for KVM connectivity</t>
  </si>
  <si>
    <t>CSS-IVE-145874</t>
  </si>
  <si>
    <t>Verify Provisioning AMT over TBT-VPRO DOCK from BIOS setup options using static IP and check for KVM connectivity</t>
  </si>
  <si>
    <t>CSS-IVE-145876</t>
  </si>
  <si>
    <t>HSD Link: 16016995723: [RPL-HX][DDR5][RPL-HX-CPU][RPL-P][LP5]RPL-P-CPU]:IPV4 address is not enumerating on localhost with TBT vPro dock.</t>
  </si>
  <si>
    <t>Verify _DSD method for D3 with NVMe connected to M.2 CPU slot  in AHCI mode</t>
  </si>
  <si>
    <t>CSS-IVE-145820</t>
  </si>
  <si>
    <t>Verify Package C states with USB Devices connected during 8 hours in S0 state.</t>
  </si>
  <si>
    <t>CSS-IVE-147211</t>
  </si>
  <si>
    <t>Not Evaluated</t>
  </si>
  <si>
    <t>Verify Socket Information in SMBIOS Type4 Table</t>
  </si>
  <si>
    <t>CSS-IVE-147224</t>
  </si>
  <si>
    <t>Verify BIOS supports Virtual SPI over USB Device</t>
  </si>
  <si>
    <t>CSS-IVE-147236</t>
  </si>
  <si>
    <t>Verify Telemetry MMCFG space is enabled by default in Bios setup</t>
  </si>
  <si>
    <t>CSS-IVE-133917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</si>
  <si>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</si>
  <si>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</si>
  <si>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</si>
  <si>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CSS-IVE-118601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</si>
  <si>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</si>
  <si>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</si>
  <si>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</si>
  <si>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</si>
  <si>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</si>
  <si>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</si>
  <si>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</si>
  <si>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</si>
  <si>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</si>
  <si>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</si>
  <si>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</si>
  <si>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</si>
  <si>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</si>
  <si>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CSS-IVE-50812</t>
  </si>
  <si>
    <t>power_and_perf.monitor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</si>
  <si>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</si>
  <si>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</si>
  <si>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</si>
  <si>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</si>
  <si>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</si>
  <si>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</si>
  <si>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</si>
  <si>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</si>
  <si>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Verify CPU Turbo feature via IA32_MISC_ENABLE MSR</t>
  </si>
  <si>
    <t>CSS-IVE-44264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</si>
  <si>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</si>
  <si>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</si>
  <si>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</si>
  <si>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</si>
  <si>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"Enhanced C_State" is enabled by default in BIOS</t>
  </si>
  <si>
    <t>CSS-IVE-44360</t>
  </si>
  <si>
    <t>Verify system support of Monitor/MWait extensions with Enabled / Disabled</t>
  </si>
  <si>
    <t>CSS-IVE-46084</t>
  </si>
  <si>
    <t>Set different memory size for processor trace from range between(4KB-128MB)</t>
  </si>
  <si>
    <t>CSS-IVE-65805</t>
  </si>
  <si>
    <t>Verify C8 residency pre and post  hibernate state with USB 3.0 Mass Storage device connected to system</t>
  </si>
  <si>
    <t>CSS-IVE-65794</t>
  </si>
  <si>
    <t>Verify that BIOS has an option to configure C-State "Auto Demotion" and C-State "Un-demotion".</t>
  </si>
  <si>
    <t>CSS-IVE-50721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</si>
  <si>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</si>
  <si>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</si>
  <si>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</si>
  <si>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</si>
  <si>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</si>
  <si>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</si>
  <si>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</si>
  <si>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</si>
  <si>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</si>
  <si>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</si>
  <si>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that Package PL2 value is 1.25 times higher than PL1 value</t>
  </si>
  <si>
    <t>CSS-IVE-70925</t>
  </si>
  <si>
    <t>Verify PL4 lock via VR_CURRENT_CONFIG MSR</t>
  </si>
  <si>
    <t>CSS-IVE-70932</t>
  </si>
  <si>
    <t>Verify Intel Config TDP feature support</t>
  </si>
  <si>
    <t>CSS-IVE-70943</t>
  </si>
  <si>
    <t>Verify the CPPC Version support based on Operating system</t>
  </si>
  <si>
    <t>CSS-IVE-71015</t>
  </si>
  <si>
    <t>CLID-8275</t>
  </si>
  <si>
    <t>Verify TCC clamp via TEMPERATURE_TARGET MSR</t>
  </si>
  <si>
    <t>CSS-IVE-71017</t>
  </si>
  <si>
    <t>Verify "TCC offset time window" configuration in Bios</t>
  </si>
  <si>
    <t>CSS-IVE-71089</t>
  </si>
  <si>
    <t>Verify Package PL1 and PL2 enablement from CPU</t>
  </si>
  <si>
    <t>CSS-IVE-71150</t>
  </si>
  <si>
    <t>Verify TURBO Activation Ratio Lock and Max non-turbo ratio via TURBO_ACTIVATION_RATIO MSR pre and post Sx cycles</t>
  </si>
  <si>
    <t>CSS-IVE-84570</t>
  </si>
  <si>
    <t>Ramya</t>
  </si>
  <si>
    <t>Verify ConfigTDP MAX_NON_TURBO_RATIO can be configured from BIOS</t>
  </si>
  <si>
    <t>CSS-IVE-84573</t>
  </si>
  <si>
    <t>Validate "Configurable TDP Lock" feature</t>
  </si>
  <si>
    <t>CSS-IVE-84575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</si>
  <si>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</si>
  <si>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</si>
  <si>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</si>
  <si>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</si>
  <si>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</si>
  <si>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</si>
  <si>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platform information via PLATFORM_INFO MSR</t>
  </si>
  <si>
    <t>CSS-IVE-92959</t>
  </si>
  <si>
    <t>Polling Period for Power/Battery participant should be by default in interrupt mode</t>
  </si>
  <si>
    <t>CSS-IVE-98894</t>
  </si>
  <si>
    <t>Dynamic Thermal Platform framework should allow upto 6 OEM variables to be defined in order to support Power Boss policy</t>
  </si>
  <si>
    <t>CSS-IVE-98897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</si>
  <si>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</si>
  <si>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</si>
  <si>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</si>
  <si>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</si>
  <si>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</si>
  <si>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</si>
  <si>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</si>
  <si>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</si>
  <si>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CPU MMIO turbo values should not get cleared or changed post S3 cycle</t>
  </si>
  <si>
    <t>CSS-IVE-99350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</si>
  <si>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</si>
  <si>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</si>
  <si>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</si>
  <si>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</si>
  <si>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</si>
  <si>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</si>
  <si>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</si>
  <si>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CSS-IVE-101309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</si>
  <si>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</si>
  <si>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</si>
  <si>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</si>
  <si>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</si>
  <si>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</si>
  <si>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</si>
  <si>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power_management.consumption</t>
  </si>
  <si>
    <t>Verify CPU support for Intel Turbo Boost Max Technology 3.0</t>
  </si>
  <si>
    <t>CSS-IVE-100080</t>
  </si>
  <si>
    <t>BIOS should have option to enable or disable graphics turbo technology</t>
  </si>
  <si>
    <t>CSS-IVE-92936</t>
  </si>
  <si>
    <t>Verify Bios an option to enable/disable "CPU 3-strike counter "in BIOS.</t>
  </si>
  <si>
    <t>CSS-IVE-105537</t>
  </si>
  <si>
    <t>Verify CPU operates at LFM/HFM/TFM based on Power mode set to Power Saver/Balanced/High performance respectively post different power state transitions</t>
  </si>
  <si>
    <t>CSS-IVE-105541</t>
  </si>
  <si>
    <t>Validate Active trip points for DPTF CPU participant</t>
  </si>
  <si>
    <t>CSS-IVE-105595</t>
  </si>
  <si>
    <t>AC0=109,AC1=107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</si>
  <si>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</si>
  <si>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</si>
  <si>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</si>
  <si>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</si>
  <si>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</si>
  <si>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CSS-IVE-100086</t>
  </si>
  <si>
    <t>power_management.fivr</t>
  </si>
  <si>
    <t>Verify Intel Turbo Boost Max Technology 3.0 functionality</t>
  </si>
  <si>
    <t>CSS-IVE-100083</t>
  </si>
  <si>
    <t>Validate methods required by Fan device participant are enumerated as part of ACPI DPTF table</t>
  </si>
  <si>
    <t>CSS-IVE-114278</t>
  </si>
  <si>
    <t>Verify willowcove CPU core capabilities.</t>
  </si>
  <si>
    <t>CSS-IVE-115313</t>
  </si>
  <si>
    <t>Verify hetero core enumeration</t>
  </si>
  <si>
    <t>CSS-IVE-115732</t>
  </si>
  <si>
    <t>Verify CPU interrupt storm routine(ISR) check</t>
  </si>
  <si>
    <t>CSS-IVE-115822</t>
  </si>
  <si>
    <t>hussain</t>
  </si>
  <si>
    <t>Verify platform support "Energy Efficient Turbo" using MSR 1FC [19]</t>
  </si>
  <si>
    <t>CSS-IVE-117779</t>
  </si>
  <si>
    <t>Nominal frequency of SNC core should be 1.4 times of max bus ratio ( HFM )</t>
  </si>
  <si>
    <t>CSS-IVE-117807</t>
  </si>
  <si>
    <t>Verify PL4 values via VR_CURRENT_CONFIG MSR</t>
  </si>
  <si>
    <t>CSS-IVE-117833</t>
  </si>
  <si>
    <t>Verify PL3 can be configured irrespective of Intel SpeedStep(tm) status</t>
  </si>
  <si>
    <t>CSS-IVE-117907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</si>
  <si>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</si>
  <si>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</si>
  <si>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</si>
  <si>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</si>
  <si>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priyanka</t>
  </si>
  <si>
    <t>Verify Bios displays all the fused frequencies of CPU cores ( P0, P1,P2.. Pn)</t>
  </si>
  <si>
    <t>CSS-IVE-115905</t>
  </si>
  <si>
    <t>Verified with CO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</si>
  <si>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</si>
  <si>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</si>
  <si>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</si>
  <si>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</si>
  <si>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</si>
  <si>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</si>
  <si>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</si>
  <si>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</si>
  <si>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</si>
  <si>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</si>
  <si>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</si>
  <si>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</si>
  <si>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</si>
  <si>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</si>
  <si>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</si>
  <si>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</si>
  <si>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</si>
  <si>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</si>
  <si>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BIOS does not program C-State Latency control MSRs</t>
  </si>
  <si>
    <t>CSS-IVE-119285</t>
  </si>
  <si>
    <t>Verify IPCS method gets exposed as part of ACPI dump</t>
  </si>
  <si>
    <t>CSS-IVE-119294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</si>
  <si>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</si>
  <si>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</si>
  <si>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</si>
  <si>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</si>
  <si>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</si>
  <si>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</si>
  <si>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</si>
  <si>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</si>
  <si>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</si>
  <si>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</si>
  <si>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Validate GET ACPI methods in PCH ACPI device for DPTF PCH FIVR participant</t>
  </si>
  <si>
    <t>CSS-IVE-132617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</si>
  <si>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</si>
  <si>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</si>
  <si>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</si>
  <si>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</si>
  <si>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Turbo ratio limit for all Atom(Small) cores via MSR_TURBO_RATIO_LIMIT MSR</t>
  </si>
  <si>
    <t>CSS-IVE-133093</t>
  </si>
  <si>
    <t>verified with e core turbo ratio limit in bios page</t>
  </si>
  <si>
    <t>Verify Platform's PL1,PL2 and Tau registers value matches as part of MSR and MMIO pre and post Sx When Dual Tau option Disabled in Bios</t>
  </si>
  <si>
    <t>CSS-IVE-132940</t>
  </si>
  <si>
    <t>Verify CPUID and FMS  For DT/mobile SKU</t>
  </si>
  <si>
    <t>CSS-IVE-135500</t>
  </si>
  <si>
    <t>Verify hetero core enumeration Before and after S3 cycles</t>
  </si>
  <si>
    <t>CSS-IVE-135565</t>
  </si>
  <si>
    <t>Verify BIOS Enable External Bypass VR by default and update defaults for voltage, current and timing for power rails</t>
  </si>
  <si>
    <t>CSS-IVE-136291</t>
  </si>
  <si>
    <t>Verify BIOS Support for TDC Current Limit</t>
  </si>
  <si>
    <t>CSS-IVE-133822</t>
  </si>
  <si>
    <t>Verify hetero core enumeration Before and after S4 , S5 , warm and cold reboot cycles</t>
  </si>
  <si>
    <t>CSS-IVE-145234</t>
  </si>
  <si>
    <t>Verify Re-arm command before and after disabling Re-arm BIOS knob</t>
  </si>
  <si>
    <t>CSS-IVE-145806</t>
  </si>
  <si>
    <t>Verify BIOS support for new Device PMAX</t>
  </si>
  <si>
    <t>CSS-IVE-145808</t>
  </si>
  <si>
    <t>Verify Bios programs MAX_CPUMSG_LTR register correctly</t>
  </si>
  <si>
    <t>CSS-IVE-145816</t>
  </si>
  <si>
    <t xml:space="preserve">CLID- 8903 </t>
  </si>
  <si>
    <t>Verify Bios programs CPPM_CG_POL1B.TNTE_FORCE_ON register correctly</t>
  </si>
  <si>
    <t>CSS-IVE-145817</t>
  </si>
  <si>
    <t>anjali</t>
  </si>
  <si>
    <t>Verify Global reset happens with security level enabled in BIOS</t>
  </si>
  <si>
    <t>CSS-IVE-145814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</si>
  <si>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</si>
  <si>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</si>
  <si>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</si>
  <si>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</si>
  <si>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</si>
  <si>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</si>
  <si>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>Verify Keylocker when Hybrid Core is Enabled</t>
  </si>
  <si>
    <t>CSS-IVE-147121</t>
  </si>
  <si>
    <t>CSS-IVE-147205</t>
  </si>
  <si>
    <t>Verify GOP initialization in debug log using Legacy UART / LPSS UART</t>
  </si>
  <si>
    <t>CSS-IVE-108406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</si>
  <si>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</si>
  <si>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</si>
  <si>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</si>
  <si>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</si>
  <si>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</si>
  <si>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</si>
  <si>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</si>
  <si>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</si>
  <si>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Verify WWAN (4G) Functionality</t>
  </si>
  <si>
    <t>CSS-IVE-65968</t>
  </si>
  <si>
    <t>inventory block SIM</t>
  </si>
  <si>
    <t>Validate Type-C USB2.0 Host Mode (Type-C to A) functionality - after CMS, device connected when SUT is in CMS state</t>
  </si>
  <si>
    <t>CSS-IVE-66055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</si>
  <si>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</si>
  <si>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</si>
  <si>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</si>
  <si>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</si>
  <si>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Verify Type C - Analog audio accessory mode functionality</t>
  </si>
  <si>
    <t>CSS-IVE-66096</t>
  </si>
  <si>
    <t>Verify UART function test on OS - Debug logs generation</t>
  </si>
  <si>
    <t>CSS-IVE-69495</t>
  </si>
  <si>
    <t>Verify hot-plug functionality of TBT device between S3 and resume phases</t>
  </si>
  <si>
    <t>CSS-IVE-70929</t>
  </si>
  <si>
    <t>Verify that ACPI tables have proper revision ID"s as per the ACPI spec.</t>
  </si>
  <si>
    <t>CSS-IVE-70961</t>
  </si>
  <si>
    <t>Verify that WWAN enter D3 when SUT is in CMS</t>
  </si>
  <si>
    <t>CSS-IVE-70970</t>
  </si>
  <si>
    <t>Verify SUT wakes from Connected Standby using Touchpad</t>
  </si>
  <si>
    <t>CSS-IVE-16697</t>
  </si>
  <si>
    <t>Verify TBT (thunderbolt) device other than Display does not work in Display Port only security level</t>
  </si>
  <si>
    <t>CSS-IVE-71083</t>
  </si>
  <si>
    <t>Verify TBT functionality after disabling and enabling the TBT Controller in device manager</t>
  </si>
  <si>
    <t>CSS-IVE-71088</t>
  </si>
  <si>
    <t>Verify TBT Boot to OS functionality using Type-C USB device over TBT port</t>
  </si>
  <si>
    <t>CSS-IVE-71121</t>
  </si>
  <si>
    <t>Verify system enters S5 state irrespective of fast startup option in OS with system in AC mode</t>
  </si>
  <si>
    <t>CSS-IVE-72694</t>
  </si>
  <si>
    <t>Verify XHCI OS Handoff after S3/S0iX Cycling</t>
  </si>
  <si>
    <t>CSS-IVE-80009</t>
  </si>
  <si>
    <t>Verify concurrent functionality of USB-C PD and USB-C Data Transfer ports for dual port RVP</t>
  </si>
  <si>
    <t>CSS-IVE-84963</t>
  </si>
  <si>
    <t>Validate system wakes up from Sx states via USB devices</t>
  </si>
  <si>
    <t>CSS-IVE-80238</t>
  </si>
  <si>
    <t>Bios shall support maximum allocation of 130 MB memory for EFI Boot Services Data</t>
  </si>
  <si>
    <t>CSS-IVE-84959</t>
  </si>
  <si>
    <t>Verify RTD3/ACPI D3cold Support can be enabled/disabled from Setup and SUT remains intact across Sx cycles</t>
  </si>
  <si>
    <t>CSS-IVE-80982</t>
  </si>
  <si>
    <t>Verify that the TCO watchdog is Disabled by Default</t>
  </si>
  <si>
    <t>CSS-IVE-80847</t>
  </si>
  <si>
    <t>Validate system resume from Sx post long duration with system in AC mode</t>
  </si>
  <si>
    <t>CSS-IVE-92246</t>
  </si>
  <si>
    <t>Verify PEP device (_STA) method to support Modern Standby</t>
  </si>
  <si>
    <t>CSS-IVE-78764</t>
  </si>
  <si>
    <t>Verify system stability post Connected Modern Standby cycling</t>
  </si>
  <si>
    <t>CSS-IVE-92265</t>
  </si>
  <si>
    <t>Verify System trace Via BSSB interface over Type-C port</t>
  </si>
  <si>
    <t>CSS-IVE-76118</t>
  </si>
  <si>
    <t>ltb debugger</t>
  </si>
  <si>
    <t>Verify System stays in S5 when power button is pressed while in Bios page (Negative Test )</t>
  </si>
  <si>
    <t>CSS-IVE-92277</t>
  </si>
  <si>
    <t>Validate Type-C USB2.0 Host Mode (Type-C to A) functionality after Deep S5, Cable connected at Deep S5 State</t>
  </si>
  <si>
    <t>CSS-IVE-92311</t>
  </si>
  <si>
    <t>Validate Type-C USB3.0 Host Mode (Type-C to A) functionality after Deep S5, Cable connected at Deep S5 State</t>
  </si>
  <si>
    <t>CSS-IVE-92312</t>
  </si>
  <si>
    <t>[TBT]Verify DMAR Table is populated on Enabling VT-D</t>
  </si>
  <si>
    <t>CSS-IVE-119130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</si>
  <si>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</si>
  <si>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</si>
  <si>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</si>
  <si>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</si>
  <si>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</si>
  <si>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</si>
  <si>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</si>
  <si>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</si>
  <si>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</si>
  <si>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</si>
  <si>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</si>
  <si>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</si>
  <si>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</si>
  <si>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</si>
  <si>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</si>
  <si>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</si>
  <si>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tbt egfx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</si>
  <si>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</si>
  <si>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</si>
  <si>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</si>
  <si>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</si>
  <si>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</si>
  <si>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</si>
  <si>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</si>
  <si>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</si>
  <si>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OS debug support using Windbg debugging over Type-C port</t>
  </si>
  <si>
    <t>CSS-IVE-94318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</si>
  <si>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</si>
  <si>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</si>
  <si>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</si>
  <si>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</si>
  <si>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</si>
  <si>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</si>
  <si>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</si>
  <si>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</si>
  <si>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</si>
  <si>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</si>
  <si>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</si>
  <si>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</si>
  <si>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</si>
  <si>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</si>
  <si>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</si>
  <si>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</si>
  <si>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</si>
  <si>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</si>
  <si>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</si>
  <si>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</si>
  <si>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</si>
  <si>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</si>
  <si>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Type-C multi port functionality - Display, USB debug and TBT dock</t>
  </si>
  <si>
    <t>CSS-IVE-95251</t>
  </si>
  <si>
    <t>CLID-8266</t>
  </si>
  <si>
    <t>Verify Type-C multi port functionality - Display, USB debug and TBT dock after G3 and reboot cycles</t>
  </si>
  <si>
    <t>CSS-IVE-95252</t>
  </si>
  <si>
    <t>Verify Type-C multi port functionality - Consumer, Digital Audio and USB3.1 Gen2 SSD after G3 and reboot cycle</t>
  </si>
  <si>
    <t>CSS-IVE-95254</t>
  </si>
  <si>
    <t>Verify Type-C multi port functionality - Consumer, Digital Audio and USB3.1 Gen2 SSD after Sx Cycles</t>
  </si>
  <si>
    <t>CSS-IVE-95255</t>
  </si>
  <si>
    <t>Verify Type-C multi port functionality - Consumer, Digital Audio and USB3.1 Gen2 SSD after Connected MOS state</t>
  </si>
  <si>
    <t>CSS-IVE-95257</t>
  </si>
  <si>
    <t>Verify Type-C multi port functionality - Provider, HDMI and USB Camera</t>
  </si>
  <si>
    <t>CSS-IVE-95262</t>
  </si>
  <si>
    <t>Inventory block</t>
  </si>
  <si>
    <t>Verify Type-C multi port functionality - Provider, HDMI and USB Camera after Sx and reboot cycle</t>
  </si>
  <si>
    <t>CSS-IVE-95263</t>
  </si>
  <si>
    <t>Smart phone</t>
  </si>
  <si>
    <t>Verify Type-C multi port functionality - Provider, HDMI and USB Camera after Deep Sx cycle</t>
  </si>
  <si>
    <t>CSS-IVE-95264</t>
  </si>
  <si>
    <t>Verify Type-C multi port functionality - Provider, HDMI and USB Camera after Connected MOS state</t>
  </si>
  <si>
    <t>CSS-IVE-95265</t>
  </si>
  <si>
    <t>Verify Type-C multi port functionality - PR Swap, USB3.1 and TBT-Display</t>
  </si>
  <si>
    <t>CSS-IVE-95266</t>
  </si>
  <si>
    <t>Verify Type-C multi port functionality - Type-C dock, Provider, TBT eGFX</t>
  </si>
  <si>
    <t>CSS-IVE-95272</t>
  </si>
  <si>
    <t>Verify Type-C multi port functionality - Type-C dock, Provider, TBT eGFX after Sx and reboot cycles</t>
  </si>
  <si>
    <t>CSS-IVE-95273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</si>
  <si>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</si>
  <si>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</si>
  <si>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</si>
  <si>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</si>
  <si>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</si>
  <si>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</si>
  <si>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</si>
  <si>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CSS-IVE-99275</t>
  </si>
  <si>
    <t>Verify System trace via BSSB interface over Type-A port</t>
  </si>
  <si>
    <t>CSS-IVE-99314</t>
  </si>
  <si>
    <t>cca debugger</t>
  </si>
  <si>
    <t>[TBT] Verify Reservation of memory resources for Thunderbolt Support</t>
  </si>
  <si>
    <t>CSS-IVE-99395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</si>
  <si>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</si>
  <si>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</si>
  <si>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</si>
  <si>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</si>
  <si>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</si>
  <si>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</si>
  <si>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</si>
  <si>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</si>
  <si>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</si>
  <si>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</si>
  <si>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</si>
  <si>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</si>
  <si>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functionality of TBT device after power interrupts (Reset / G3)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</si>
  <si>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</si>
  <si>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</si>
  <si>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</si>
  <si>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</si>
  <si>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</si>
  <si>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</si>
  <si>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</si>
  <si>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CLID-8814</t>
  </si>
  <si>
    <t>Verify TBT-External Graphics functionality with integrated graphics after Sx and reboot cycles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</si>
  <si>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</si>
  <si>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</si>
  <si>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</si>
  <si>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</si>
  <si>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</si>
  <si>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</si>
  <si>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</si>
  <si>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</si>
  <si>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</si>
  <si>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Verify TBT Display functionality with Stress and along with non-TBT devices Cross Concurrency</t>
  </si>
  <si>
    <t>CSS-IVE-86879</t>
  </si>
  <si>
    <t>sd card 3.0</t>
  </si>
  <si>
    <t>Verify TBT Daisy chain functionality along with non-TBT devices Cross Concurrency</t>
  </si>
  <si>
    <t>CSS-IVE-86980</t>
  </si>
  <si>
    <t>[TBT] Verify TBT-Dock hot-plug functionality (Connected with non-TBT devices)</t>
  </si>
  <si>
    <t>CSS-IVE-86986</t>
  </si>
  <si>
    <t>Verify TBT-External Graphics functionality with Integrated Graphics along with non-TBT devices Cross Concurrency</t>
  </si>
  <si>
    <t>CSS-IVE-86993</t>
  </si>
  <si>
    <t>Verify flashing TBT firmware image on TBT controller through TenLira</t>
  </si>
  <si>
    <t>CSS-IVE-83054</t>
  </si>
  <si>
    <t>CLID-8270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</si>
  <si>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</si>
  <si>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</si>
  <si>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</si>
  <si>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</si>
  <si>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</si>
  <si>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</si>
  <si>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</si>
  <si>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</si>
  <si>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</si>
  <si>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</si>
  <si>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</si>
  <si>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</si>
  <si>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</si>
  <si>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</si>
  <si>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</si>
  <si>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</si>
  <si>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</si>
  <si>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</si>
  <si>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</si>
  <si>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</si>
  <si>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</si>
  <si>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</si>
  <si>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</si>
  <si>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</si>
  <si>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</si>
  <si>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</si>
  <si>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[TBT] Verify TBT Daisy chain functionality with 4 Storage and 1 Display</t>
  </si>
  <si>
    <t>CSS-IVE-86888</t>
  </si>
  <si>
    <t>[TBT] Verify TBT-Dock functionality after cold boot</t>
  </si>
  <si>
    <t>CSS-IVE-100038</t>
  </si>
  <si>
    <t>[TBT] Verify Multiple TBT3 data transfer operation with hot plugs</t>
  </si>
  <si>
    <t>CSS-IVE-100047</t>
  </si>
  <si>
    <t>expected behaviour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</si>
  <si>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</si>
  <si>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</si>
  <si>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</si>
  <si>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</si>
  <si>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</si>
  <si>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</si>
  <si>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Type-C multi port functionality on Cold/hot-plug - Consumer, TBT Daisy and TBT Dock</t>
  </si>
  <si>
    <t>CSS-IVE-100060</t>
  </si>
  <si>
    <t>[TBT] Verify Type-C multi port functionality - Consumer, TBT Daisy and TBT Dock with before/after Sx and reboot cycles</t>
  </si>
  <si>
    <t>CSS-IVE-100062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</si>
  <si>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</si>
  <si>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</si>
  <si>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</si>
  <si>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</si>
  <si>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</si>
  <si>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</si>
  <si>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</si>
  <si>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</si>
  <si>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</si>
  <si>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</si>
  <si>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</si>
  <si>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</si>
  <si>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</si>
  <si>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</si>
  <si>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</si>
  <si>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</si>
  <si>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</si>
  <si>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</si>
  <si>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</si>
  <si>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</si>
  <si>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Type-C Concurrent support of Consumer, HDMI Display and USB2, device connected when SUT is in Connected Modern Standby states</t>
  </si>
  <si>
    <t>CSS-IVE-101136</t>
  </si>
  <si>
    <t>Verify Type-C Concurrent support of x2 DP and USB3 on hot-plug after Connected Modern Standby states</t>
  </si>
  <si>
    <t>CSS-IVE-101069</t>
  </si>
  <si>
    <t>Verify Type-C Concurrent support of Consumer, x4 DP and High Speed on hot-plug after Connected Modern Standby states</t>
  </si>
  <si>
    <t>CSS-IVE-101089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</si>
  <si>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</si>
  <si>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</si>
  <si>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</si>
  <si>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</si>
  <si>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</si>
  <si>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</si>
  <si>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Consumer,x4 DP and High Speed  device Functionality connected when SUT is in Sx (S3,S4,S5) State</t>
  </si>
  <si>
    <t>CSS-IVE-101086</t>
  </si>
  <si>
    <t>Verify Type-C Concurrent support of Consumer, HDMI Display, USB3 on Clod-plug</t>
  </si>
  <si>
    <t>CSS-IVE-101118</t>
  </si>
  <si>
    <t>Verify Type-C Concurrent support of Consumer,HDMI Display and USB2, device connected when SUT is in Sx (S3,S4,S5) state</t>
  </si>
  <si>
    <t>CSS-IVE-101132</t>
  </si>
  <si>
    <t>Verify Type-C Concurrent support of HDMI Display and USB3, device connected when SUT is in Deep Sx state</t>
  </si>
  <si>
    <t>CSS-IVE-101113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</si>
  <si>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</si>
  <si>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</si>
  <si>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</si>
  <si>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</si>
  <si>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</si>
  <si>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</si>
  <si>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Consumer, x4 DP and High Speed device connected when SUT is in Connected Modern Standby states</t>
  </si>
  <si>
    <t>CSS-IVE-101090</t>
  </si>
  <si>
    <t>Verify Type-C Concurrent support of HDMI Display and USB3 before and after Connected Modern Standby states</t>
  </si>
  <si>
    <t>CSS-IVE-101114</t>
  </si>
  <si>
    <t>Verify Type-C Concurrent support of Consumer, HDMI Display and USB3, device connected when SUT is in Connected Modern Standby states</t>
  </si>
  <si>
    <t>CSS-IVE-101126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</si>
  <si>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</si>
  <si>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</si>
  <si>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</si>
  <si>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</si>
  <si>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Concurrent support of Consumer, x2 DP and USB3 on Hot-Plug device after Sx (S3,S4,S5) and Reboot Cycles</t>
  </si>
  <si>
    <t>CSS-IVE-101075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</si>
  <si>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</si>
  <si>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</si>
  <si>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</si>
  <si>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</si>
  <si>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</si>
  <si>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</si>
  <si>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</si>
  <si>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</si>
  <si>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</si>
  <si>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</si>
  <si>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Consumer, HDMI Display and USB2 before and after Connected Modern Standby states</t>
  </si>
  <si>
    <t>CSS-IVE-101134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</si>
  <si>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</si>
  <si>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</si>
  <si>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</si>
  <si>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</si>
  <si>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</si>
  <si>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</si>
  <si>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</si>
  <si>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</si>
  <si>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</si>
  <si>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</si>
  <si>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</si>
  <si>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</si>
  <si>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Consumer, x2 DP, USB3 on Clod-plug</t>
  </si>
  <si>
    <t>CSS-IVE-101072</t>
  </si>
  <si>
    <t>Verify Type-C Concurrent support of HDMI Display and USB2 before/after Sx (S3,S4,S5)
 and Reboot Cycles</t>
  </si>
  <si>
    <t>CSS-IVE-101099</t>
  </si>
  <si>
    <t>Verify Type-C Concurrent support of Consumer, HDMI Display, USB2 on Clod-plug</t>
  </si>
  <si>
    <t>CSS-IVE-101128</t>
  </si>
  <si>
    <t>Verify Type-C Concurrent support of x4 DP and High Speed on hot-plug after Connected Modern Standby states</t>
  </si>
  <si>
    <t>CSS-IVE-101057</t>
  </si>
  <si>
    <t>Verify Type-C Concurrent support of Consumer, x4 DP and High Speed Device Functionality before and after Connected Modern Standby states</t>
  </si>
  <si>
    <t>CSS-IVE-101088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</si>
  <si>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</si>
  <si>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</si>
  <si>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</si>
  <si>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</si>
  <si>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</si>
  <si>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</si>
  <si>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</si>
  <si>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</si>
  <si>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</si>
  <si>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</si>
  <si>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</si>
  <si>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</si>
  <si>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</si>
  <si>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</si>
  <si>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Consumer, x2 DP, USB3 on Hot-plug</t>
  </si>
  <si>
    <t>CSS-IVE-101071</t>
  </si>
  <si>
    <t>Verify Type-C Concurrent support of Consumer, x4 DP and High Speed Device Functionality before/after Sx (S3,S4,S5) and Reboot Cycles</t>
  </si>
  <si>
    <t>CSS-IVE-101083</t>
  </si>
  <si>
    <t>Verify Type-C Concurrent support of HDMI Display and USB3 on Clod-plug</t>
  </si>
  <si>
    <t>CSS-IVE-101108</t>
  </si>
  <si>
    <t>Verify Type-C Concurrent support of Consumer,HDMI Display and USB3, device connected when SUT is in Sx (S3,S4,S5)
 state</t>
  </si>
  <si>
    <t>CSS-IVE-101122</t>
  </si>
  <si>
    <t>Verify Type-C Concurrent support of Consumer, HDMI Display and USB2 before/after Sx (S3,S4,S5)_x000D_
 and Reboot Cycles</t>
  </si>
  <si>
    <t>CSS-IVE-101129</t>
  </si>
  <si>
    <t>Verify Type-C Concurrent support of Consumer, x2 DP and USB3 before and after Connected Modern Standby states</t>
  </si>
  <si>
    <t>CSS-IVE-101078</t>
  </si>
  <si>
    <t>Verify Type-C Concurrent support of Consumer, x2 DP and USB3, device connected when SUT is in Connected Modern Standby states</t>
  </si>
  <si>
    <t>CSS-IVE-101080</t>
  </si>
  <si>
    <t>Verify Type-C Concurrent support of Consumer, HDMI Display and USB3 before and after Connected Modern Standby states</t>
  </si>
  <si>
    <t>CSS-IVE-101124</t>
  </si>
  <si>
    <t>Verify Type-C Concurrent support of HDMI Display and USB2 before/after Deep Sx and Reboot Cycles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</si>
  <si>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</si>
  <si>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</si>
  <si>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</si>
  <si>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</si>
  <si>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</si>
  <si>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</si>
  <si>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</si>
  <si>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</si>
  <si>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</si>
  <si>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</si>
  <si>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</si>
  <si>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</si>
  <si>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</si>
  <si>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Consumer, x2 DP and USB3 before/after Sx (S3,S4,S5) and Reboot Cycles</t>
  </si>
  <si>
    <t>CSS-IVE-101073</t>
  </si>
  <si>
    <t>Verify Type-C Concurrent support of Consumer, x4 DP and High Speed on Hot-Plug device after Sx (S3,S4,S5) and Reboot Cycles</t>
  </si>
  <si>
    <t>CSS-IVE-101085</t>
  </si>
  <si>
    <t>Verify Type-C Concurrent support of HDMI Display and USB2 on Clod-plug</t>
  </si>
  <si>
    <t>CSS-IVE-101098</t>
  </si>
  <si>
    <t>Verify Type-C Concurrent support of Consumer, HDMI Display and USB3 before/after Sx (S3,S4,S5) and Reboot Cycles</t>
  </si>
  <si>
    <t>CSS-IVE-101119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</si>
  <si>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</si>
  <si>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</si>
  <si>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</si>
  <si>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</si>
  <si>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</si>
  <si>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</si>
  <si>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</si>
  <si>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</si>
  <si>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</si>
  <si>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</si>
  <si>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Verify AET trace log capture through NPK</t>
  </si>
  <si>
    <t>CSS-IVE-101301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</si>
  <si>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</si>
  <si>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</si>
  <si>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</si>
  <si>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</si>
  <si>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</si>
  <si>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</si>
  <si>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[TBT] Verify multiple display output when displays connected with 2nd TBT controller / different TBT Port on Hot plug - TBT, HDMI Display</t>
  </si>
  <si>
    <t>CSS-IVE-101439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</si>
  <si>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</si>
  <si>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</si>
  <si>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</si>
  <si>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</si>
  <si>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</si>
  <si>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</si>
  <si>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</si>
  <si>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</si>
  <si>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</si>
  <si>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</si>
  <si>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</si>
  <si>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CSS-IVE-101376</t>
  </si>
  <si>
    <t>Verify Type-C multi port functionality - WinDBG,TBT-Display,TBT-SSD, TBT-Dock before/after Sx (S3,S4,S5) and reboot state</t>
  </si>
  <si>
    <t>CSS-IVE-101387</t>
  </si>
  <si>
    <t>3.0 debug cable</t>
  </si>
  <si>
    <t>Verify Type-C multi port functionality - Consumer,P2P, Provider,TBT-Display on Hot Plug</t>
  </si>
  <si>
    <t>CSS-IVE-101389</t>
  </si>
  <si>
    <t>smart phone</t>
  </si>
  <si>
    <t>Verify Dual Controller Support - USB3.0/USB3.1 Gen1 storage functionality on Hot-Plug</t>
  </si>
  <si>
    <t>CSS-IVE-101374</t>
  </si>
  <si>
    <t>Verify Type-C multi port functionality - WinDBG,TBT-Display,TBT-SSD, TBT-Dock on Cold Plug</t>
  </si>
  <si>
    <t>CSS-IVE-101385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</si>
  <si>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</si>
  <si>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</si>
  <si>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</si>
  <si>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</si>
  <si>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dual HDMI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</si>
  <si>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</si>
  <si>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</si>
  <si>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</si>
  <si>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</si>
  <si>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</si>
  <si>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</si>
  <si>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</si>
  <si>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</si>
  <si>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</si>
  <si>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</si>
  <si>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</si>
  <si>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</si>
  <si>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</si>
  <si>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</si>
  <si>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</si>
  <si>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</si>
  <si>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USB2 DbC Functionality in low power state</t>
  </si>
  <si>
    <t>CSS-IVE-101317</t>
  </si>
  <si>
    <t>dbc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</si>
  <si>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</si>
  <si>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</si>
  <si>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</si>
  <si>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</si>
  <si>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Type-C multi port functionality - Consumer,P2P, Provider,TBT-Display on Cold Plug</t>
  </si>
  <si>
    <t>CSS-IVE-101388</t>
  </si>
  <si>
    <t>Verify Type-C multi port functionality - Consumer,P2P, Provider,TBT-Display before/after Sx and reboot state</t>
  </si>
  <si>
    <t>CSS-IVE-101390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</si>
  <si>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</si>
  <si>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</si>
  <si>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</si>
  <si>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</si>
  <si>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</si>
  <si>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</si>
  <si>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</si>
  <si>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</si>
  <si>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</si>
  <si>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</si>
  <si>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</si>
  <si>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</si>
  <si>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</si>
  <si>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</si>
  <si>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</si>
  <si>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</si>
  <si>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</si>
  <si>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</si>
  <si>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Type-C multi port functionality - USB Hub, HDMI,TBT eGFx,Consumer on Cold Plug</t>
  </si>
  <si>
    <t>CSS-IVE-101391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</si>
  <si>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</si>
  <si>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</si>
  <si>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</si>
  <si>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</si>
  <si>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</si>
  <si>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</si>
  <si>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</si>
  <si>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</si>
  <si>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</si>
  <si>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</si>
  <si>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</si>
  <si>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</si>
  <si>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</si>
  <si>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</si>
  <si>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</si>
  <si>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</si>
  <si>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</si>
  <si>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</si>
  <si>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</si>
  <si>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</si>
  <si>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</si>
  <si>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</si>
  <si>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</si>
  <si>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</si>
  <si>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multiple display output when displays connected with 2nd TBT controller / different TBT Port on Cold plug - TBT, DP display</t>
  </si>
  <si>
    <t>Verify multiple display output when displays connected with 2nd TBT controller / different TBT Port on Cold plug - TBT, HDMI Display</t>
  </si>
  <si>
    <t>Verify multiple display output when displays connected with 2nd TBT controller / different TBT Port after S4, S5 and warm reboot cycles - TBT, DP display</t>
  </si>
  <si>
    <t>Verify multiple display output when displays connected with 2nd TBT controller / different TBT Port after S4, S5 and reboot cycles - DP, HDMI display</t>
  </si>
  <si>
    <t>Verify multiple display output when displays connected with dual TBT controller after S4, S5 and warm reboot cycles - 2 TBT Displays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</si>
  <si>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</si>
  <si>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</si>
  <si>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</si>
  <si>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</si>
  <si>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</si>
  <si>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</si>
  <si>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</si>
  <si>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</si>
  <si>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Verify TBT Concurrent support of Consumer,HDMI Display and USB3, device connected when SUT is in Sx state</t>
  </si>
  <si>
    <t>CSS-IVE-102097</t>
  </si>
  <si>
    <t>Verify TBT Concurrent support of Consumer, HDMI Display, USB2 on Hot-plug</t>
  </si>
  <si>
    <t>CSS-IVE-102098</t>
  </si>
  <si>
    <t>Verify TBT Concurrent support of Consumer, HDMI Display, USB2 on Clod-plug</t>
  </si>
  <si>
    <t>CSS-IVE-102099</t>
  </si>
  <si>
    <t>Verify TBT Concurrent support of Consumer, HDMI Display and USB2 before/after Sx and Reboot Cycles</t>
  </si>
  <si>
    <t>CSS-IVE-102100</t>
  </si>
  <si>
    <t>Verify TBT Concurrent support of Consumer,HDMI Display and USB2, device connected when SUT is in Sx state</t>
  </si>
  <si>
    <t>CSS-IVE-102101</t>
  </si>
  <si>
    <t>Verify TBT Concurrent support of Consumer, x4 DP and USB3 device connected Via Dock when SUT is in Sx state</t>
  </si>
  <si>
    <t>CSS-IVE-102085</t>
  </si>
  <si>
    <t>Verify TBT Concurrent support of Consumer, HDMI Display, USB3 on Hot-plug</t>
  </si>
  <si>
    <t>CSS-IVE-102094</t>
  </si>
  <si>
    <t>Verify TBT Concurrent support of Consumer, HDMI Display, USB3 on Clod-plug</t>
  </si>
  <si>
    <t>CSS-IVE-102095</t>
  </si>
  <si>
    <t>Verify TBT Concurrent support of Consumer, x2 DP and USB3 before/after Sx and Reboot Cycles</t>
  </si>
  <si>
    <t>CSS-IVE-102080</t>
  </si>
  <si>
    <t>BIOS Hotkey combination (CTRL-ALT-F1) should not display by the BIOS during KVM/SoL session and while Intel  AMT is disabled</t>
  </si>
  <si>
    <t>CSS-IVE-102139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</si>
  <si>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</si>
  <si>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</si>
  <si>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</si>
  <si>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</si>
  <si>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system wakes from Hibernate state with "Low Power S0 Idle Capability" enabled</t>
  </si>
  <si>
    <t>CSS-IVE-101820</t>
  </si>
  <si>
    <t>Verify RTD3 flow support for XDCI controller</t>
  </si>
  <si>
    <t>CSS-IVE-102434</t>
  </si>
  <si>
    <t>Verify RTD3 flow support for USB pendrive connected over USB3.0 port</t>
  </si>
  <si>
    <t>CSS-IVE-102442</t>
  </si>
  <si>
    <t>in step 15 verified with D3 unknown value</t>
  </si>
  <si>
    <t>Verify BIOS enables ISH Trunk Clock gating</t>
  </si>
  <si>
    <t>CSS-IVE-86380</t>
  </si>
  <si>
    <t>Verify SUT support Debug Trace log capture - Route traces to System Memory</t>
  </si>
  <si>
    <t>CSS-IVE-103720</t>
  </si>
  <si>
    <t>CLID- 8930</t>
  </si>
  <si>
    <t>Verify System trace - Route traces to USB Type-C in low power mode</t>
  </si>
  <si>
    <t>CSS-IVE-103777</t>
  </si>
  <si>
    <t>Verify USB3.1 DbC Functionality during and after BIOS boot</t>
  </si>
  <si>
    <t>CSS-IVE-103778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</si>
  <si>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</si>
  <si>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</si>
  <si>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</si>
  <si>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</si>
  <si>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</si>
  <si>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CSS-IVE-105417</t>
  </si>
  <si>
    <t>Verify WWAN functionality pre and post Connected Standby (CMS) cycle</t>
  </si>
  <si>
    <t>CSS-IVE-105422</t>
  </si>
  <si>
    <t>Validate concurrent support of Windbg debug and data transfer over Type-C port</t>
  </si>
  <si>
    <t>CSS-IVE-105530</t>
  </si>
  <si>
    <t>CLID- 8733</t>
  </si>
  <si>
    <t>Validate concurrent support of Windbg and DbC debug trace over same Type-C port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</si>
  <si>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</si>
  <si>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</si>
  <si>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</si>
  <si>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</si>
  <si>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CSS-IVE-105534</t>
  </si>
  <si>
    <t>Verify USB3.2 Gen 2 device enumeration and functionality over USB2.0 Type-A port</t>
  </si>
  <si>
    <t>CSS-IVE-105542</t>
  </si>
  <si>
    <t>Gopika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</si>
  <si>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</si>
  <si>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</si>
  <si>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</si>
  <si>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</si>
  <si>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</si>
  <si>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</si>
  <si>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firmware Version Info (FVI) for Reference Code - CPU</t>
  </si>
  <si>
    <t>CSS-IVE-105596</t>
  </si>
  <si>
    <t>BIOS shall hide the Intel MEI #4(HECI 4) prior to OS boot.</t>
  </si>
  <si>
    <t>CSS-IVE-105697</t>
  </si>
  <si>
    <t>Kalyani</t>
  </si>
  <si>
    <t>Verify System wakes from C-MoS using USB-Mouse connected to USB Type-C port</t>
  </si>
  <si>
    <t>CSS-IVE-105831</t>
  </si>
  <si>
    <t>Verify RTD3 support for NVME SSD</t>
  </si>
  <si>
    <t>CSS-IVE-108360</t>
  </si>
  <si>
    <t>Verify system stability on performing Deep S5 cycling with fast startup option enabled/disabled in OS with system in AC mode</t>
  </si>
  <si>
    <t>CSS-IVE-108419</t>
  </si>
  <si>
    <t>deepSx NA for RPL-P</t>
  </si>
  <si>
    <t>Verify Crash dump error state register status when SUT is in crash state</t>
  </si>
  <si>
    <t>CSS-IVE-113685</t>
  </si>
  <si>
    <t>Verify BIOS construct BERT ACPI table through SST tool</t>
  </si>
  <si>
    <t>CSS-IVE-113717</t>
  </si>
  <si>
    <t>Verify SUT support Debug Trace log capture - System Telemetry for low power debug</t>
  </si>
  <si>
    <t>CSS-IVE-113713</t>
  </si>
  <si>
    <t>Verify USB2 DbC Functionality over Type-C Port in low power state</t>
  </si>
  <si>
    <t>CSS-IVE-113643</t>
  </si>
  <si>
    <t>Verify USB3 DbC Functionality during and after BIOS boot using Type C</t>
  </si>
  <si>
    <t>CSS-IVE-113645</t>
  </si>
  <si>
    <t>Verify if SUT boots to UEFI when no other boot options available</t>
  </si>
  <si>
    <t>CSS-IVE-113839</t>
  </si>
  <si>
    <t>Verify Bios have option to Enable/Disable DAM</t>
  </si>
  <si>
    <t>CSS-IVE-113725</t>
  </si>
  <si>
    <t>dam disable ifwi</t>
  </si>
  <si>
    <t>Verify WWAN enter D3 and achieve L1.2 ASPM substates</t>
  </si>
  <si>
    <t>CSS-IVE-114270</t>
  </si>
  <si>
    <t>Verify Sx (S3,S4,S5) functionality after enabling External V1P05 Rail in BIOS (FIVR Settings)</t>
  </si>
  <si>
    <t>CSS-IVE-114559</t>
  </si>
  <si>
    <t>Verify Sx (S3,S4,S5) functionality after enabling External Vnn Rail in BIOS (FIVR Settings)</t>
  </si>
  <si>
    <t>CSS-IVE-114601</t>
  </si>
  <si>
    <t>Verify Sx (S3,S4,S5) functionality after enabling "Override External Vnn Rail settings in Sx settings" in BIOS (FIVR Settings)</t>
  </si>
  <si>
    <t>CSS-IVE-114612</t>
  </si>
  <si>
    <t>CLID-8114</t>
  </si>
  <si>
    <t>Verify Sx (S3,S4,S5) functionality after enabling "PCH FIVR dynamic power management" in BIOS (FIVR Settings)</t>
  </si>
  <si>
    <t>CSS-IVE-114613</t>
  </si>
  <si>
    <t>Verify that FACP table has proper revision ID"s as per the ACPI 6.0 spec.</t>
  </si>
  <si>
    <t>CSS-IVE-114619</t>
  </si>
  <si>
    <t>BIOS should not invoke the Intel MEBx and should hide Intel MEBx hotkey entry during CSME Disable</t>
  </si>
  <si>
    <t>CSS-IVE-114670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</si>
  <si>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</si>
  <si>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</si>
  <si>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</si>
  <si>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</si>
  <si>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</si>
  <si>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</si>
  <si>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</si>
  <si>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</si>
  <si>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SUT ability to Start Storage Redirection Session over Wireless LAN post S3 cycle</t>
  </si>
  <si>
    <t>CSS-IVE-113732</t>
  </si>
  <si>
    <t>Verify SUT ability to Start Storage Redirection Session over Wireless LAN post S4 cycle</t>
  </si>
  <si>
    <t>CSS-IVE-115070</t>
  </si>
  <si>
    <t>Verify SUT ability to Start Storage Redirection Session over Wireless LAN post S5 cycle</t>
  </si>
  <si>
    <t>CSS-IVE-115071</t>
  </si>
  <si>
    <t>Verify SUT ability to Start Storage Redirection Session over Wireless LAN post CMS cycle</t>
  </si>
  <si>
    <t>CSS-IVE-115072</t>
  </si>
  <si>
    <t>Verify Sx and reboot cycles with ISH disabled</t>
  </si>
  <si>
    <t>CSS-IVE-114796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</si>
  <si>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</si>
  <si>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</si>
  <si>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</si>
  <si>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</si>
  <si>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ver with d3 hot</t>
  </si>
  <si>
    <t>verify TBT D3 flow when APSM is in L1.1,L1.2 state</t>
  </si>
  <si>
    <t>CSS-IVE-114362</t>
  </si>
  <si>
    <t>verify TBT D3 flow when APSM is in L1.1 state</t>
  </si>
  <si>
    <t>CSS-IVE-114363</t>
  </si>
  <si>
    <t>Verify USB3 DbC enumeration over Type-C by Enable/Disable USB Overcurrent option in BIOS</t>
  </si>
  <si>
    <t>CSS-IVE-115194</t>
  </si>
  <si>
    <t>Verify BIOS ACPI debug messages capture during TBT device hot-plug/un-plug events</t>
  </si>
  <si>
    <t>CSS-IVE-105588</t>
  </si>
  <si>
    <t>Verify System trace - Route traces to USB Type-C in S0ix</t>
  </si>
  <si>
    <t>CSS-IVE-114366</t>
  </si>
  <si>
    <t>Verify the stability of AMT storage redirection session over TBT vPro dock post S3cycle</t>
  </si>
  <si>
    <t>CSS-IVE-115221</t>
  </si>
  <si>
    <t>Verify the stability of AMT WEBUI session over TBT vPro dock post S4 cycle</t>
  </si>
  <si>
    <t>CSS-IVE-115223</t>
  </si>
  <si>
    <t>Verify the stability of AMT storage redirection session over TBT vPro dock post S5 cycle</t>
  </si>
  <si>
    <t>CSS-IVE-115224</t>
  </si>
  <si>
    <t>Verify the stability of AMT storage redirection session over TBT vPro dock post CMS cycle</t>
  </si>
  <si>
    <t>CSS-IVE-115225</t>
  </si>
  <si>
    <t>Verify Sensor Device Temperature value in BIOS and OS</t>
  </si>
  <si>
    <t>CSS-IVE-115306</t>
  </si>
  <si>
    <t>power_management.thermal_sensor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</si>
  <si>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</si>
  <si>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</si>
  <si>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</si>
  <si>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</si>
  <si>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Phython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</si>
  <si>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</si>
  <si>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</si>
  <si>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</si>
  <si>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</si>
  <si>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</si>
  <si>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</si>
  <si>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</si>
  <si>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</si>
  <si>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</si>
  <si>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</si>
  <si>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bios debug log for BIOS-PMC Interface and P-code mailbox information</t>
  </si>
  <si>
    <t>CSS-IVE-117335</t>
  </si>
  <si>
    <t>Verify PSMI handler memory Reservation and configuring trace regions as WC/WB memory in BIOS</t>
  </si>
  <si>
    <t>CSS-IVE-117465</t>
  </si>
  <si>
    <t>test menu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</si>
  <si>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</si>
  <si>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</si>
  <si>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</si>
  <si>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</si>
  <si>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</si>
  <si>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CSS-IVE-114727</t>
  </si>
  <si>
    <t>CLID- 8931</t>
  </si>
  <si>
    <t>Verify WWAN functionality pre and post reboot cycles</t>
  </si>
  <si>
    <t>CSS-IVE-117676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</si>
  <si>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</si>
  <si>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</si>
  <si>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</si>
  <si>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</si>
  <si>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 with default option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</si>
  <si>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</si>
  <si>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</si>
  <si>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</si>
  <si>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</si>
  <si>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</si>
  <si>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</si>
  <si>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</si>
  <si>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</si>
  <si>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</si>
  <si>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</si>
  <si>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</si>
  <si>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</si>
  <si>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</si>
  <si>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</si>
  <si>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</si>
  <si>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</si>
  <si>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TBT-vPRO-Dock information under Intel Manageability and security status tool in OS</t>
  </si>
  <si>
    <t>CSS-IVE-118147</t>
  </si>
  <si>
    <t>Verify the stability of KVM session over TBT-vPRO-Dock after S3 with alarm wake</t>
  </si>
  <si>
    <t>CSS-IVE-118154</t>
  </si>
  <si>
    <t>Verify TBT-vPRO Dock functionality in UEFI when performing Remote Secure Erase with KVM session established</t>
  </si>
  <si>
    <t>CSS-IVE-118156</t>
  </si>
  <si>
    <t>Verify the stability of AMT KVM session over TBT-VPro Dock Post CMos cycle</t>
  </si>
  <si>
    <t>CSS-IVE-118178</t>
  </si>
  <si>
    <t>Verify the stability of AMT WEBUI session over TBT vPro dock post CMS cycle</t>
  </si>
  <si>
    <t>CSS-IVE-118179</t>
  </si>
  <si>
    <t>Verify the stability of AMT KVM session over TBT-VPro Dock Post S3 cycle</t>
  </si>
  <si>
    <t>CSS-IVE-118180</t>
  </si>
  <si>
    <t>Verify the stability of AMT WEBUI session over TBT vPro dock post S3 cycle</t>
  </si>
  <si>
    <t>CSS-IVE-118181</t>
  </si>
  <si>
    <t>Verify the stability of AMT KVM session over TBT-VPro Dock Post S4 cycle</t>
  </si>
  <si>
    <t>CSS-IVE-118183</t>
  </si>
  <si>
    <t>Verify the stability of AMT WEBUI session over TBT vPro dock post S5 cycle</t>
  </si>
  <si>
    <t>CSS-IVE-118184</t>
  </si>
  <si>
    <t>Verify the stability of AMT KVM session over TBT-VPro Dock Post S5 cycle</t>
  </si>
  <si>
    <t>CSS-IVE-118185</t>
  </si>
  <si>
    <t>Verify Remote wake from sx using Alarm wake works fine over TBT-Vpro-Dock</t>
  </si>
  <si>
    <t>CSS-IVE-118187</t>
  </si>
  <si>
    <t>Verify SMBIOS 3.2 Support</t>
  </si>
  <si>
    <t>CSS-IVE-118243</t>
  </si>
  <si>
    <t>Verify Modem Crash support implementation in ACPI table</t>
  </si>
  <si>
    <t>CSS-IVE-118325</t>
  </si>
  <si>
    <t>inventory block 4G SIM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</si>
  <si>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</si>
  <si>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</si>
  <si>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</si>
  <si>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</si>
  <si>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</si>
  <si>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</si>
  <si>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</si>
  <si>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</si>
  <si>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</si>
  <si>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</si>
  <si>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</si>
  <si>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</si>
  <si>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</si>
  <si>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</si>
  <si>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</si>
  <si>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</si>
  <si>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</si>
  <si>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</si>
  <si>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</si>
  <si>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</si>
  <si>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</si>
  <si>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</si>
  <si>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</si>
  <si>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</si>
  <si>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Bios flash support on RVP using FFT</t>
  </si>
  <si>
    <t>CSS-IVE-122126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</si>
  <si>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</si>
  <si>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</si>
  <si>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</si>
  <si>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</si>
  <si>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</si>
  <si>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</si>
  <si>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</si>
  <si>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</si>
  <si>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</si>
  <si>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</si>
  <si>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</si>
  <si>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</si>
  <si>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</si>
  <si>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</si>
  <si>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</si>
  <si>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</si>
  <si>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CLID-8726</t>
  </si>
  <si>
    <t>media</t>
  </si>
  <si>
    <t>Verify ECKPWRCTL disable when DCI is disabled</t>
  </si>
  <si>
    <t>CSS-IVE-129750</t>
  </si>
  <si>
    <t>Verify the BIOS size using FFT Tool</t>
  </si>
  <si>
    <t>CSS-IVE-132613</t>
  </si>
  <si>
    <t>Verify AMT WEBUI is accessible during sx cycles over TBT-vPRO-Dock</t>
  </si>
  <si>
    <t>CSS-IVE-129981</t>
  </si>
  <si>
    <t>Verify TCSS D3Cold support when System connected with TBT device</t>
  </si>
  <si>
    <t>CSS-IVE-129785</t>
  </si>
  <si>
    <t>d3 hot</t>
  </si>
  <si>
    <t>Verify TCSS D3Cold Entry and Exit happens  with TBT device connected</t>
  </si>
  <si>
    <t>CSS-IVE-132636</t>
  </si>
  <si>
    <t>CLID-8239</t>
  </si>
  <si>
    <t>Verify PCH /CSE/CPU bootstall unlock via USB2DbC</t>
  </si>
  <si>
    <t>CSS-IVE-132950</t>
  </si>
  <si>
    <t>CLID- 8779</t>
  </si>
  <si>
    <t>Verify cold boot with USB3.1 Gen2 mass storage device connected across all the Type C ports</t>
  </si>
  <si>
    <t>CSS-IVE-133024</t>
  </si>
  <si>
    <t>ver with 2 ssd</t>
  </si>
  <si>
    <t>Verify System trace via 2-Wire BSSB interface</t>
  </si>
  <si>
    <t>CSS-IVE-132994</t>
  </si>
  <si>
    <t>Validate concurrent support of USB2.0 DbC and data transfer over Type-C port</t>
  </si>
  <si>
    <t>CSS-IVE-133035</t>
  </si>
  <si>
    <t>Verify ACPI table Support for S5</t>
  </si>
  <si>
    <t>CSS-IVE-133061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</si>
  <si>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</si>
  <si>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</si>
  <si>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</si>
  <si>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</si>
  <si>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CLID-8826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</si>
  <si>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</si>
  <si>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</si>
  <si>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</si>
  <si>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</si>
  <si>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</si>
  <si>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</si>
  <si>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</si>
  <si>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</si>
  <si>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</si>
  <si>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</si>
  <si>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Validate USB4 Hub Device functionality after CMS Cycles</t>
  </si>
  <si>
    <t>CSS-IVE-133220</t>
  </si>
  <si>
    <t>Validate USB4 Hub Device functionality after DeepSx Cycle</t>
  </si>
  <si>
    <t>CSS-IVE-133224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</si>
  <si>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</si>
  <si>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</si>
  <si>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</si>
  <si>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</si>
  <si>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 DeepSx Cycle</t>
  </si>
  <si>
    <t>CSS-IVE-133229</t>
  </si>
  <si>
    <t>Validate USB4 Dock Device functionality after DeepSx Cycle</t>
  </si>
  <si>
    <t>CSS-IVE-133232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</si>
  <si>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</si>
  <si>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</si>
  <si>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</si>
  <si>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</si>
  <si>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DeepSx</t>
  </si>
  <si>
    <t>CSS-IVE-133295</t>
  </si>
  <si>
    <t>Verify USB4 storage functionality after DeepSx</t>
  </si>
  <si>
    <t>CSS-IVE-133298</t>
  </si>
  <si>
    <t>Verify USB4 storage functionality during CMS</t>
  </si>
  <si>
    <t>CSS-IVE-133300</t>
  </si>
  <si>
    <t>Verify vendor ID for USB4 HW controller</t>
  </si>
  <si>
    <t>CSS-IVE-133309</t>
  </si>
  <si>
    <t>Verify BIOS is configuring the NPK bar and size on S3 exit</t>
  </si>
  <si>
    <t>CSS-IVE-133311</t>
  </si>
  <si>
    <t>4sp2</t>
  </si>
  <si>
    <t>Validate Type-C USB2.0 enumeration over Type-C port  with PCIE tunneling enabled and disabled</t>
  </si>
  <si>
    <t>CSS-IVE-133671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</si>
  <si>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</si>
  <si>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</si>
  <si>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</si>
  <si>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</si>
  <si>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Verify USB2 PMCTRL bit is enabled</t>
  </si>
  <si>
    <t>CSS-IVE-134042</t>
  </si>
  <si>
    <t>ver with 0</t>
  </si>
  <si>
    <t>Verify C-state values by limiting TCSS TC-State with TBT device connected</t>
  </si>
  <si>
    <t>CSS-IVE-135372</t>
  </si>
  <si>
    <t>Verify APIC ID"s updated by BIOS for 24(Core+Atom) Cores in APIC tables</t>
  </si>
  <si>
    <t>CSS-IVE-135476</t>
  </si>
  <si>
    <t>In Production</t>
  </si>
  <si>
    <t>Verify CSME has the right MAC address to communicate with AMT</t>
  </si>
  <si>
    <t>CSS-IVE-135719</t>
  </si>
  <si>
    <t>Verify BIOS  Debug settings passed as part of a Debug Token Via Dnx Mode</t>
  </si>
  <si>
    <t>CSS-IVE-135705</t>
  </si>
  <si>
    <t>CLID-8627</t>
  </si>
  <si>
    <t>Verify if RFI Spread Spectrum control (SSC) option can be disabled from BIOS menu</t>
  </si>
  <si>
    <t>CSS-IVE-135748</t>
  </si>
  <si>
    <t>Verify IOM FW version are updated in Bios under TCSS Setup Menu</t>
  </si>
  <si>
    <t>CSS-IVE-136377</t>
  </si>
  <si>
    <t>Verify OS debug  support with DMA Pre-boot  Protection in enabled state</t>
  </si>
  <si>
    <t>CSS-IVE-138269</t>
  </si>
  <si>
    <t>Verify WWAN (5G) Functionality</t>
  </si>
  <si>
    <t>CSS-IVE-138264</t>
  </si>
  <si>
    <t>[OCR] Verify availability of OCR Boot options for One Click Recovery while AMT is globally disabled</t>
  </si>
  <si>
    <t>CSS-IVE-136427</t>
  </si>
  <si>
    <t>Verify USB2.0/3.0 device enumeration in EFI over USB4 Hub</t>
  </si>
  <si>
    <t>CSS-IVE-133657</t>
  </si>
  <si>
    <t>Verify Xml Cli should not expose Test Menu options for External Bios</t>
  </si>
  <si>
    <t>CSS-IVE-145017</t>
  </si>
  <si>
    <t>Verify connection Swap during S4 and S5 with all Type-C ports - USB3.1 Gen2, USB3.0 Hub and USB2.0</t>
  </si>
  <si>
    <t>CSS-IVE-145223</t>
  </si>
  <si>
    <t>Verify connection Swap during DeepSx cycles with all Type-C ports - USB3.1 Gen2, USB3.0 Hub and USB2.0</t>
  </si>
  <si>
    <t>CSS-IVE-145225</t>
  </si>
  <si>
    <t>Verify ACPI _DSM method implementation to Add ISH based Dynamic SAR support in BIOS</t>
  </si>
  <si>
    <t>CSS-IVE-145819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</si>
  <si>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</si>
  <si>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</si>
  <si>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</si>
  <si>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</si>
  <si>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HSD Link: 16016454427: [RPL-Px BIOS][RPL-Px LP5]: "Validate-IOMT-Support.efi " output getting as platform unsupported. Require RPL-Px Supported IOMT Tool.</t>
  </si>
  <si>
    <t>Verify No BIOS support for TGL MSR COUNTER_24MHZ MSR (637H)</t>
  </si>
  <si>
    <t>CSS-IVE-120118</t>
  </si>
  <si>
    <t>Verify BIOS programs for enablement of Power well2 register</t>
  </si>
  <si>
    <t>CSS-IVE-146066</t>
  </si>
  <si>
    <t>[OCR] Verify Windows Recovery Environment (WinRE) Boot flow for One Click Recovery before and after CMS cycle</t>
  </si>
  <si>
    <t>CSS-IVE-146960</t>
  </si>
  <si>
    <t>HSD Link: 16017243145: [RPL-S UPGRADE (S20)[RPL-S SOC+ADL-S PCH]:S0i2.-residency not Achieved when SUT connected to mesh Commander via Wireless.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</si>
  <si>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</si>
  <si>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</si>
  <si>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</si>
  <si>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</si>
  <si>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[OCR]  Verify OCR_HTTPS boot flow intact after G3 State from AMT Remote session over Wireless LAN</t>
  </si>
  <si>
    <t>CSS-IVE-147152</t>
  </si>
  <si>
    <t>https://hsdes.intel.com/appstore/article/#/16016431365</t>
  </si>
  <si>
    <t>[OCR] Verify OCR_WinRE Boot flow intact Post Sx State from AMT Remote session over Wireless LAN</t>
  </si>
  <si>
    <t>CSS-IVE-147153</t>
  </si>
  <si>
    <t>[OCR] Verify OCR_PBA boot flow intact Post Sx State from AMT Remote session over Wireless LAN</t>
  </si>
  <si>
    <t>CSS-IVE-147154</t>
  </si>
  <si>
    <t>[OCR] Verify OCR_WinRE boot flow functionality over Wireless LAN When SUT is at BIOS menu</t>
  </si>
  <si>
    <t>CSS-IVE-147155</t>
  </si>
  <si>
    <t>[OCR]  Verify OCR_HTTPS boot flow intact Post Sx State from AMT Remote session over Wireless LAN</t>
  </si>
  <si>
    <t>CSS-IVE-147156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</si>
  <si>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</si>
  <si>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</si>
  <si>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</si>
  <si>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</si>
  <si>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CSS-IVE-147187</t>
  </si>
  <si>
    <t>Verify BIOS ACPI debug messages capture with External release BIOS</t>
  </si>
  <si>
    <t>CSS-IVE-147221</t>
  </si>
  <si>
    <t>afza</t>
  </si>
  <si>
    <t>Verify PRR should return MRST with WWAN enable/disable in BIOS</t>
  </si>
  <si>
    <t>CSS-IVE-147235</t>
  </si>
  <si>
    <t>Validate Boot flow with different GT frequency bins as per BIOS menu</t>
  </si>
  <si>
    <t>CSS-IVE-90637</t>
  </si>
  <si>
    <t>Verify IOSF2OCP Clock Gating Enable programming by BIOS</t>
  </si>
  <si>
    <t>CSS-IVE-117924</t>
  </si>
  <si>
    <t>Verify BIOS detects and initializes the correct number of Memory DIMMS in system: 4 DIMM (2 channels and 2 DIMMS per channel)</t>
  </si>
  <si>
    <t>CSS-IVE-71034</t>
  </si>
  <si>
    <t>Verify BIOS detects and initializes the correct number of Memory DIMMS: 1 DIMM</t>
  </si>
  <si>
    <t>CSS-IVE-71023</t>
  </si>
  <si>
    <t>Verify BIOS shall send DID message with DIMMS_MISSING status when DIMMs are missing.</t>
  </si>
  <si>
    <t>CSS-IVE-71253</t>
  </si>
  <si>
    <t>Verify that all Memory related options are available under "Memory Configuration" page.</t>
  </si>
  <si>
    <t>CSS-IVE-71254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</si>
  <si>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</si>
  <si>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</si>
  <si>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</si>
  <si>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</si>
  <si>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verified with 5200MHz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</si>
  <si>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</si>
  <si>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</si>
  <si>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</si>
  <si>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</si>
  <si>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</si>
  <si>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</si>
  <si>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</si>
  <si>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CSS-IVE-75416</t>
  </si>
  <si>
    <t>Verify Enable / Disable DIMM per channel.</t>
  </si>
  <si>
    <t>CSS-IVE-75403</t>
  </si>
  <si>
    <t>Verify Enable/Disable MRC ECC Option in BIOS</t>
  </si>
  <si>
    <t>CSS-IVE-80051</t>
  </si>
  <si>
    <t>Verify Enable/Disable Memory Scrambler Option in BIOS</t>
  </si>
  <si>
    <t>CSS-IVE-80054</t>
  </si>
  <si>
    <t>Verify Memory LPDDR5 16GB Memory Down configuration functionality</t>
  </si>
  <si>
    <t>CSS-IVE-115222</t>
  </si>
  <si>
    <t>Verify MRC Safe Mode Option</t>
  </si>
  <si>
    <t>CSS-IVE-117490</t>
  </si>
  <si>
    <t>Verify if MRC Completion is successful</t>
  </si>
  <si>
    <t>CSS-IVE-117967</t>
  </si>
  <si>
    <t>Verify MRC training</t>
  </si>
  <si>
    <t>CSS-IVE-117971</t>
  </si>
  <si>
    <t>skip step steps: 58,61,71,86,89,92,97,104,110,113,114,115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</si>
  <si>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</si>
  <si>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</si>
  <si>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</si>
  <si>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</si>
  <si>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</si>
  <si>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</si>
  <si>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</si>
  <si>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</si>
  <si>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</si>
  <si>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</si>
  <si>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</si>
  <si>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</si>
  <si>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</si>
  <si>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</si>
  <si>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</si>
  <si>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</si>
  <si>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</si>
  <si>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</si>
  <si>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</si>
  <si>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</si>
  <si>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</si>
  <si>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</si>
  <si>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</si>
  <si>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</si>
  <si>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</si>
  <si>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</si>
  <si>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</si>
  <si>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</si>
  <si>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EDK Shell with only USB Charger plugged-in</t>
  </si>
  <si>
    <t>CSS-IVE-119474</t>
  </si>
  <si>
    <t>Verify SUT shutdown (S5) when the Power Button is held in BIOS Setup with only USB Charger plugged-in</t>
  </si>
  <si>
    <t>CSS-IVE-119475</t>
  </si>
  <si>
    <t>Verify SUT shutdown (S5) when the Power Button is held in BIOS Setup with only   AC  plugged-in</t>
  </si>
  <si>
    <t>CSS-IVE-119476</t>
  </si>
  <si>
    <t>Verify SUT shutdown (S5) when the Power Button is held during POWER_ON_TIME with only USB Charger plugged-in</t>
  </si>
  <si>
    <t>CSS-IVE-119477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</si>
  <si>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</si>
  <si>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</si>
  <si>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</si>
  <si>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</si>
  <si>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</si>
  <si>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</si>
  <si>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Validate booting SUT with USB Type-C power adapter and without battery connected</t>
  </si>
  <si>
    <t>CSS-IVE-102263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</si>
  <si>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</si>
  <si>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</si>
  <si>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</si>
  <si>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</si>
  <si>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Verified with 00CS</t>
  </si>
  <si>
    <t>Validate system able to perform CMS cycle with USB Type-C power adapter and without battery connected</t>
  </si>
  <si>
    <t>CSS-IVE-144566</t>
  </si>
  <si>
    <t>Verify EC detects the Sx transitions and configure the GPIOs without failure</t>
  </si>
  <si>
    <t>CSS-IVE-145302</t>
  </si>
  <si>
    <t>Verify Package TDP limit gets reflected correctly at OS</t>
  </si>
  <si>
    <t>CSS-IVE-72558</t>
  </si>
  <si>
    <t>Validate concurrent support of keyboard and mouse functionality in OS over USB Type-A port</t>
  </si>
  <si>
    <t>CSS-IVE-71508</t>
  </si>
  <si>
    <t>[Golden Config] Verify CPU package C10 residence in AC and DC</t>
  </si>
  <si>
    <t>CSS-IVE-71594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</si>
  <si>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</si>
  <si>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</si>
  <si>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</si>
  <si>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CSS-IVE-100059</t>
  </si>
  <si>
    <t>reset.reset_and_boot</t>
  </si>
  <si>
    <t>Verify SUT enters to S5 state with legacy 4 seconds power button press functionality</t>
  </si>
  <si>
    <t>CSS-IVE-100057</t>
  </si>
  <si>
    <t>Verify SUT wake from Pseudo G3 via TAD Alarm</t>
  </si>
  <si>
    <t>CSS-IVE-147129</t>
  </si>
  <si>
    <t>[FSP2.0]: Verify FSP_SMBIOS_PROCESSOR_INFO HOB table</t>
  </si>
  <si>
    <t>CSS-IVE-79902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</si>
  <si>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</si>
  <si>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</si>
  <si>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</si>
  <si>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</si>
  <si>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FSP_SMBIOS_PROCESSOR_INFO HOB table</t>
  </si>
  <si>
    <t>CSS-IVE-132860</t>
  </si>
  <si>
    <t>Malik</t>
  </si>
  <si>
    <t>[FSP][GCC]: Verify FSP_SMBIOS_CACHE_INFO HOB table</t>
  </si>
  <si>
    <t>CSS-IVE-132861</t>
  </si>
  <si>
    <t>[FSP][GCC]: Bios should not send End of POST (EOP) MEI message during ME Recovery/Error/Disabled state</t>
  </si>
  <si>
    <t>CSS-IVE-132869</t>
  </si>
  <si>
    <t>[FSP2.1][GCC]: Verify FSP_ERROR_INFO_HOB table</t>
  </si>
  <si>
    <t>CSS-IVE-132897</t>
  </si>
  <si>
    <t>GMM/GNA Device Driver Installation and Uninstallation</t>
  </si>
  <si>
    <t>CSS-IVE-50449</t>
  </si>
  <si>
    <t>speech_and_cognition.speech_accelerators</t>
  </si>
  <si>
    <t>Verify Onboard eDP display on post S3 and S4 cycle</t>
  </si>
  <si>
    <t>CSS-IVE-50451</t>
  </si>
  <si>
    <t>Verify OS boot with different aperture size</t>
  </si>
  <si>
    <t>CSS-IVE-50455</t>
  </si>
  <si>
    <t>Check BIOS shall display setup option for Graphics Frequency with S3 &amp; S4 cycles</t>
  </si>
  <si>
    <t>CSS-IVE-63290</t>
  </si>
  <si>
    <t>Check UEFI can obtain the EDID of the display</t>
  </si>
  <si>
    <t>CSS-IVE-47412</t>
  </si>
  <si>
    <t>Verifying whether the applied GTT table size reflected correctly or not in registers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</si>
  <si>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</si>
  <si>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</si>
  <si>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</si>
  <si>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</si>
  <si>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CSS-IVE-44343</t>
  </si>
  <si>
    <t>Negative_GMM/GNA Device disabled in BIOS and checking for the GMM/GNA driver installation</t>
  </si>
  <si>
    <t>CSS-IVE-50450</t>
  </si>
  <si>
    <t>speech_and_cognition</t>
  </si>
  <si>
    <t>Verify Audio playback from HDMI monitor</t>
  </si>
  <si>
    <t>CSS-IVE-67858</t>
  </si>
  <si>
    <t>Verify max resolution with different display monitors</t>
  </si>
  <si>
    <t>CSS-IVE-69091</t>
  </si>
  <si>
    <t>Verify IMGU Initialization - Check for IMGU/IPU Controller Lockable Registers before and after S3(Expect LKF),S0i3,S4 Cycles</t>
  </si>
  <si>
    <t>CSS-IVE-70918</t>
  </si>
  <si>
    <t>verified with step15=0</t>
  </si>
  <si>
    <t>Check for Unique ID of AVStream Enumerated as GFX child device</t>
  </si>
  <si>
    <t>CSS-IVE-70920</t>
  </si>
  <si>
    <t>HSD Link: 16015294024: [RPL-P][RPL-Px LP5][ADL-P HW + RPL-P BIOS] : Observed one error in selftest dump tool with v132.</t>
  </si>
  <si>
    <t>Verify onboard graphics driver can be Installed/uninstalled without issue in single display mode for eDP</t>
  </si>
  <si>
    <t>CSS-IVE-70952</t>
  </si>
  <si>
    <t>Verify C10 and Slp-S0 is achieved in Connected MOS during video play back</t>
  </si>
  <si>
    <t>CSS-IVE-95308</t>
  </si>
  <si>
    <t>Verify HEVC (H.265) video playback in OS</t>
  </si>
  <si>
    <t>CSS-IVE-99716</t>
  </si>
  <si>
    <t>Dp port</t>
  </si>
  <si>
    <t>Verify PlayReady3 functionality on external display pre and post S3 cycle</t>
  </si>
  <si>
    <t>CSS-IVE-114696</t>
  </si>
  <si>
    <t>Verify USB-Audio offload when System in CMS</t>
  </si>
  <si>
    <t>CSS-IVE-115585</t>
  </si>
  <si>
    <t>Verify that all VT-d units are Disabled on Disabling VT-d in BIOS</t>
  </si>
  <si>
    <t>CSS-IVE-50457</t>
  </si>
  <si>
    <t>security</t>
  </si>
  <si>
    <t>Verify DMAR Table is not populated on Disabling VT-D in Intel test menu enabled BIOS</t>
  </si>
  <si>
    <t>CSS-IVE-50459</t>
  </si>
  <si>
    <t>Reshma</t>
  </si>
  <si>
    <t>graphics.3d_hp</t>
  </si>
  <si>
    <t>Verify Gen4 Discrete Graphics basic functionality on x4 PCIE Gen4 slot with DMS cycles</t>
  </si>
  <si>
    <t>CSS-IVE-133868</t>
  </si>
  <si>
    <t>CLID-8675</t>
  </si>
  <si>
    <t>Verify Gfx BIOS Work around to enable proper GAW (Guest Address Width)/HAW (Host Address Width) support</t>
  </si>
  <si>
    <t>CSS-IVE-135390</t>
  </si>
  <si>
    <t>Negative test: Verify there is no support for SAIPUIMR Configuration in BIOS</t>
  </si>
  <si>
    <t>CSS-IVE-135818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</si>
  <si>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</si>
  <si>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</si>
  <si>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</si>
  <si>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</si>
  <si>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Clover Falls (CVF): Verify User engagement status and dim/undim status of SUT</t>
  </si>
  <si>
    <t>CSS-IVE-145730</t>
  </si>
  <si>
    <t>CLID- 8730</t>
  </si>
  <si>
    <t>Clover Falls (CVF): Verify Camera LED status with various modes and lock on absence feature on SUT</t>
  </si>
  <si>
    <t>CSS-IVE-145733</t>
  </si>
  <si>
    <t>Verify Clover Falls (CVF) Camera functionality via capturing Image/Video in OS,  pre and post Sx, warm and cold reset cycles</t>
  </si>
  <si>
    <t>CSS-IVE-145218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</si>
  <si>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</si>
  <si>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</si>
  <si>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</si>
  <si>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</si>
  <si>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</si>
  <si>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</si>
  <si>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</si>
  <si>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</si>
  <si>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</si>
  <si>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</si>
  <si>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</si>
  <si>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</si>
  <si>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</si>
  <si>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</si>
  <si>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</si>
  <si>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</si>
  <si>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 with3.0 HDD</t>
  </si>
  <si>
    <t>Verification of PEP ACPI device enablement</t>
  </si>
  <si>
    <t>CSS-IVE-62138</t>
  </si>
  <si>
    <t>Verification of HPET (High Precision Event Timer) initialization</t>
  </si>
  <si>
    <t>CSS-IVE-62139</t>
  </si>
  <si>
    <t>Verify Aggressive LPM Support bios options</t>
  </si>
  <si>
    <t>CSS-IVE-62147</t>
  </si>
  <si>
    <t>Verify Wake up from S4 on xHCI via keyboard</t>
  </si>
  <si>
    <t>CSS-IVE-62158</t>
  </si>
  <si>
    <t>power_management.power_mgmt_cntrl</t>
  </si>
  <si>
    <t>verify CLKREQ to Root Port Mapping</t>
  </si>
  <si>
    <t>CSS-IVE-62163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</si>
  <si>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</si>
  <si>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</si>
  <si>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</si>
  <si>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</si>
  <si>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</si>
  <si>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</si>
  <si>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</si>
  <si>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</si>
  <si>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Blu-Ray 2.2 playback support using HDMI 2.2</t>
  </si>
  <si>
    <t>CSS-IVE-79886</t>
  </si>
  <si>
    <t>Abijith</t>
  </si>
  <si>
    <t>Verify USB3.0 Hub detection &amp; functionality in OS, EFI, BIOS over USB Type-A and Type-C port</t>
  </si>
  <si>
    <t>CSS-IVE-67806</t>
  </si>
  <si>
    <t>Verify USB ports &amp; USB hub are working properly in OS and EFI with USB 2.0 ,USB 3.0 bootable and non-bootable devices</t>
  </si>
  <si>
    <t>CSS-IVE-67819</t>
  </si>
  <si>
    <t>Verifying Driver Enable/ Disable from OS device manager for I2C/UART/SPI</t>
  </si>
  <si>
    <t>CSS-IVE-69877</t>
  </si>
  <si>
    <t>Verify Bios options in TPV device manager with RAID enabled &amp; disabled</t>
  </si>
  <si>
    <t>CSS-IVE-71582</t>
  </si>
  <si>
    <t>Verify that the I2C0 Device Touch Pad enumerating properly or not.</t>
  </si>
  <si>
    <t>CSS-IVE-70831</t>
  </si>
  <si>
    <t>Verify load setup default in Consumer SKU SPI image and check "Manageability Application Configuration" is listed in BIOS</t>
  </si>
  <si>
    <t>CSS-IVE-70842</t>
  </si>
  <si>
    <t>Verify bios options and check for BIOS set retain after CMOS battery clear in the USB configuration page</t>
  </si>
  <si>
    <t>CSS-IVE-70858</t>
  </si>
  <si>
    <t>Verify that when BIOS detects a PCIe NAND Storage device it should enumerate under AHCI Controller by default</t>
  </si>
  <si>
    <t>CSS-IVE-70894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</si>
  <si>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</si>
  <si>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</si>
  <si>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</si>
  <si>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</si>
  <si>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Sx cycle after OS install on SUT with SSD configured as RAID 1</t>
  </si>
  <si>
    <t>CSS-IVE-70897</t>
  </si>
  <si>
    <t>Verify "PCIe Speed" options for PCI Express Root Port</t>
  </si>
  <si>
    <t>CSS-IVE-71063</t>
  </si>
  <si>
    <t>Verify POST Serial Debug Message support via PCH LPSS UART0 and UART2</t>
  </si>
  <si>
    <t>CSS-IVE-71066</t>
  </si>
  <si>
    <t>Verify PCIe RST storage remapping works with PCIe M.2 devices</t>
  </si>
  <si>
    <t>CSS-IVE-71070</t>
  </si>
  <si>
    <t>Verify status of USB type C device connected to USB hub /DP for single S3/S0iX and S4 cycle</t>
  </si>
  <si>
    <t>CSS-IVE-71073</t>
  </si>
  <si>
    <t>Verify PDT Unlock Message - Enable/Disable option in Debug BIOS log</t>
  </si>
  <si>
    <t>CSS-IVE-71074</t>
  </si>
  <si>
    <t>Verify strap lanes 14-17 of SPTH are programmed to be DMI in the CommonLane section of ChipsetInit</t>
  </si>
  <si>
    <t>CSS-IVE-71377</t>
  </si>
  <si>
    <t>Verify BIOS can set both the eSPI-MC s BME bits and the eSPI Slaves BME bits using the Tunneled Access to Slave Configuration mechanism.</t>
  </si>
  <si>
    <t>CSS-IVE-71378</t>
  </si>
  <si>
    <t>Verifying Speaker/ Audio jack detection and audio switching from Inbuilt speakers to Headphones and vice versa</t>
  </si>
  <si>
    <t>CSS-IVE-72701</t>
  </si>
  <si>
    <t>Verify USB3 ports description in ACPI domain</t>
  </si>
  <si>
    <t>CSS-IVE-73615</t>
  </si>
  <si>
    <t>Verify BIOS display an option to enable or disable ASPM on Root port links</t>
  </si>
  <si>
    <t>CSS-IVE-80008</t>
  </si>
  <si>
    <t>other Config</t>
  </si>
  <si>
    <t>Verify disable/enable USB3.0 ports in BIOS and its corresponding behavior in OS</t>
  </si>
  <si>
    <t>CSS-IVE-80983</t>
  </si>
  <si>
    <t>Verify BIOS can support enumerating PUIS (Power-up In Standby) enabled disk</t>
  </si>
  <si>
    <t>CSS-IVE-84971</t>
  </si>
  <si>
    <t>Verify Audio Codec details are present in ACPI tables</t>
  </si>
  <si>
    <t>CSS-IVE-86413</t>
  </si>
  <si>
    <t>PCI Express Register Range Base Address (PCIEXBAR) should be initialized and enabled by System BIOS</t>
  </si>
  <si>
    <t>CSS-IVE-86471</t>
  </si>
  <si>
    <t>BIOS should configure necessary registry entries which are required for Audio Configuration</t>
  </si>
  <si>
    <t>CSS-IVE-86467</t>
  </si>
  <si>
    <t>Verify boot to OS from Intel RST premium(RAID) configured storage device</t>
  </si>
  <si>
    <t>CSS-IVE-86550</t>
  </si>
  <si>
    <t>Verify Connected modern Standby (CMS) cycle with AMT features enabled in BIOS</t>
  </si>
  <si>
    <t>CSS-IVE-73190</t>
  </si>
  <si>
    <t>Verification of Audio PEP device ID after resuming from CMS</t>
  </si>
  <si>
    <t>CSS-IVE-78898</t>
  </si>
  <si>
    <t>HSD Link:16017139708:[RPL][RPL_P][LP5][J0]:  unable to run pepBIOSchecker tool</t>
  </si>
  <si>
    <t>Verify Bios option to enable and disable Manageability Feature Selection</t>
  </si>
  <si>
    <t>CSS-IVE-86555</t>
  </si>
  <si>
    <t>Verify setup option for enabling/disabling reading of PCH temperature</t>
  </si>
  <si>
    <t>CSS-IVE-75404</t>
  </si>
  <si>
    <t>Verify Bluetooth endpoint enable/disable switch options for HD Audio Configuration in BIOS setup</t>
  </si>
  <si>
    <t>CSS-IVE-75982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</si>
  <si>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</si>
  <si>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</si>
  <si>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</si>
  <si>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</si>
  <si>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</si>
  <si>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</si>
  <si>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USB2 ports enabled by default in BIOS and its Functionality in EFI/Windows OS (Only for DT/Halo/AIO)</t>
  </si>
  <si>
    <t>CSS-IVE-88799</t>
  </si>
  <si>
    <t>Verify default Critical Trip point value in BIOS</t>
  </si>
  <si>
    <t>CSS-IVE-91089</t>
  </si>
  <si>
    <t>Verify GPIO device ID</t>
  </si>
  <si>
    <t>CSS-IVE-91897</t>
  </si>
  <si>
    <t>Verify system exposes LPSS UART as Legacy UART Device</t>
  </si>
  <si>
    <t>CSS-IVE-71062</t>
  </si>
  <si>
    <t>Verify OS boot and enumeration of PCIe based Storage devices with default controller</t>
  </si>
  <si>
    <t>CSS-IVE-76099</t>
  </si>
  <si>
    <t>Verify Bios page and its sub pages interface load in Bios setup</t>
  </si>
  <si>
    <t>CSS-IVE-76125</t>
  </si>
  <si>
    <t>Verify detection and functionality of PCIe AIC M.2 SSD as Secondary Boot Media</t>
  </si>
  <si>
    <t>CSS-IVE-95330</t>
  </si>
  <si>
    <t>Verify Non remapped device detection in EFI device list</t>
  </si>
  <si>
    <t>CSS-IVE-97234</t>
  </si>
  <si>
    <t>Verify RST driver version in OS device manager with RAID mode</t>
  </si>
  <si>
    <t>CSS-IVE-97241</t>
  </si>
  <si>
    <t>Verify BIOS detects PCIe device connected over X1/X4 slot with remapping enabled on M.2 slot</t>
  </si>
  <si>
    <t>CSS-IVE-97354</t>
  </si>
  <si>
    <t>Verify that BIOS can enable and Disable for Connected Standby</t>
  </si>
  <si>
    <t>CSS-IVE-84946</t>
  </si>
  <si>
    <t>Verify that BIOS can enable and Disable for Disconnected Modern Standby</t>
  </si>
  <si>
    <t>CSS-IVE-84948</t>
  </si>
  <si>
    <t>Verify M.2 SSD achieve SLP_S0 residency during long hours of CS-idle time</t>
  </si>
  <si>
    <t>CSS-IVE-101339</t>
  </si>
  <si>
    <t>Verify Boot to OS and data transfer with PCIe SSD</t>
  </si>
  <si>
    <t>CSS-IVE-101517</t>
  </si>
  <si>
    <t>Verify PCIe SD Card detection after multiple cycles of plug and play media file</t>
  </si>
  <si>
    <t>CSS-IVE-101602</t>
  </si>
  <si>
    <t>Verify PCIe SD Card detection after multiple cycles of plug and play media file with Sx cycles</t>
  </si>
  <si>
    <t>CSS-IVE-101603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</si>
  <si>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</si>
  <si>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</si>
  <si>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</si>
  <si>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</si>
  <si>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</si>
  <si>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</si>
  <si>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</si>
  <si>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</si>
  <si>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</si>
  <si>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</si>
  <si>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 LPSS I2C need to be on PCI mode by default</t>
  </si>
  <si>
    <t>CSS-IVE-105571</t>
  </si>
  <si>
    <t>Verifying PCIe-USB add-on card support post Sx Cycle</t>
  </si>
  <si>
    <t>CSS-IVE-105705</t>
  </si>
  <si>
    <t>Check IFWI from SPI, Boot from UFS  and verify stability  Pre and Post Connected MOS, S4 , S5 cycles</t>
  </si>
  <si>
    <t>CSS-IVE-105906</t>
  </si>
  <si>
    <t>UFS device</t>
  </si>
  <si>
    <t>Verify Bios options in DMI Configuration</t>
  </si>
  <si>
    <t>CSS-IVE-108348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</si>
  <si>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</si>
  <si>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</si>
  <si>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</si>
  <si>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</si>
  <si>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RST driver version in OS device manager with AHCI mode</t>
  </si>
  <si>
    <t>CSS-IVE-113843</t>
  </si>
  <si>
    <t>Verify RST driver installation and uninstallation in OS with AHCI/RAID mode</t>
  </si>
  <si>
    <t>CSS-IVE-113845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</si>
  <si>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</si>
  <si>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</si>
  <si>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</si>
  <si>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</si>
  <si>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</si>
  <si>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CSS-IVE-113856</t>
  </si>
  <si>
    <t>Bios should set VMCONFIG : DID_ASSIGN VMD device ID field</t>
  </si>
  <si>
    <t>CSS-IVE-115017</t>
  </si>
  <si>
    <t>Verify Bios support for PCU.ENABLE_PCIE_NDA_PG bit</t>
  </si>
  <si>
    <t>CSS-IVE-117482</t>
  </si>
  <si>
    <t>Verify device ID of Integrated Error Handler</t>
  </si>
  <si>
    <t>CSS-IVE-117483</t>
  </si>
  <si>
    <t>debug.integrated_error_handler</t>
  </si>
  <si>
    <t>Verify different boot mode of Integrated Error Handler</t>
  </si>
  <si>
    <t>CSS-IVE-117485</t>
  </si>
  <si>
    <t>Verify remapped device detection in EFI device list</t>
  </si>
  <si>
    <t>CSS-IVE-118202</t>
  </si>
  <si>
    <t>Verify bios reference code defines PSOC and PSOS methods to allow PS_ON enablement / disablement</t>
  </si>
  <si>
    <t>CSS-IVE-120097</t>
  </si>
  <si>
    <t>Verify Bios programs chipset initialization registers for PMC</t>
  </si>
  <si>
    <t>CSS-IVE-120102</t>
  </si>
  <si>
    <t>Verify BIOS reference code programs the PS_ON timers</t>
  </si>
  <si>
    <t>CSS-IVE-120141</t>
  </si>
  <si>
    <t>Verify setup gives S0i2.x and 3.x configuration options</t>
  </si>
  <si>
    <t>CSS-IVE-122386</t>
  </si>
  <si>
    <t>Verify M.2 SSD achieve SLP_S0 residency during CS</t>
  </si>
  <si>
    <t>CSS-IVE-101272</t>
  </si>
  <si>
    <t>Verify System achieve SLP_S0 residency during CS with ASPM and PTM enabled</t>
  </si>
  <si>
    <t>CSS-IVE-122397</t>
  </si>
  <si>
    <t>Verify Bios communicates PS_ON feature status to OSPM via DSD method</t>
  </si>
  <si>
    <t>CSS-IVE-129719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</si>
  <si>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</si>
  <si>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</si>
  <si>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</si>
  <si>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</si>
  <si>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SA DID enumeration in EFI shell</t>
  </si>
  <si>
    <t>CSS-IVE-130044</t>
  </si>
  <si>
    <t>Verify if SSD hangs with PLN enabled/disabled with VMD Mode</t>
  </si>
  <si>
    <t>CSS-IVE-132725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</si>
  <si>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</si>
  <si>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</si>
  <si>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</si>
  <si>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</si>
  <si>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Residency counters and BDF provided by PCH are programmed</t>
  </si>
  <si>
    <t>CSS-IVE-132998</t>
  </si>
  <si>
    <t>CLID- 8909</t>
  </si>
  <si>
    <t>Verify ModPHY SUS Power Gating is enabled from A1 silicon onwards.</t>
  </si>
  <si>
    <t>CSS-IVE-133068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</si>
  <si>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</si>
  <si>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</si>
  <si>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</si>
  <si>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</si>
  <si>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Verify T-mod settings in BIOS for display codec</t>
  </si>
  <si>
    <t>CSS-IVE-133681</t>
  </si>
  <si>
    <t>Verify NHLT Table with internal and external BIOS in ACPI dump</t>
  </si>
  <si>
    <t>CSS-IVE-135373</t>
  </si>
  <si>
    <t xml:space="preserve">External BIOS </t>
  </si>
  <si>
    <t>Verify HSIO PHY Gasket supports power gating</t>
  </si>
  <si>
    <t>CSS-IVE-135424</t>
  </si>
  <si>
    <t>Verify PMC executes the Host Boot Post   IccConfig chipsetinit to program MPPrivReg1 register bits</t>
  </si>
  <si>
    <t>CSS-IVE-135425</t>
  </si>
  <si>
    <t>Verify sub options are listed in PCIe root ports in BIOS setup page.</t>
  </si>
  <si>
    <t>CSS-IVE-135457</t>
  </si>
  <si>
    <t>Verify PCIe controller enters D3 when function disabled</t>
  </si>
  <si>
    <t>CSS-IVE-135690</t>
  </si>
  <si>
    <t>Verify PCI_CFG_DIS bit is set in the Private configuration space</t>
  </si>
  <si>
    <t>CSS-IVE-135697</t>
  </si>
  <si>
    <t>io_pcie.pcie</t>
  </si>
  <si>
    <t>Verify if BIOS performs Hybrid loading</t>
  </si>
  <si>
    <t>CSS-IVE-136324</t>
  </si>
  <si>
    <t>Verify root port based setup options in Intel Test menu</t>
  </si>
  <si>
    <t>CSS-IVE-136344</t>
  </si>
  <si>
    <t>Verify HEBC settings in BIOS</t>
  </si>
  <si>
    <t>CSS-IVE-136354</t>
  </si>
  <si>
    <t>Verify RTD3 support for NVME SSD connected over CPU M.2 Slot</t>
  </si>
  <si>
    <t>CSS-IVE-136394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</si>
  <si>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</si>
  <si>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</si>
  <si>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</si>
  <si>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</si>
  <si>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</si>
  <si>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</si>
  <si>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</si>
  <si>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</si>
  <si>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</si>
  <si>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</si>
  <si>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</si>
  <si>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</si>
  <si>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</si>
  <si>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</si>
  <si>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</si>
  <si>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</si>
  <si>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</si>
  <si>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</si>
  <si>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RAID0 with CPU Attached Storage Devices connected over x16 &amp; x8 Gen5 slots and system stability after Sx cycles</t>
  </si>
  <si>
    <t>CSS-IVE-144407</t>
  </si>
  <si>
    <t>Verify RAID1 with CPU Attached Storage Devices connected over x16 &amp; x8 Gen5 slots and system stability after Sx cycles</t>
  </si>
  <si>
    <t>CSS-IVE-144408</t>
  </si>
  <si>
    <t>Verify  BIOS should provide the options to Enable/Disable PEP devices</t>
  </si>
  <si>
    <t>CSS-IVE-144706</t>
  </si>
  <si>
    <t>Verify HID driver event filter driver from BIOS menu for mobile platforms</t>
  </si>
  <si>
    <t>CSS-IVE-144709</t>
  </si>
  <si>
    <t>Verify Storage remapping for PCIe NAND storage device Through VMD</t>
  </si>
  <si>
    <t>CSS-IVE-144592</t>
  </si>
  <si>
    <t>Verify RAID0 with CPU Attached Storage Devices and system stability after Sx cycles Through VMD</t>
  </si>
  <si>
    <t>CSS-IVE-144657</t>
  </si>
  <si>
    <t>Verify RAID1 with CPU Attached Storage Devices and system stability after Sx cycles Through VMD</t>
  </si>
  <si>
    <t>CSS-IVE-144658</t>
  </si>
  <si>
    <t>Verify Successful Boot after RAID 10 Config and system stability after Sx cycles Through VMD</t>
  </si>
  <si>
    <t>CSS-IVE-144660</t>
  </si>
  <si>
    <t>Verify CPU attached storage detection in SATA RAID 10 config and after Sx cycles Through VMD</t>
  </si>
  <si>
    <t>CSS-IVE-144662</t>
  </si>
  <si>
    <t>Verify RAID creation with CPU Attached Storage Device and PCH attached device(on PCIe4 controller) through EFI shell via VMD</t>
  </si>
  <si>
    <t>CSS-IVE-144673</t>
  </si>
  <si>
    <t>Verify ModPHY core power gating should be enabled for "unassigned" lanes</t>
  </si>
  <si>
    <t>CSS-IVE-145486</t>
  </si>
  <si>
    <t>Verify Audio Play back after S0i3(Modern Standby) cycles with USB headset in DC mode</t>
  </si>
  <si>
    <t>CSS-IVE-145662</t>
  </si>
  <si>
    <t>Verify that PSMI Handler reservation happened before MRC_DONE</t>
  </si>
  <si>
    <t>CSS-IVE-145685</t>
  </si>
  <si>
    <t>Verify package C10 after hot-plugging and hot-unplugging NVMe SSD over PEG60 Slot</t>
  </si>
  <si>
    <t>CSS-IVE-145701</t>
  </si>
  <si>
    <t>verify VMD default enabled &amp; end-user unplug and re-plug again, the VMD setting should remain as default enabled.</t>
  </si>
  <si>
    <t>CSS-IVE-145678</t>
  </si>
  <si>
    <t>Verify _DSD method for D3 enable/disable in VMD scope</t>
  </si>
  <si>
    <t>CSS-IVE-145690</t>
  </si>
  <si>
    <t>Sreelakshmi</t>
  </si>
  <si>
    <t>Verify Audio Play back after S0i3(Modern Standby) cycles with USB headset in AC mode</t>
  </si>
  <si>
    <t>CSS-IVE-63701</t>
  </si>
  <si>
    <t>Verify Basic Internal GbE Controller Functional Test pre and post Sx, warm and cold reset cycles</t>
  </si>
  <si>
    <t>CSS-IVE-145053</t>
  </si>
  <si>
    <t>Verify Graphics DirectX support - 3DMark benchmark</t>
  </si>
  <si>
    <t>CSS-IVE-71598</t>
  </si>
  <si>
    <t>Verify CNVi Bluetooth functionality in OS pre and post S4 , S5 , warm and cold reboot cycles</t>
  </si>
  <si>
    <t>CSS-IVE-145038</t>
  </si>
  <si>
    <t>SD card  functionality check connected to PCIe slot</t>
  </si>
  <si>
    <t>CSS-IVE-71240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</si>
  <si>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</si>
  <si>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</si>
  <si>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</si>
  <si>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</si>
  <si>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Verify "Wake on Voice" functionality when System in SLP_S0 state using DMIC pre and post S4/S5 cycle</t>
  </si>
  <si>
    <t>CSS-IVE-145227</t>
  </si>
  <si>
    <t>Validate Type-C USB3.0 Host Mode (Type-C to A) functionality - device connected to Hub, Cable connected when SUT is in Sx state</t>
  </si>
  <si>
    <t>CSS-IVE-63571</t>
  </si>
  <si>
    <t>Verify USB 2.0 devices functionality check over USB Type-C along with Sx cycles</t>
  </si>
  <si>
    <t>CSS-IVE-63568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</si>
  <si>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</si>
  <si>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</si>
  <si>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</si>
  <si>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</si>
  <si>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OS debug support using Windbg via native serial UART during SUT resume from S4,S5 state</t>
  </si>
  <si>
    <t>CSS-IVE-101504</t>
  </si>
  <si>
    <t>Verify wake from S3,S4 using USB Keyboard/Mouse with Debug mode option enabled in OS</t>
  </si>
  <si>
    <t>CSS-IVE-102433</t>
  </si>
  <si>
    <t>Verify Onboard LAN connectivity/functionality</t>
  </si>
  <si>
    <t>CSS-IVE-71019</t>
  </si>
  <si>
    <t>Verify SUT wake from S0i3 by CNVi Wi-Fi wake event</t>
  </si>
  <si>
    <t>CSS-IVE-113684</t>
  </si>
  <si>
    <t>Verify Booting over Wi-Fi using UEFI PXEv6 Boot with 2.4 Ghz Access Point (AP)</t>
  </si>
  <si>
    <t>CSS-IVE-113978</t>
  </si>
  <si>
    <t>Verify BIOS provides option to enable/disable ISH Configuration</t>
  </si>
  <si>
    <t>CSS-IVE-62691</t>
  </si>
  <si>
    <t>Verify system shuts down after reaching critical Trip point</t>
  </si>
  <si>
    <t>CSS-IVE-65446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</si>
  <si>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</si>
  <si>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</si>
  <si>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</si>
  <si>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</si>
  <si>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</si>
  <si>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</si>
  <si>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Package C-states support</t>
  </si>
  <si>
    <t>CSS-IVE-65501</t>
  </si>
  <si>
    <t>Priyanka</t>
  </si>
  <si>
    <t>Verify Headphone plug/unplug Event wake system from CMS</t>
  </si>
  <si>
    <t>CSS-IVE-71144</t>
  </si>
  <si>
    <t>Verify SUT waking up from Connected Modern standby when it hits low battery event</t>
  </si>
  <si>
    <t>CSS-IVE-71145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</si>
  <si>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</si>
  <si>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</si>
  <si>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</si>
  <si>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</si>
  <si>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Verify the stability of KVM session over Wired LAN after 5 Sx cycles</t>
  </si>
  <si>
    <t>CSS-IVE-69926</t>
  </si>
  <si>
    <t>With Storage redirection disabled in MEBX, verify Storage redirection session cannot be established  through Wired LAN</t>
  </si>
  <si>
    <t>CSS-IVE-69932</t>
  </si>
  <si>
    <t>Verify local user cannot enter into MEBx to change Intel  Standard Manageability Configuration when USB-R &amp; KVM session is active</t>
  </si>
  <si>
    <t>CSS-IVE-69938</t>
  </si>
  <si>
    <t>Verify Storage Redirection session cannot be established through Wireless LAN With Storage Redirection disabled in MEBX</t>
  </si>
  <si>
    <t>CSS-IVE-69940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</si>
  <si>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</si>
  <si>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</si>
  <si>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</si>
  <si>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</si>
  <si>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</si>
  <si>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</si>
  <si>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</si>
  <si>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</si>
  <si>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BIOS shall initialize Intel MEI #1 (HECI 1)prior to the system memory initialization.</t>
  </si>
  <si>
    <t>CSS-IVE-80346</t>
  </si>
  <si>
    <t>ME FW shall invoke the Intel MEBx prior to sending the End of POST MEI message on Corporate SKU IFWI</t>
  </si>
  <si>
    <t>CSS-IVE-80348</t>
  </si>
  <si>
    <t>ME FW shall not invoke the Intel MEBx prior to sending the End of POST MEI message on Consumer SKU IFWI</t>
  </si>
  <si>
    <t>CSS-IVE-80744</t>
  </si>
  <si>
    <t>Verify if BIOS populates Structure Identifier of Intel ME Platform under SMBIOS table 131</t>
  </si>
  <si>
    <t>CSS-IVE-80130</t>
  </si>
  <si>
    <t>Verify if BIOS populates Network Device - LAN capabilities under SMBIOS table 131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</si>
  <si>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</si>
  <si>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</si>
  <si>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</si>
  <si>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</si>
  <si>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</si>
  <si>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Intel ME CPU Capability under SMBIOS table 131</t>
  </si>
  <si>
    <t>CSS-IVE-80055</t>
  </si>
  <si>
    <t>Verify if BIOS populates Type, Length and Handle of Intel ME Platform under SMBIOS table 131</t>
  </si>
  <si>
    <t>CSS-IVE-80023</t>
  </si>
  <si>
    <t>Verify that MEBx shall display an option to Enable or Disable Remote Configuration</t>
  </si>
  <si>
    <t>CSS-IVE-75944</t>
  </si>
  <si>
    <t>Verify that MEBx shall suppress IP configuration menu when LAN-less platform is detected</t>
  </si>
  <si>
    <t>CSS-IVE-76109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</si>
  <si>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</si>
  <si>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</si>
  <si>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</si>
  <si>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</si>
  <si>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Verify that the Active Management Technology (AMT) reflects correct state of Enabled or Disabled depending upon MEBX</t>
  </si>
  <si>
    <t>CSS-IVE-73228</t>
  </si>
  <si>
    <t>Verify "Opt-in Configurable from IT" option can be successfully enabled/disabled in MEBX</t>
  </si>
  <si>
    <t>CSS-IVE-73237</t>
  </si>
  <si>
    <t>Verify AMT Configuration in BIOS is not configurable when KVM session is active</t>
  </si>
  <si>
    <t>CSS-IVE-147210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</si>
  <si>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</si>
  <si>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</si>
  <si>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</si>
  <si>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</si>
  <si>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</si>
  <si>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</si>
  <si>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ver with 3.1 gen1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</si>
  <si>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</si>
  <si>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</si>
  <si>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</si>
  <si>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</si>
  <si>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</si>
  <si>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</si>
  <si>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System stability test while performing G3 with ongoing video playback</t>
  </si>
  <si>
    <t>CSS-IVE-80393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</si>
  <si>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</si>
  <si>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</si>
  <si>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</si>
  <si>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CSS-IVE-80397</t>
  </si>
  <si>
    <t>System stability test while performing Sleep S3 cycles with ongoing video playback on external displays</t>
  </si>
  <si>
    <t>CSS-IVE-80398</t>
  </si>
  <si>
    <t>Validate Cold Reboot Cycles with Online Video Streaming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</si>
  <si>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</si>
  <si>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</si>
  <si>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</si>
  <si>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</si>
  <si>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</si>
  <si>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</si>
  <si>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</si>
  <si>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</si>
  <si>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</si>
  <si>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</si>
  <si>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</si>
  <si>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Verify WWAN functionality pre and post Disconnected Modern Standby (DMS) cycle</t>
  </si>
  <si>
    <t>CSS-IVE-89492</t>
  </si>
  <si>
    <t>Validate Graphics turbo frequency is achieved by system pre and post DMS/S0i3 cycle</t>
  </si>
  <si>
    <t>CSS-IVE-90979</t>
  </si>
  <si>
    <t>System stability test while performing CMS/S0i3 cycles with ongoing video playback</t>
  </si>
  <si>
    <t>CSS-IVE-90983</t>
  </si>
  <si>
    <t>Validate Type-C USB2.0 Host Mode (Type-C to A) functionality - after S4, device connected when SUT is in S4 State</t>
  </si>
  <si>
    <t>CSS-IVE-90954</t>
  </si>
  <si>
    <t>Verify CNVi Bluetooth Functionality in OS before/after disconnected MoS cycle</t>
  </si>
  <si>
    <t>CSS-IVE-95147</t>
  </si>
  <si>
    <t>Verify CNVi WLAN Functionality in OS before/after disconnected Mos Cycle</t>
  </si>
  <si>
    <t>CSS-IVE-95152</t>
  </si>
  <si>
    <t>Verify flashing of BIOS using FPT tool followed by Global Reset</t>
  </si>
  <si>
    <t>CSS-IVE-97286</t>
  </si>
  <si>
    <t>Verify TCSS D3 cold exit will be happen before display is turned ON</t>
  </si>
  <si>
    <t>CSS-IVE-132619</t>
  </si>
  <si>
    <t>Verification of Connected Standby with AMT features enabled in BIOS</t>
  </si>
  <si>
    <t>CSS-IVE-130395</t>
  </si>
  <si>
    <t>CSS-IVE-130946</t>
  </si>
  <si>
    <t>Verify Local USB Keyboard and mouse functionality during USB-R session</t>
  </si>
  <si>
    <t>CSS-IVE-131351</t>
  </si>
  <si>
    <t>Verify SUT ability to Start Storage Redirection Session over Wireless LAN post Sx cycle</t>
  </si>
  <si>
    <t>CSS-IVE-131526</t>
  </si>
  <si>
    <t>CSS-IVE-131529</t>
  </si>
  <si>
    <t>Verify WLAN connectivity when an active AMT session established over WiAMT</t>
  </si>
  <si>
    <t>CSS-IVE-131544</t>
  </si>
  <si>
    <t>Verify AMT WEBUI session over TBT vPro dock post CMS cycle</t>
  </si>
  <si>
    <t>CSS-IVE-131608</t>
  </si>
  <si>
    <t>Verify the KVM session after 2 S5 cycles</t>
  </si>
  <si>
    <t>CSS-IVE-131883</t>
  </si>
  <si>
    <t>CSS-IVE-131890</t>
  </si>
  <si>
    <t>Verify Storage Redirection session cannot be established with IMRGUI through Wireless LAN With Storage Redirection disabled in MEBX</t>
  </si>
  <si>
    <t>CSS-IVE-131891</t>
  </si>
  <si>
    <t>Verify USB-R Controllers are initialized during boot from S5 using KVM with Secure boot enabled</t>
  </si>
  <si>
    <t>CSS-IVE-131907</t>
  </si>
  <si>
    <t>Verfiy that the Active Management Technology (AMT) reflects correct state of Enabled or Disabled depending upon MEBX</t>
  </si>
  <si>
    <t>CSS-IVE-131932</t>
  </si>
  <si>
    <t>Verify HECI3 is hidden when WLAN is supported by ME on Corp SKU</t>
  </si>
  <si>
    <t>CSS-IVE-145719</t>
  </si>
  <si>
    <t>Verify Clover Falls (CVF) Camera functionality via capturing Image/Video with pre and post DMS cycles in OS</t>
  </si>
  <si>
    <t>CSS-IVE-147192</t>
  </si>
  <si>
    <t>Clover Falls (CVF): Verify wake from CMS using Wake on Face functionality</t>
  </si>
  <si>
    <t>CSS-IVE-147194</t>
  </si>
  <si>
    <t>CSS-IVE-147195</t>
  </si>
  <si>
    <t>CSS-IVE-147196</t>
  </si>
  <si>
    <t>CSS-IVE-147198</t>
  </si>
  <si>
    <t>Verify 4K Display functionality over type-C port with PCIE tunneling enabled and disabled</t>
  </si>
  <si>
    <t>CSS-IVE-133674</t>
  </si>
  <si>
    <t>Verify second edp display panel register programming in dual display mode (edp+edp)</t>
  </si>
  <si>
    <t>CSS-IVE-146006</t>
  </si>
  <si>
    <t>Verify IPU-Camera Sensor module enumeration with G1 Card, Pre and Post S4, S5 and Warm/cold reset cycles</t>
  </si>
  <si>
    <t>CLID-8679</t>
  </si>
  <si>
    <t>Verify that BIOS setup shall not display MEBx options with Intel AMT disabled IFWI</t>
  </si>
  <si>
    <t>CSS-IVE-145629</t>
  </si>
  <si>
    <t>Verify ACPI enumeration for LED I2C controller for Close Lid WoV</t>
  </si>
  <si>
    <t>Verify FHD USB camera is functioning properly for capturing images &amp; video with S4, S5 and warm/cold reset cycles</t>
  </si>
  <si>
    <t>CSS-IVE-86896</t>
  </si>
  <si>
    <t>Verify DFD Restore setup option is not present in BIOS</t>
  </si>
  <si>
    <t>Verify BIOS setup menu provides options to set FAN RPM Control (CPU FAN Control)</t>
  </si>
  <si>
    <t>CSS-IVE-72687</t>
  </si>
  <si>
    <t>Verify TBT IOMMU and segment support option removal in BIOS</t>
  </si>
  <si>
    <t>Verify BIOS PMC LDO configuring PMC in PEI</t>
  </si>
  <si>
    <t>Perform Sx(S3, S4 and S5) with OS installed in SATA HDD</t>
  </si>
  <si>
    <t>CSS-IVE-101003</t>
  </si>
  <si>
    <t>Verifying SSID and SVID updated in BIOS and OS</t>
  </si>
  <si>
    <t>Verify non USB2 and USB3 functionality working through Type-C TBT Ports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</si>
  <si>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</si>
  <si>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</si>
  <si>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</si>
  <si>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</si>
  <si>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</si>
  <si>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that the Discrete VPU device supports RTD3</t>
  </si>
  <si>
    <t>Verify PET Event notification for HTTPS TLS authentication fail</t>
  </si>
  <si>
    <t>Verify PET Event log for Network connection interruption during HTTPS</t>
  </si>
  <si>
    <t>Verify BIOS supports for Audio DSP (ADSP) Enabled/disabled Fuses</t>
  </si>
  <si>
    <t>CSS-IVE-73619</t>
  </si>
  <si>
    <t>Verify NPK IP IMR  allocating above 4GB</t>
  </si>
  <si>
    <t>Verify Functionality of Camera Flash device in OS pre and post S4, S5, warm/cold reset cycles</t>
  </si>
  <si>
    <t>CSS-IVE-76253</t>
  </si>
  <si>
    <t>Verify Enumeration and functionality of Camera Flash device pre and post RTD3 cycles in OS</t>
  </si>
  <si>
    <t>CSS-IVE-90941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</si>
  <si>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</si>
  <si>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</si>
  <si>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</si>
  <si>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 with usb4 hub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</si>
  <si>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</si>
  <si>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</si>
  <si>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</si>
  <si>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Verify functionality of TBT3 Dock (hot plug) before and after resume from S3 for 5 cycles</t>
  </si>
  <si>
    <t>tbt dock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</si>
  <si>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</si>
  <si>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</si>
  <si>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</si>
  <si>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</si>
  <si>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</si>
  <si>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</si>
  <si>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</si>
  <si>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</si>
  <si>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</si>
  <si>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</si>
  <si>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</si>
  <si>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</si>
  <si>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</si>
  <si>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</si>
  <si>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</si>
  <si>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Change in BIOS SETUP default value of PEP SATA to D3</t>
  </si>
  <si>
    <t>Verify setup option for Skip System Resets in Intel Test menu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</si>
  <si>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</si>
  <si>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</si>
  <si>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</si>
  <si>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</si>
  <si>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</si>
  <si>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</si>
  <si>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</si>
  <si>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</si>
  <si>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Negative: Verify DMIC basic functionality test over High Definition Audio (HDA) Codec</t>
  </si>
  <si>
    <t>Negative: Verify IPU-Camera Sensor module enumeration</t>
  </si>
  <si>
    <t>CSS-IVE-113830</t>
  </si>
  <si>
    <t>Negative: Verify display audio enumeration in OS</t>
  </si>
  <si>
    <t>CSS-IVE-76597</t>
  </si>
  <si>
    <t>Negative: Verify Unique ID of AVStream Enumerated as GFX child device</t>
  </si>
  <si>
    <t>[Negative] Verify BIOS  option to disable Serial debug messages</t>
  </si>
  <si>
    <t>Negative: Verify GT PSMI Support in BIOS</t>
  </si>
  <si>
    <t>CSS-IVE-105610</t>
  </si>
  <si>
    <t>Negative: Verify PAVP testing on different display panels with Playready App</t>
  </si>
  <si>
    <t>CSS-IVE-77380</t>
  </si>
  <si>
    <t>hdmi</t>
  </si>
  <si>
    <t>[Negative] Verify PSMI handler memory Reservation and configuring doesn't work when PSMI size set to 0 KB</t>
  </si>
  <si>
    <t>testmenu</t>
  </si>
  <si>
    <t>[Negative]Verify Re-arm command  after disabling Re-arm BIOS knob</t>
  </si>
  <si>
    <t>Negative: Verify USB-Audio offload when System in CMS</t>
  </si>
  <si>
    <t>[Negative] Verify USB3 DbC Functionality  using Type C when platform debug consent BIOS option disable</t>
  </si>
  <si>
    <t>3dbc</t>
  </si>
  <si>
    <t>Negative: Verify Audio playback and recording from Bluetooth Headset</t>
  </si>
  <si>
    <t>CSS-IVE-69879</t>
  </si>
  <si>
    <t>[Negative]Verify BIOS ACPI debug messages capture when ACPI Debug BIOS option disabled</t>
  </si>
  <si>
    <t>[Negative] Verify Platform supports SoC crash by disabling crash log BIOS option</t>
  </si>
  <si>
    <t>Verify CrashLog Clear Enable Bios option disabled by default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</si>
  <si>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</si>
  <si>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</si>
  <si>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</si>
  <si>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USB2 DbC Functionality  using Type C when platform debug consent BIOS option disable</t>
  </si>
  <si>
    <t xml:space="preserve"> CLID- 8777</t>
  </si>
  <si>
    <t>Verify RTIT(Run Time Instruction Trace) feature for Processor Trace BIOS option disabled</t>
  </si>
  <si>
    <t>Verify platform has support to enable and disable C6 DRAM BIOS option</t>
  </si>
  <si>
    <t>Verify CVF Camera GPIO initialization and respective values using GPIO configuration tool</t>
  </si>
  <si>
    <t>CSS-IVE-115843</t>
  </si>
  <si>
    <t>imaging.ipu</t>
  </si>
  <si>
    <t>Verify SUT does not wake from S3 on Scan matrix key press does once its disabled for BIOS</t>
  </si>
  <si>
    <t>CLID-8725</t>
  </si>
  <si>
    <t>Negative: Verify Audio Playback using 3.5mm-Jack-Headset over HD-A Codec</t>
  </si>
  <si>
    <t>Verify ACPI HWID Clover Falls (CVF) Camera Sensor modules in OS</t>
  </si>
  <si>
    <t>CSS-IVE-135494</t>
  </si>
  <si>
    <t>Verify SUT dose not enters to Pseudo G3 state when type-C adaptor connected</t>
  </si>
  <si>
    <t>Verify that the Discrete VPU device enumeration, pre and post CMS cycles</t>
  </si>
  <si>
    <t>VPU settings not applicable for LP5</t>
  </si>
  <si>
    <t>Verify BIOS support USB4 v2.0 SW CM Mode for Barlow Ridge</t>
  </si>
  <si>
    <t>verify ACPI Method to halt on Deadloop on Timeout or unrecoverable Errors</t>
  </si>
  <si>
    <t>verify  BIOS menu option  provided to select ACX driver architecture</t>
  </si>
  <si>
    <t>Verify RTC Date &amp; Time can be retrieved without Coin battery support and it remains intact after Warm Boot</t>
  </si>
  <si>
    <t>CSS-IVE-118800</t>
  </si>
  <si>
    <t>Verify RTD3 flow support for Type-C USB3.2 device</t>
  </si>
  <si>
    <t>CSS-IVE-113760</t>
  </si>
  <si>
    <t>Verify Type-C multi port functionality - PR Swap, USB3.2 and TBT-Display after G3 and reboot state</t>
  </si>
  <si>
    <t>CSS-IVE-113769</t>
  </si>
  <si>
    <t>HSD Link:16017261840: [RPL-P][GC][TCSS][TCM]:DXE assert on edp causes soft-hung(10b4) while plug TBT dock along with display when system is in restarting phase, no repro without display connected behind the dock</t>
  </si>
  <si>
    <t>Validate USB3.2 Gen2 device functionality with pre and post Sx cycles over USB3.0Type-A port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</si>
  <si>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</si>
  <si>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</si>
  <si>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</si>
  <si>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</si>
  <si>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</si>
  <si>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system stability on performing Sx cycles post reset from EDK shell</t>
  </si>
  <si>
    <t>CSS-IVE-119240</t>
  </si>
  <si>
    <t>Verify TCSS FW version are updated in FVI table</t>
  </si>
  <si>
    <t>CSS-IVE-119266</t>
  </si>
  <si>
    <t>Verify AET trace log capture through NPK  when platform debug consent Option disabled</t>
  </si>
  <si>
    <t>Bios.Sa Support</t>
  </si>
  <si>
    <t>Bios.Mem_Decode Support</t>
  </si>
  <si>
    <t>Bios.Pch Support</t>
  </si>
  <si>
    <t>Bios.Platform,Bios.Sa Support</t>
  </si>
  <si>
    <t>Display, Graphics, Vidao and Audio</t>
  </si>
  <si>
    <t>Display, Graphics, BIOSSdIo and Audio</t>
  </si>
  <si>
    <t>Display, Graphics, Ccdho and Audio</t>
  </si>
  <si>
    <t>Bios.Cpu_Pm Support</t>
  </si>
  <si>
    <t>Bios.Pch,Bios.Platform Support</t>
  </si>
  <si>
    <t>Bios.Pch,Fw.Ifwi.Pmc Support</t>
  </si>
  <si>
    <t>Debug Support</t>
  </si>
  <si>
    <t>Power_Management Support</t>
  </si>
  <si>
    <t>Power mangement</t>
  </si>
  <si>
    <t>Network</t>
  </si>
  <si>
    <t>Sha</t>
  </si>
  <si>
    <t xml:space="preserve"> Previos Executer</t>
  </si>
  <si>
    <t>divya</t>
  </si>
  <si>
    <t>CLID- 8945</t>
  </si>
  <si>
    <t>CLID- 8947</t>
  </si>
  <si>
    <t>CLID-8734</t>
  </si>
  <si>
    <t>After conneting External display sound is not getting into the external display</t>
  </si>
  <si>
    <t>VPU option is not available in bios page</t>
  </si>
  <si>
    <t>CLID-8632</t>
  </si>
  <si>
    <t>CLID-8710</t>
  </si>
  <si>
    <t xml:space="preserve">raid </t>
  </si>
  <si>
    <t>Got confirmation from CO</t>
  </si>
  <si>
    <t>Automatable python</t>
  </si>
  <si>
    <t>CLID-8282/GC</t>
  </si>
  <si>
    <t>CLID-5768/GC</t>
  </si>
  <si>
    <t>CLID-8264/GC</t>
  </si>
  <si>
    <t>CLID-8757/GC</t>
  </si>
  <si>
    <t>mailed to CO/GC</t>
  </si>
  <si>
    <t>deeysx</t>
  </si>
  <si>
    <t>Verify Retimer firmware upgradation from OS using TDT tool           n</t>
  </si>
  <si>
    <t>Verify BIOS support for [CNV][WIFI] New ACPI table WTAS - Wi-Fi time Average SAR         h</t>
  </si>
  <si>
    <t>Validate SUT wake from S0i3 Using USB-LAN              h</t>
  </si>
  <si>
    <t>praveen</t>
  </si>
  <si>
    <t>chandana</t>
  </si>
  <si>
    <t xml:space="preserve">Automatable could not able to collect the log </t>
  </si>
  <si>
    <t>CLID- 8927</t>
  </si>
  <si>
    <t xml:space="preserve">Verify Type-C multi port functionality - WinDBG,TBT-Display,TBT-SSD, TBT-Dock on Hot Plug        </t>
  </si>
  <si>
    <t xml:space="preserve">Verify USB4 storage functionality hot plug during S4, S5 cycles          </t>
  </si>
  <si>
    <t xml:space="preserve">Verify ACPI CPPC objects from SSDT and DSDT-         </t>
  </si>
  <si>
    <t>CLID-8254</t>
  </si>
  <si>
    <t>CLID-8937 / Updated</t>
  </si>
  <si>
    <t xml:space="preserve">Got confirmation from CO </t>
  </si>
  <si>
    <t>In/inpro</t>
  </si>
  <si>
    <t>CLID-8084</t>
  </si>
  <si>
    <t>CLID- 9013</t>
  </si>
  <si>
    <t>CLID-8227</t>
  </si>
  <si>
    <t>CLID-8163</t>
  </si>
  <si>
    <t>CLID -9015</t>
  </si>
  <si>
    <t>BOM 23 Touch panel not available in Inventory</t>
  </si>
  <si>
    <t>ver in dc1/sha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</si>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</sst>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7"/>
      <color theme="1"/>
      <name val="Calibri"/>
      <family val="2"/>
      <scheme val="minor"/>
    </font>
    <font>
      <sz val="8"/>
      <color rgb="FF212529"/>
      <name val="Roboto"/>
    </font>
    <font>
      <sz val="10.5"/>
      <color theme="1"/>
      <name val="Segoe UI"/>
      <family val="2"/>
    </font>
    <font>
      <sz val="10"/>
      <color rgb="FF212529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rgb="FF212529"/>
      <name val="Roboto"/>
    </font>
    <font>
      <u/>
      <sz val="11"/>
      <color rgb="FF0563C1"/>
      <name val="Calibri"/>
      <family val="2"/>
    </font>
    <font>
      <sz val="9"/>
      <name val="Intel Clear"/>
      <family val="2"/>
    </font>
    <font>
      <sz val="11"/>
      <color rgb="FF000000"/>
      <name val="Calibri"/>
      <family val="2"/>
      <scheme val="minor"/>
    </font>
    <font>
      <sz val="8"/>
      <color rgb="FF4F52B2"/>
      <name val="Segoe UI"/>
      <family val="2"/>
    </font>
    <font>
      <b/>
      <sz val="11"/>
      <color rgb="FF000000"/>
      <name val="Calibri"/>
      <family val="2"/>
    </font>
    <font>
      <sz val="8"/>
      <color rgb="FF0077DD"/>
      <name val="Arial"/>
      <family val="2"/>
    </font>
    <font>
      <sz val="11"/>
      <color rgb="FFFF0000"/>
      <name val="Calibri"/>
      <family val="2"/>
      <scheme val="minor"/>
    </font>
    <font>
      <sz val="8"/>
      <color rgb="FF24242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  <xf numFmtId="16" fontId="5" fillId="0" borderId="1" xfId="0" applyNumberFormat="1" applyFont="1" applyBorder="1"/>
    <xf numFmtId="0" fontId="5" fillId="0" borderId="2" xfId="0" applyFont="1" applyBorder="1"/>
    <xf numFmtId="14" fontId="5" fillId="0" borderId="1" xfId="0" applyNumberFormat="1" applyFont="1" applyBorder="1"/>
    <xf numFmtId="14" fontId="0" fillId="0" borderId="0" xfId="0" applyNumberFormat="1"/>
    <xf numFmtId="0" fontId="6" fillId="0" borderId="0" xfId="0" applyFont="1"/>
    <xf numFmtId="0" fontId="1" fillId="0" borderId="0" xfId="1" applyAlignment="1">
      <alignment vertical="center" wrapText="1"/>
    </xf>
    <xf numFmtId="0" fontId="1" fillId="0" borderId="0" xfId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1" xfId="0" applyFont="1" applyBorder="1"/>
    <xf numFmtId="0" fontId="10" fillId="0" borderId="0" xfId="0" applyFont="1"/>
    <xf numFmtId="0" fontId="11" fillId="0" borderId="0" xfId="0" applyFont="1"/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/>
    <xf numFmtId="16" fontId="0" fillId="0" borderId="0" xfId="0" applyNumberFormat="1"/>
    <xf numFmtId="0" fontId="12" fillId="0" borderId="1" xfId="0" applyFont="1" applyBorder="1"/>
    <xf numFmtId="0" fontId="13" fillId="0" borderId="0" xfId="0" applyFont="1"/>
    <xf numFmtId="0" fontId="14" fillId="0" borderId="1" xfId="0" applyFont="1" applyBorder="1"/>
    <xf numFmtId="0" fontId="5" fillId="0" borderId="1" xfId="0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3" fillId="0" borderId="2" xfId="0" applyFont="1" applyFill="1" applyBorder="1"/>
    <xf numFmtId="0" fontId="3" fillId="0" borderId="0" xfId="0" applyFont="1" applyFill="1" applyBorder="1"/>
    <xf numFmtId="0" fontId="17" fillId="3" borderId="4" xfId="0" applyFont="1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3" fillId="0" borderId="7" xfId="0" applyFont="1" applyFill="1" applyBorder="1"/>
    <xf numFmtId="14" fontId="0" fillId="0" borderId="7" xfId="0" applyNumberFormat="1" applyBorder="1"/>
    <xf numFmtId="0" fontId="0" fillId="0" borderId="9" xfId="0" applyFont="1" applyFill="1" applyBorder="1" applyAlignment="1"/>
    <xf numFmtId="0" fontId="16" fillId="0" borderId="0" xfId="0" applyFont="1" applyBorder="1"/>
    <xf numFmtId="0" fontId="5" fillId="4" borderId="1" xfId="0" applyFont="1" applyFill="1" applyBorder="1"/>
    <xf numFmtId="0" fontId="3" fillId="0" borderId="2" xfId="0" applyFont="1" applyBorder="1"/>
    <xf numFmtId="14" fontId="14" fillId="0" borderId="1" xfId="0" applyNumberFormat="1" applyFont="1" applyBorder="1"/>
    <xf numFmtId="0" fontId="0" fillId="5" borderId="0" xfId="0" applyFill="1"/>
    <xf numFmtId="0" fontId="18" fillId="0" borderId="0" xfId="0" applyFont="1"/>
    <xf numFmtId="0" fontId="19" fillId="0" borderId="0" xfId="0" applyFont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usernames" Target="revisions/userNames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133" Type="http://schemas.openxmlformats.org/officeDocument/2006/relationships/revisionLog" Target="revisionLog133.xml"/><Relationship Id="rId112" Type="http://schemas.openxmlformats.org/officeDocument/2006/relationships/revisionLog" Target="revisionLog112.xml"/><Relationship Id="rId63" Type="http://schemas.openxmlformats.org/officeDocument/2006/relationships/revisionLog" Target="revisionLog63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89" Type="http://schemas.openxmlformats.org/officeDocument/2006/relationships/revisionLog" Target="revisionLog89.xml"/><Relationship Id="rId68" Type="http://schemas.openxmlformats.org/officeDocument/2006/relationships/revisionLog" Target="revisionLog68.xml"/><Relationship Id="rId141" Type="http://schemas.openxmlformats.org/officeDocument/2006/relationships/revisionLog" Target="revisionLog141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120" Type="http://schemas.openxmlformats.org/officeDocument/2006/relationships/revisionLog" Target="revisionLog120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2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107" Type="http://schemas.openxmlformats.org/officeDocument/2006/relationships/revisionLog" Target="revisionLog107.xml"/><Relationship Id="rId144" Type="http://schemas.openxmlformats.org/officeDocument/2006/relationships/revisionLog" Target="revisionLog144.xml"/><Relationship Id="rId128" Type="http://schemas.openxmlformats.org/officeDocument/2006/relationships/revisionLog" Target="revisionLog128.xml"/><Relationship Id="rId123" Type="http://schemas.openxmlformats.org/officeDocument/2006/relationships/revisionLog" Target="revisionLog123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36" Type="http://schemas.openxmlformats.org/officeDocument/2006/relationships/revisionLog" Target="revisionLog136.xml"/><Relationship Id="rId131" Type="http://schemas.openxmlformats.org/officeDocument/2006/relationships/revisionLog" Target="revisionLog131.xml"/><Relationship Id="rId115" Type="http://schemas.openxmlformats.org/officeDocument/2006/relationships/revisionLog" Target="revisionLog11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49" Type="http://schemas.openxmlformats.org/officeDocument/2006/relationships/revisionLog" Target="revisionLog5.xml"/><Relationship Id="rId95" Type="http://schemas.openxmlformats.org/officeDocument/2006/relationships/revisionLog" Target="revisionLog95.xml"/><Relationship Id="rId90" Type="http://schemas.openxmlformats.org/officeDocument/2006/relationships/revisionLog" Target="revisionLog90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39" Type="http://schemas.openxmlformats.org/officeDocument/2006/relationships/revisionLog" Target="revisionLog139.xml"/><Relationship Id="rId134" Type="http://schemas.openxmlformats.org/officeDocument/2006/relationships/revisionLog" Target="revisionLog134.xml"/><Relationship Id="rId118" Type="http://schemas.openxmlformats.org/officeDocument/2006/relationships/revisionLog" Target="revisionLog118.xml"/><Relationship Id="rId113" Type="http://schemas.openxmlformats.org/officeDocument/2006/relationships/revisionLog" Target="revisionLog113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26" Type="http://schemas.openxmlformats.org/officeDocument/2006/relationships/revisionLog" Target="revisionLog126.xml"/><Relationship Id="rId105" Type="http://schemas.openxmlformats.org/officeDocument/2006/relationships/revisionLog" Target="revisionLog105.xml"/><Relationship Id="rId100" Type="http://schemas.openxmlformats.org/officeDocument/2006/relationships/revisionLog" Target="revisionLog100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47" Type="http://schemas.openxmlformats.org/officeDocument/2006/relationships/revisionLog" Target="revisionLog3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42" Type="http://schemas.openxmlformats.org/officeDocument/2006/relationships/revisionLog" Target="revisionLog142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29" Type="http://schemas.openxmlformats.org/officeDocument/2006/relationships/revisionLog" Target="revisionLog129.xml"/><Relationship Id="rId124" Type="http://schemas.openxmlformats.org/officeDocument/2006/relationships/revisionLog" Target="revisionLog124.xml"/><Relationship Id="rId108" Type="http://schemas.openxmlformats.org/officeDocument/2006/relationships/revisionLog" Target="revisionLog108.xml"/><Relationship Id="rId103" Type="http://schemas.openxmlformats.org/officeDocument/2006/relationships/revisionLog" Target="revisionLog103.xml"/><Relationship Id="rId59" Type="http://schemas.openxmlformats.org/officeDocument/2006/relationships/revisionLog" Target="revisionLog59.xml"/><Relationship Id="rId137" Type="http://schemas.openxmlformats.org/officeDocument/2006/relationships/revisionLog" Target="revisionLog137.xml"/><Relationship Id="rId116" Type="http://schemas.openxmlformats.org/officeDocument/2006/relationships/revisionLog" Target="revisionLog116.xml"/><Relationship Id="rId67" Type="http://schemas.openxmlformats.org/officeDocument/2006/relationships/revisionLog" Target="revisionLog67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32" Type="http://schemas.openxmlformats.org/officeDocument/2006/relationships/revisionLog" Target="revisionLog132.xml"/><Relationship Id="rId111" Type="http://schemas.openxmlformats.org/officeDocument/2006/relationships/revisionLog" Target="revisionLog11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45" Type="http://schemas.openxmlformats.org/officeDocument/2006/relationships/revisionLog" Target="revisionLog1.xml"/><Relationship Id="rId119" Type="http://schemas.openxmlformats.org/officeDocument/2006/relationships/revisionLog" Target="revisionLog119.xml"/><Relationship Id="rId114" Type="http://schemas.openxmlformats.org/officeDocument/2006/relationships/revisionLog" Target="revisionLog114.xml"/><Relationship Id="rId49" Type="http://schemas.openxmlformats.org/officeDocument/2006/relationships/revisionLog" Target="revisionLog49.xml"/><Relationship Id="rId127" Type="http://schemas.openxmlformats.org/officeDocument/2006/relationships/revisionLog" Target="revisionLog127.xml"/><Relationship Id="rId106" Type="http://schemas.openxmlformats.org/officeDocument/2006/relationships/revisionLog" Target="revisionLog106.xml"/><Relationship Id="rId57" Type="http://schemas.openxmlformats.org/officeDocument/2006/relationships/revisionLog" Target="revisionLog57.xml"/><Relationship Id="rId101" Type="http://schemas.openxmlformats.org/officeDocument/2006/relationships/revisionLog" Target="revisionLog101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35" Type="http://schemas.openxmlformats.org/officeDocument/2006/relationships/revisionLog" Target="revisionLog135.xml"/><Relationship Id="rId143" Type="http://schemas.openxmlformats.org/officeDocument/2006/relationships/revisionLog" Target="revisionLog143.xml"/><Relationship Id="rId122" Type="http://schemas.openxmlformats.org/officeDocument/2006/relationships/revisionLog" Target="revisionLog122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48" Type="http://schemas.openxmlformats.org/officeDocument/2006/relationships/revisionLog" Target="revisionLog4.xml"/><Relationship Id="rId109" Type="http://schemas.openxmlformats.org/officeDocument/2006/relationships/revisionLog" Target="revisionLog10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731F17E-3E20-4288-AEA3-20E3C632E9C5}" diskRevisions="1" revisionId="419" version="149">
  <header guid="{CAB58893-BC5B-4CF1-8B6D-63BB0F482FD3}" dateTime="2022-07-26T10:52:05" maxSheetId="2" userName="Rajanna, ManasaX" r:id="rId49" minRId="137" maxRId="139">
    <sheetIdMap count="1">
      <sheetId val="1"/>
    </sheetIdMap>
  </header>
  <header guid="{E2DFF887-4145-4327-B577-4FF3B8865570}" dateTime="2022-07-26T11:02:25" maxSheetId="2" userName="Tamilarasan, PrasanthX" r:id="rId50" minRId="140">
    <sheetIdMap count="1">
      <sheetId val="1"/>
    </sheetIdMap>
  </header>
  <header guid="{6BFC191F-17E2-4DF4-B739-92F308DA4401}" dateTime="2022-07-26T11:22:47" maxSheetId="2" userName="Rajikumar, DivyaX" r:id="rId51" minRId="142">
    <sheetIdMap count="1">
      <sheetId val="1"/>
    </sheetIdMap>
  </header>
  <header guid="{1EED6E72-1CD0-4000-BD54-29017E044C82}" dateTime="2022-07-26T12:15:12" maxSheetId="2" userName="Deivasigamani, SwethaX" r:id="rId52" minRId="143" maxRId="144">
    <sheetIdMap count="1">
      <sheetId val="1"/>
    </sheetIdMap>
  </header>
  <header guid="{A6EBA8D6-D27B-4A91-96D5-98D1A83BE979}" dateTime="2022-07-26T14:40:08" maxSheetId="2" userName="Fakurthin, VaahithX" r:id="rId53">
    <sheetIdMap count="1">
      <sheetId val="1"/>
    </sheetIdMap>
  </header>
  <header guid="{7915AD0E-A48E-4E30-8A70-80048A83C550}" dateTime="2022-07-26T14:43:27" maxSheetId="2" userName="Kumar, Vasanth1X" r:id="rId54" minRId="146" maxRId="150">
    <sheetIdMap count="1">
      <sheetId val="1"/>
    </sheetIdMap>
  </header>
  <header guid="{D34CF79D-EEE5-48C7-B6A3-F79DE06EAFD7}" dateTime="2022-07-26T14:43:36" maxSheetId="2" userName="Kumar, Vasanth1X" r:id="rId55" minRId="152">
    <sheetIdMap count="1">
      <sheetId val="1"/>
    </sheetIdMap>
  </header>
  <header guid="{A2245D8A-A132-4727-A109-9BE5002C27B6}" dateTime="2022-07-26T14:47:56" maxSheetId="2" userName="Pm, KalyaniX" r:id="rId56" minRId="153" maxRId="155">
    <sheetIdMap count="1">
      <sheetId val="1"/>
    </sheetIdMap>
  </header>
  <header guid="{3E1A5757-E6EE-434E-8E39-97B6C31F1F6E}" dateTime="2022-07-26T14:50:08" maxSheetId="2" userName="Rathod, AmbikaX" r:id="rId57" minRId="156">
    <sheetIdMap count="1">
      <sheetId val="1"/>
    </sheetIdMap>
  </header>
  <header guid="{64E674BF-A335-4F09-BA15-D23A7CBB3B93}" dateTime="2022-07-26T14:50:16" maxSheetId="2" userName="Rathod, AmbikaX" r:id="rId58" minRId="157">
    <sheetIdMap count="1">
      <sheetId val="1"/>
    </sheetIdMap>
  </header>
  <header guid="{A09031D4-C60B-4D2D-BB74-2971ED92377B}" dateTime="2022-07-26T14:55:20" maxSheetId="2" userName="Fakurthin, VaahithX" r:id="rId59" minRId="158" maxRId="165">
    <sheetIdMap count="1">
      <sheetId val="1"/>
    </sheetIdMap>
  </header>
  <header guid="{A54EDD17-4213-4458-87A8-C544F23DF2AA}" dateTime="2022-07-26T15:14:52" maxSheetId="2" userName="Sha, MuhammedX C S" r:id="rId60" minRId="166" maxRId="167">
    <sheetIdMap count="1">
      <sheetId val="1"/>
    </sheetIdMap>
  </header>
  <header guid="{16F044B6-DD8C-4E8A-AF3B-D6F369E305C8}" dateTime="2022-07-26T15:20:45" maxSheetId="2" userName="Sha, MuhammedX C S" r:id="rId61" minRId="168">
    <sheetIdMap count="1">
      <sheetId val="1"/>
    </sheetIdMap>
  </header>
  <header guid="{17F47CE6-5570-4E11-AC50-DA5D2F92A426}" dateTime="2022-07-26T15:59:44" maxSheetId="2" userName="Sha, MuhammedX C S" r:id="rId62" minRId="169" maxRId="171">
    <sheetIdMap count="1">
      <sheetId val="1"/>
    </sheetIdMap>
  </header>
  <header guid="{0D205233-A899-455D-8676-FE6B62F438FA}" dateTime="2022-07-26T16:02:37" maxSheetId="2" userName="Deivasigamani, SwethaX" r:id="rId63" minRId="173">
    <sheetIdMap count="1">
      <sheetId val="1"/>
    </sheetIdMap>
  </header>
  <header guid="{EE6A6EDB-A61E-48C6-8E11-0BEDFDFA7F23}" dateTime="2022-07-26T16:44:02" maxSheetId="2" userName="Rajikumar, DivyaX" r:id="rId64" minRId="175" maxRId="182">
    <sheetIdMap count="1">
      <sheetId val="1"/>
    </sheetIdMap>
  </header>
  <header guid="{6BF292D9-FB30-4D80-AC4B-40710FEB33A4}" dateTime="2022-07-26T16:44:41" maxSheetId="2" userName="Sha, MuhammedX C S" r:id="rId65" minRId="183">
    <sheetIdMap count="1">
      <sheetId val="1"/>
    </sheetIdMap>
  </header>
  <header guid="{C6138FB5-CA25-4452-89D6-6689EE3AE5D8}" dateTime="2022-07-26T16:46:33" maxSheetId="2" userName="Rajikumar, DivyaX" r:id="rId66" minRId="184" maxRId="185">
    <sheetIdMap count="1">
      <sheetId val="1"/>
    </sheetIdMap>
  </header>
  <header guid="{87A500F4-C727-48AF-8F71-73FDFD96C067}" dateTime="2022-07-26T17:44:58" maxSheetId="2" userName="Sha, MuhammedX C S" r:id="rId67" minRId="186">
    <sheetIdMap count="1">
      <sheetId val="1"/>
    </sheetIdMap>
  </header>
  <header guid="{42CC3A98-EE7E-4311-A455-4169E8531B8D}" dateTime="2022-07-26T18:03:49" maxSheetId="2" userName="Sha, MuhammedX C S" r:id="rId68" minRId="187" maxRId="191">
    <sheetIdMap count="1">
      <sheetId val="1"/>
    </sheetIdMap>
  </header>
  <header guid="{46FEA948-5022-434F-9E4F-4922770D8917}" dateTime="2022-07-26T18:04:33" maxSheetId="2" userName="Deivasigamani, SwethaX" r:id="rId69" minRId="192" maxRId="193">
    <sheetIdMap count="1">
      <sheetId val="1"/>
    </sheetIdMap>
  </header>
  <header guid="{E4BF2374-4B66-4F74-A382-0540A98E1470}" dateTime="2022-07-26T18:05:15" maxSheetId="2" userName="Deivasigamani, SwethaX" r:id="rId70" minRId="195" maxRId="197">
    <sheetIdMap count="1">
      <sheetId val="1"/>
    </sheetIdMap>
  </header>
  <header guid="{EC858D2F-2704-40AE-9830-48B8B2939A43}" dateTime="2022-07-26T18:07:08" maxSheetId="2" userName="Sha, MuhammedX C S" r:id="rId71" minRId="198" maxRId="199">
    <sheetIdMap count="1">
      <sheetId val="1"/>
    </sheetIdMap>
  </header>
  <header guid="{754D0F26-3167-4BC8-84E9-BB0C227ECABB}" dateTime="2022-07-26T18:07:55" maxSheetId="2" userName="Sha, MuhammedX C S" r:id="rId72" minRId="201">
    <sheetIdMap count="1">
      <sheetId val="1"/>
    </sheetIdMap>
  </header>
  <header guid="{9FE87AE4-7FDB-4EE7-867E-4BA5B880F604}" dateTime="2022-07-26T18:25:36" maxSheetId="2" userName="Rajikumar, DivyaX" r:id="rId73" minRId="202" maxRId="204">
    <sheetIdMap count="1">
      <sheetId val="1"/>
    </sheetIdMap>
  </header>
  <header guid="{3923228B-6D4E-4823-85F2-D279D68E4CE5}" dateTime="2022-07-27T09:37:23" maxSheetId="2" userName="Rajikumar, DivyaX" r:id="rId74">
    <sheetIdMap count="1">
      <sheetId val="1"/>
    </sheetIdMap>
  </header>
  <header guid="{DF0B09E0-E949-4FAD-A054-19623D2408B6}" dateTime="2022-07-27T10:01:49" maxSheetId="2" userName="Rajikumar, DivyaX" r:id="rId75" minRId="206">
    <sheetIdMap count="1">
      <sheetId val="1"/>
    </sheetIdMap>
  </header>
  <header guid="{EA5A0203-32EF-4E49-9A22-8DAD70B4CBC5}" dateTime="2022-07-27T10:11:22" maxSheetId="2" userName="Pm, KalyaniX" r:id="rId76" minRId="207" maxRId="208">
    <sheetIdMap count="1">
      <sheetId val="1"/>
    </sheetIdMap>
  </header>
  <header guid="{2A590D5F-E76D-41EF-92CA-6095ED1E29AA}" dateTime="2022-07-27T10:30:00" maxSheetId="2" userName="Kumar, Vasanth1X" r:id="rId77" minRId="209">
    <sheetIdMap count="1">
      <sheetId val="1"/>
    </sheetIdMap>
  </header>
  <header guid="{FDA81389-ABEA-4BEF-8250-B60C6E8256CD}" dateTime="2022-07-27T10:30:09" maxSheetId="2" userName="Kumar, Vasanth1X" r:id="rId78" minRId="211">
    <sheetIdMap count="1">
      <sheetId val="1"/>
    </sheetIdMap>
  </header>
  <header guid="{95639514-0553-4663-BF7F-65C33DBEFB8E}" dateTime="2022-07-27T10:30:58" maxSheetId="2" userName="Kumar, Vasanth1X" r:id="rId79" minRId="212" maxRId="213">
    <sheetIdMap count="1">
      <sheetId val="1"/>
    </sheetIdMap>
  </header>
  <header guid="{D3F2CD00-9F4F-45EB-BBFB-3CAB4FA2E6A9}" dateTime="2022-07-27T10:36:57" maxSheetId="2" userName="Rathod, AmbikaX" r:id="rId80" minRId="215" maxRId="217">
    <sheetIdMap count="1">
      <sheetId val="1"/>
    </sheetIdMap>
  </header>
  <header guid="{C195B018-EB61-43A4-B0B5-6D20CC640F7E}" dateTime="2022-07-27T10:39:35" maxSheetId="2" userName="Pm, KalyaniX" r:id="rId81" minRId="218" maxRId="220">
    <sheetIdMap count="1">
      <sheetId val="1"/>
    </sheetIdMap>
  </header>
  <header guid="{E0D66D25-F6C8-4B2B-9CD5-3DB5E22BAC23}" dateTime="2022-07-27T10:42:31" maxSheetId="2" userName="Pm, KalyaniX" r:id="rId82" minRId="221" maxRId="223">
    <sheetIdMap count="1">
      <sheetId val="1"/>
    </sheetIdMap>
  </header>
  <header guid="{E8AD6027-C7F3-4C26-B7A2-F86CB8D7ACEA}" dateTime="2022-07-27T10:51:10" maxSheetId="2" userName="Pm, KalyaniX" r:id="rId83" minRId="224" maxRId="233">
    <sheetIdMap count="1">
      <sheetId val="1"/>
    </sheetIdMap>
  </header>
  <header guid="{C29A44A3-10F3-4EB1-A1B0-9AFFC8690095}" dateTime="2022-07-27T10:58:49" maxSheetId="2" userName="Pm, KalyaniX" r:id="rId84" minRId="234" maxRId="236">
    <sheetIdMap count="1">
      <sheetId val="1"/>
    </sheetIdMap>
  </header>
  <header guid="{F41C8DF2-263E-4DE9-86EB-008204282AA3}" dateTime="2022-07-27T10:59:07" maxSheetId="2" userName="Rajikumar, DivyaX" r:id="rId85" minRId="237" maxRId="240">
    <sheetIdMap count="1">
      <sheetId val="1"/>
    </sheetIdMap>
  </header>
  <header guid="{9BD4A993-5F91-4282-B62B-43CDE6197751}" dateTime="2022-07-27T11:01:26" maxSheetId="2" userName="Rajikumar, DivyaX" r:id="rId86" minRId="241" maxRId="242">
    <sheetIdMap count="1">
      <sheetId val="1"/>
    </sheetIdMap>
  </header>
  <header guid="{09D87D92-5B50-4E90-B0D9-E40D285E9127}" dateTime="2022-07-27T11:01:39" maxSheetId="2" userName="Rathod, AmbikaX" r:id="rId87" minRId="243">
    <sheetIdMap count="1">
      <sheetId val="1"/>
    </sheetIdMap>
  </header>
  <header guid="{288C0024-4438-4CB6-8C80-D2BC623F24D5}" dateTime="2022-07-27T11:05:32" maxSheetId="2" userName="Rathod, AmbikaX" r:id="rId88" minRId="244">
    <sheetIdMap count="1">
      <sheetId val="1"/>
    </sheetIdMap>
  </header>
  <header guid="{6A603B99-90FA-48F4-83F8-EF1BB0EFCBAA}" dateTime="2022-07-27T11:07:31" maxSheetId="2" userName="Rathod, AmbikaX" r:id="rId89" minRId="245">
    <sheetIdMap count="1">
      <sheetId val="1"/>
    </sheetIdMap>
  </header>
  <header guid="{66C8BF6F-3695-42D1-92F5-EE443911DB93}" dateTime="2022-07-27T11:19:58" maxSheetId="2" userName="Rajikumar, DivyaX" r:id="rId90" minRId="246" maxRId="248">
    <sheetIdMap count="1">
      <sheetId val="1"/>
    </sheetIdMap>
  </header>
  <header guid="{4F2284BA-5412-49CC-9D6B-4C90F1C977D9}" dateTime="2022-07-27T11:23:16" maxSheetId="2" userName="Rathod, AmbikaX" r:id="rId91" minRId="249" maxRId="255">
    <sheetIdMap count="1">
      <sheetId val="1"/>
    </sheetIdMap>
  </header>
  <header guid="{4E742C77-5969-4135-BBCD-E1A0D0E2B4F3}" dateTime="2022-07-27T11:31:34" maxSheetId="2" userName="Deivasigamani, SwethaX" r:id="rId92" minRId="256" maxRId="264">
    <sheetIdMap count="1">
      <sheetId val="1"/>
    </sheetIdMap>
  </header>
  <header guid="{80A4F981-8CDB-4100-8E81-DE2BA9CBB17D}" dateTime="2022-07-27T12:23:01" maxSheetId="2" userName="Deivasigamani, SwethaX" r:id="rId93" minRId="265" maxRId="266">
    <sheetIdMap count="1">
      <sheetId val="1"/>
    </sheetIdMap>
  </header>
  <header guid="{EEBDBA9F-F726-4654-8381-E3A29FC3C543}" dateTime="2022-07-27T12:42:57" maxSheetId="2" userName="Rajikumar, DivyaX" r:id="rId94" minRId="267" maxRId="270">
    <sheetIdMap count="1">
      <sheetId val="1"/>
    </sheetIdMap>
  </header>
  <header guid="{3CFC7BEA-DB9C-4F61-861E-886BDDACFC72}" dateTime="2022-07-27T12:55:33" maxSheetId="2" userName="Fakurthin, VaahithX" r:id="rId95" minRId="271" maxRId="275">
    <sheetIdMap count="1">
      <sheetId val="1"/>
    </sheetIdMap>
  </header>
  <header guid="{20159977-AE29-4BFF-A830-26073A095804}" dateTime="2022-07-27T13:24:12" maxSheetId="2" userName="Pm, KalyaniX" r:id="rId96">
    <sheetIdMap count="1">
      <sheetId val="1"/>
    </sheetIdMap>
  </header>
  <header guid="{168E6CBA-3D13-49A4-96B3-456D64E9CAFA}" dateTime="2022-07-27T15:02:39" maxSheetId="2" userName="Rathod, AmbikaX" r:id="rId97" minRId="278" maxRId="280">
    <sheetIdMap count="1">
      <sheetId val="1"/>
    </sheetIdMap>
  </header>
  <header guid="{784D15F3-063F-4B7E-80C2-124DCBAC5C20}" dateTime="2022-07-27T15:03:12" maxSheetId="2" userName="Rathod, AmbikaX" r:id="rId98" minRId="281">
    <sheetIdMap count="1">
      <sheetId val="1"/>
    </sheetIdMap>
  </header>
  <header guid="{018E46FE-3FF9-45EA-9F7A-FF9678B2862A}" dateTime="2022-07-27T15:12:56" maxSheetId="2" userName="Kumar, Vasanth1X" r:id="rId99" minRId="282" maxRId="289">
    <sheetIdMap count="1">
      <sheetId val="1"/>
    </sheetIdMap>
  </header>
  <header guid="{C29B51A1-8178-40D0-B67E-FFB800818B1A}" dateTime="2022-07-27T15:13:16" maxSheetId="2" userName="Kumar, Vasanth1X" r:id="rId100" minRId="291" maxRId="292">
    <sheetIdMap count="1">
      <sheetId val="1"/>
    </sheetIdMap>
  </header>
  <header guid="{AF05BA3F-5BB7-4E58-8C43-6ACD514E75BD}" dateTime="2022-07-27T15:13:44" maxSheetId="2" userName="Kumar, Vasanth1X" r:id="rId101" minRId="293">
    <sheetIdMap count="1">
      <sheetId val="1"/>
    </sheetIdMap>
  </header>
  <header guid="{9075E2E7-9099-480C-8848-C12AC2BC7DB5}" dateTime="2022-07-27T15:13:55" maxSheetId="2" userName="Kumar, Vasanth1X" r:id="rId102" minRId="294">
    <sheetIdMap count="1">
      <sheetId val="1"/>
    </sheetIdMap>
  </header>
  <header guid="{47F88093-F859-43D3-B44D-3FDE2D8B604B}" dateTime="2022-07-27T15:14:15" maxSheetId="2" userName="Kumar, Vasanth1X" r:id="rId103" minRId="295" maxRId="296">
    <sheetIdMap count="1">
      <sheetId val="1"/>
    </sheetIdMap>
  </header>
  <header guid="{DA96B32B-4CB8-4ED2-853B-799B66F4FAB7}" dateTime="2022-07-27T15:26:04" maxSheetId="2" userName="Deivasigamani, SwethaX" r:id="rId104" minRId="297">
    <sheetIdMap count="1">
      <sheetId val="1"/>
    </sheetIdMap>
  </header>
  <header guid="{EFDD7F0A-6033-449C-B89C-1CBBC67E5699}" dateTime="2022-07-27T15:30:30" maxSheetId="2" userName="Rathod, AmbikaX" r:id="rId105" minRId="298">
    <sheetIdMap count="1">
      <sheetId val="1"/>
    </sheetIdMap>
  </header>
  <header guid="{0F841D76-0FCD-4907-B007-80E500BDC122}" dateTime="2022-07-27T15:35:20" maxSheetId="2" userName="Rathod, AmbikaX" r:id="rId106" minRId="299">
    <sheetIdMap count="1">
      <sheetId val="1"/>
    </sheetIdMap>
  </header>
  <header guid="{3753E1F3-3320-4FC3-91C3-668F915CE9FA}" dateTime="2022-07-27T16:16:11" maxSheetId="2" userName="Deivasigamani, SwethaX" r:id="rId107" minRId="300" maxRId="301">
    <sheetIdMap count="1">
      <sheetId val="1"/>
    </sheetIdMap>
  </header>
  <header guid="{8F209C98-43DB-4613-9D27-C985B55E7546}" dateTime="2022-07-27T16:17:06" maxSheetId="2" userName="Deivasigamani, SwethaX" r:id="rId108" minRId="302">
    <sheetIdMap count="1">
      <sheetId val="1"/>
    </sheetIdMap>
  </header>
  <header guid="{4E167191-ADCA-4749-8921-4EDE34DADA79}" dateTime="2022-07-27T16:29:45" maxSheetId="2" userName="Sha, MuhammedX C S" r:id="rId109" minRId="303" maxRId="304">
    <sheetIdMap count="1">
      <sheetId val="1"/>
    </sheetIdMap>
  </header>
  <header guid="{51B8CD5D-1951-4C26-8943-77DA0FDBD790}" dateTime="2022-07-27T17:41:07" maxSheetId="2" userName="Fakurthin, VaahithX" r:id="rId110" minRId="306" maxRId="307">
    <sheetIdMap count="1">
      <sheetId val="1"/>
    </sheetIdMap>
  </header>
  <header guid="{060ED9E0-BC4C-438C-8977-B36397C97AB2}" dateTime="2022-07-27T17:43:54" maxSheetId="2" userName="Fakurthin, VaahithX" r:id="rId111" minRId="308" maxRId="311">
    <sheetIdMap count="1">
      <sheetId val="1"/>
    </sheetIdMap>
  </header>
  <header guid="{50CFD76D-4432-4CF6-8752-AE661C195714}" dateTime="2022-07-27T17:56:46" maxSheetId="2" userName="Rajikumar, DivyaX" r:id="rId112" minRId="312" maxRId="316">
    <sheetIdMap count="1">
      <sheetId val="1"/>
    </sheetIdMap>
  </header>
  <header guid="{16932E12-9F49-4F4E-9D29-A1DD4CCDF89C}" dateTime="2022-07-27T18:36:38" maxSheetId="2" userName="Tamilarasan, PrasanthX" r:id="rId113" minRId="317" maxRId="318">
    <sheetIdMap count="1">
      <sheetId val="1"/>
    </sheetIdMap>
  </header>
  <header guid="{A957FC1E-9C1A-43C2-9A28-6E4E318E1AD9}" dateTime="2022-07-27T18:45:45" maxSheetId="2" userName="Tamilarasan, PrasanthX" r:id="rId114" minRId="320" maxRId="321">
    <sheetIdMap count="1">
      <sheetId val="1"/>
    </sheetIdMap>
  </header>
  <header guid="{ED63D41E-EB50-4ECF-8892-DE6AE4DF5EA7}" dateTime="2022-07-27T18:46:02" maxSheetId="2" userName="Tamilarasan, PrasanthX" r:id="rId115" minRId="322" maxRId="323">
    <sheetIdMap count="1">
      <sheetId val="1"/>
    </sheetIdMap>
  </header>
  <header guid="{3393826B-812E-49B0-8D42-494688F01375}" dateTime="2022-07-27T19:16:05" maxSheetId="2" userName="Rajikumar, DivyaX" r:id="rId116">
    <sheetIdMap count="1">
      <sheetId val="1"/>
    </sheetIdMap>
  </header>
  <header guid="{45E3521B-FBF4-4850-AE78-8DE9DD673430}" dateTime="2022-07-27T19:17:57" maxSheetId="2" userName="Rajikumar, DivyaX" r:id="rId117" minRId="325" maxRId="326">
    <sheetIdMap count="1">
      <sheetId val="1"/>
    </sheetIdMap>
  </header>
  <header guid="{86E341CD-770C-402B-A530-6D3E45F2C963}" dateTime="2022-07-27T19:18:23" maxSheetId="2" userName="Rajikumar, DivyaX" r:id="rId118" minRId="327">
    <sheetIdMap count="1">
      <sheetId val="1"/>
    </sheetIdMap>
  </header>
  <header guid="{3A36B3CE-CE47-4B1F-962C-917B1699EBD9}" dateTime="2022-07-28T12:41:57" maxSheetId="2" userName="Rathod, AmbikaX" r:id="rId119" minRId="328" maxRId="330">
    <sheetIdMap count="1">
      <sheetId val="1"/>
    </sheetIdMap>
  </header>
  <header guid="{185B1132-6AB9-485C-81F2-49E2B08D415B}" dateTime="2022-07-28T15:32:32" maxSheetId="2" userName="Rathod, AmbikaX" r:id="rId120" minRId="331" maxRId="333">
    <sheetIdMap count="1">
      <sheetId val="1"/>
    </sheetIdMap>
  </header>
  <header guid="{33CCD872-786D-463E-84F3-81F4BBC980E6}" dateTime="2022-07-28T15:33:24" maxSheetId="2" userName="Rathod, AmbikaX" r:id="rId121" minRId="334" maxRId="335">
    <sheetIdMap count="1">
      <sheetId val="1"/>
    </sheetIdMap>
  </header>
  <header guid="{08B13508-DD8D-400D-BEEA-6995611F3A15}" dateTime="2022-07-28T16:28:55" maxSheetId="2" userName="Rathod, AmbikaX" r:id="rId122" minRId="336" maxRId="337">
    <sheetIdMap count="1">
      <sheetId val="1"/>
    </sheetIdMap>
  </header>
  <header guid="{10CC94D5-2188-43F8-9817-028DAADD3341}" dateTime="2022-07-28T17:01:24" maxSheetId="2" userName="Rathod, AmbikaX" r:id="rId123" minRId="339">
    <sheetIdMap count="1">
      <sheetId val="1"/>
    </sheetIdMap>
  </header>
  <header guid="{8F35A04B-A4EF-4557-A7F7-0BB9B009A893}" dateTime="2022-07-28T18:27:43" maxSheetId="2" userName="Rathod, AmbikaX" r:id="rId124" minRId="340">
    <sheetIdMap count="1">
      <sheetId val="1"/>
    </sheetIdMap>
  </header>
  <header guid="{3952E7EC-5665-495C-8DEA-38743797EDD4}" dateTime="2022-07-29T10:28:09" maxSheetId="2" userName="Kumar, Vasanth1X" r:id="rId125" minRId="341">
    <sheetIdMap count="1">
      <sheetId val="1"/>
    </sheetIdMap>
  </header>
  <header guid="{06CC84BF-EF8B-4D6D-8546-44384EBCE165}" dateTime="2022-07-29T10:29:31" maxSheetId="2" userName="Kumar, Vasanth1X" r:id="rId126" minRId="343" maxRId="344">
    <sheetIdMap count="1">
      <sheetId val="1"/>
    </sheetIdMap>
  </header>
  <header guid="{2089C551-5059-4761-B26C-45C778DE3A6A}" dateTime="2022-07-29T10:33:37" maxSheetId="2" userName="Kumar, Vasanth1X" r:id="rId127" minRId="346" maxRId="348">
    <sheetIdMap count="1">
      <sheetId val="1"/>
    </sheetIdMap>
  </header>
  <header guid="{CB5E9083-DE70-4CC5-B317-A7315A2DA84E}" dateTime="2022-07-29T10:35:29" maxSheetId="2" userName="Kumar, Vasanth1X" r:id="rId128" minRId="349" maxRId="351">
    <sheetIdMap count="1">
      <sheetId val="1"/>
    </sheetIdMap>
  </header>
  <header guid="{4E4D8392-C419-4E6E-BAC0-EEDC5735A72F}" dateTime="2022-07-29T10:37:34" maxSheetId="2" userName="Deivasigamani, SwethaX" r:id="rId129" minRId="352">
    <sheetIdMap count="1">
      <sheetId val="1"/>
    </sheetIdMap>
  </header>
  <header guid="{AD7F4D49-7132-456F-88FA-0043FF99A218}" dateTime="2022-07-29T10:41:15" maxSheetId="2" userName="Kumar, Vasanth1X" r:id="rId130" minRId="354">
    <sheetIdMap count="1">
      <sheetId val="1"/>
    </sheetIdMap>
  </header>
  <header guid="{3CAA91FA-7D3C-42A7-BE19-62E0E959ACE5}" dateTime="2022-07-29T10:43:23" maxSheetId="2" userName="Kumar, Vasanth1X" r:id="rId131" minRId="356">
    <sheetIdMap count="1">
      <sheetId val="1"/>
    </sheetIdMap>
  </header>
  <header guid="{80E7154A-1409-403B-804F-80D7DE59A114}" dateTime="2022-07-29T10:44:16" maxSheetId="2" userName="Kumar, Vasanth1X" r:id="rId132" minRId="357" maxRId="362">
    <sheetIdMap count="1">
      <sheetId val="1"/>
    </sheetIdMap>
  </header>
  <header guid="{09CD8B60-4AE8-48E0-BA31-2544908A5585}" dateTime="2022-07-29T10:44:29" maxSheetId="2" userName="Rajikumar, DivyaX" r:id="rId133" minRId="363">
    <sheetIdMap count="1">
      <sheetId val="1"/>
    </sheetIdMap>
  </header>
  <header guid="{476471A2-2D3A-447D-9D39-3E2786EBA32F}" dateTime="2022-07-29T10:56:53" maxSheetId="2" userName="Kumar, Vasanth1X" r:id="rId134" minRId="365">
    <sheetIdMap count="1">
      <sheetId val="1"/>
    </sheetIdMap>
  </header>
  <header guid="{FEFA392A-5818-4C5C-AA39-1060FA3E340E}" dateTime="2022-07-29T11:00:58" maxSheetId="2" userName="Kumar, Vasanth1X" r:id="rId135" minRId="366" maxRId="367">
    <sheetIdMap count="1">
      <sheetId val="1"/>
    </sheetIdMap>
  </header>
  <header guid="{601E7BED-6A37-4B2C-9428-328A85353FFD}" dateTime="2022-07-29T11:22:28" maxSheetId="2" userName="Kumar, Vasanth1X" r:id="rId136" minRId="368" maxRId="377">
    <sheetIdMap count="1">
      <sheetId val="1"/>
    </sheetIdMap>
  </header>
  <header guid="{08E07D5A-474C-45E4-B46F-29723FF2B2A2}" dateTime="2022-07-29T11:23:14" maxSheetId="2" userName="Kumar, Vasanth1X" r:id="rId137" minRId="379" maxRId="385">
    <sheetIdMap count="1">
      <sheetId val="1"/>
    </sheetIdMap>
  </header>
  <header guid="{44883D83-2B4F-4467-B6B3-33212207526B}" dateTime="2022-07-29T11:23:48" maxSheetId="2" userName="Kumar, Vasanth1X" r:id="rId138" minRId="386">
    <sheetIdMap count="1">
      <sheetId val="1"/>
    </sheetIdMap>
  </header>
  <header guid="{00ADD35A-E267-44D4-9061-3420B7571D69}" dateTime="2022-07-29T17:11:39" maxSheetId="2" userName="Rajanna, ManasaX" r:id="rId139" minRId="387">
    <sheetIdMap count="1">
      <sheetId val="1"/>
    </sheetIdMap>
  </header>
  <header guid="{A7E02EFF-A978-4AF1-B4B0-F9BAC4FC5B84}" dateTime="2022-08-05T16:43:04" maxSheetId="2" userName="Kumar, Vasanth1X" r:id="rId140">
    <sheetIdMap count="1">
      <sheetId val="1"/>
    </sheetIdMap>
  </header>
  <header guid="{732FE72D-03B8-42ED-BC62-D39918FBE674}" dateTime="2022-08-11T14:26:48" maxSheetId="2" userName="Deivasigamani, SwethaX" r:id="rId141" minRId="390" maxRId="391">
    <sheetIdMap count="1">
      <sheetId val="1"/>
    </sheetIdMap>
  </header>
  <header guid="{E72F8BB5-6F59-4BA0-976E-DB6FB439B3F4}" dateTime="2022-08-12T12:17:43" maxSheetId="2" userName="Deivasigamani, SwethaX" r:id="rId142" minRId="393">
    <sheetIdMap count="1">
      <sheetId val="1"/>
    </sheetIdMap>
  </header>
  <header guid="{7E8DC5EA-8BD5-4843-8EA5-5B3F41BDE289}" dateTime="2022-08-17T15:17:53" maxSheetId="2" userName="Sha, MuhammedX C S" r:id="rId143" minRId="395" maxRId="406">
    <sheetIdMap count="1">
      <sheetId val="1"/>
    </sheetIdMap>
  </header>
  <header guid="{F3A19DBE-740D-41F7-AB7F-5FF62C07FD1C}" dateTime="2022-08-23T17:42:11" maxSheetId="2" userName="Wilson, JeffyX George" r:id="rId144">
    <sheetIdMap count="1">
      <sheetId val="1"/>
    </sheetIdMap>
  </header>
  <header guid="{A18C0F7A-4ED3-41B7-9BF2-62394191BD49}" dateTime="2022-08-26T10:44:08" maxSheetId="2" userName="Rathod, AmbikaX" r:id="rId145">
    <sheetIdMap count="1">
      <sheetId val="1"/>
    </sheetIdMap>
  </header>
  <header guid="{FECE7E92-227D-4D22-914B-5C37D55E4619}" dateTime="2022-08-26T11:12:50" maxSheetId="2" userName="Sha, MuhammedX C S" r:id="rId146" minRId="409" maxRId="411">
    <sheetIdMap count="1">
      <sheetId val="1"/>
    </sheetIdMap>
  </header>
  <header guid="{506102DE-4D82-4C03-A91D-214C8925CD7A}" dateTime="2022-08-29T10:41:59" maxSheetId="2" userName="Anil Kariyil, AnjuX" r:id="rId147" minRId="412" maxRId="413">
    <sheetIdMap count="1">
      <sheetId val="1"/>
    </sheetIdMap>
  </header>
  <header guid="{FA593894-ED45-4684-948F-DADA26C32AEC}" dateTime="2022-11-07T13:56:54" maxSheetId="2" userName="Agarwal, Naman" r:id="rId148" minRId="415" maxRId="417">
    <sheetIdMap count="1">
      <sheetId val="1"/>
    </sheetIdMap>
  </header>
  <header guid="{3731F17E-3E20-4288-AEA3-20E3C632E9C5}" dateTime="2022-11-07T14:52:34" maxSheetId="2" userName="Agarwal, Naman" r:id="rId149" minRId="419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C410C56-CEB5-4765-BB55-43230A2184A9}" action="delete"/>
  <rdn rId="0" localSheetId="1" customView="1" name="Z_5C410C56_CEB5_4765_BB55_43230A2184A9_.wvu.FilterData" hidden="1" oldHidden="1">
    <formula>Sheet1!$A$1:$P$2136</formula>
    <oldFormula>Sheet1!$A$1:$P$2136</oldFormula>
  </rdn>
  <rcv guid="{5C410C56-CEB5-4765-BB55-43230A2184A9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1">
    <oc r="E698" t="inlineStr">
      <is>
        <t xml:space="preserve"> inprogressClarification Blocl</t>
      </is>
    </oc>
    <nc r="E698" t="inlineStr">
      <is>
        <t xml:space="preserve"> inprogress Clarification Blocl</t>
      </is>
    </nc>
  </rcc>
  <rcc rId="292" sId="1">
    <oc r="E785" t="inlineStr">
      <is>
        <t xml:space="preserve"> inprogressClarification Blocl</t>
      </is>
    </oc>
    <nc r="E785" t="inlineStr">
      <is>
        <t xml:space="preserve"> inprogress Clarification Blocl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1">
    <oc r="E1305" t="inlineStr">
      <is>
        <t>inventory block</t>
      </is>
    </oc>
    <nc r="E1305" t="inlineStr">
      <is>
        <t>inprogress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" sId="1">
    <oc r="E1277" t="inlineStr">
      <is>
        <t>inventory block</t>
      </is>
    </oc>
    <nc r="E1277" t="inlineStr">
      <is>
        <t>inprogress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5" sId="1">
    <oc r="E1054" t="inlineStr">
      <is>
        <t>inventory block</t>
      </is>
    </oc>
    <nc r="E1054" t="inlineStr">
      <is>
        <t>Inprogress</t>
      </is>
    </nc>
  </rcc>
  <rcc rId="296" sId="1">
    <nc r="H1054" t="inlineStr">
      <is>
        <t>Ambika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">
    <oc r="E107" t="inlineStr">
      <is>
        <t>waiting for reply from  CO, inprogress</t>
      </is>
    </oc>
    <nc r="E107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8" sId="1" numFmtId="19">
    <oc r="I269">
      <v>44767</v>
    </oc>
    <nc r="I269">
      <v>44769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1" numFmtId="19">
    <oc r="I264">
      <v>44768</v>
    </oc>
    <nc r="I264">
      <v>44769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" sId="1">
    <oc r="A103" t="inlineStr">
      <is>
        <t>14013157313</t>
      </is>
    </oc>
    <nc r="A103">
      <v>14013157313</v>
    </nc>
  </rcc>
  <rcc rId="301" sId="1">
    <oc r="E103" t="inlineStr">
      <is>
        <t>waiting for reply from  CO, inprogress</t>
      </is>
    </oc>
    <nc r="E103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" sId="1">
    <oc r="E71" t="inlineStr">
      <is>
        <t>waiting for reply from  CO, inprogress</t>
      </is>
    </oc>
    <nc r="E71" t="inlineStr">
      <is>
        <t>NA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" sId="1">
    <oc r="E25" t="inlineStr">
      <is>
        <t>inprogress</t>
      </is>
    </oc>
    <nc r="E25" t="inlineStr">
      <is>
        <t>waiting for reply from  CO, inprogress</t>
      </is>
    </nc>
  </rcc>
  <rcc rId="304" sId="1" numFmtId="21">
    <nc r="I25">
      <v>44769</v>
    </nc>
  </rcc>
  <rcv guid="{36F83137-3DD0-42DD-A893-C87ED4299231}" action="delete"/>
  <rdn rId="0" localSheetId="1" customView="1" name="Z_36F83137_3DD0_42DD_A893_C87ED4299231_.wvu.FilterData" hidden="1" oldHidden="1">
    <formula>Sheet1!$A$1:$P$2136</formula>
    <oldFormula>Sheet1!$A$1:$M$2136</oldFormula>
  </rdn>
  <rcv guid="{36F83137-3DD0-42DD-A893-C87ED4299231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1">
    <oc r="E1305" t="inlineStr">
      <is>
        <t>inprogress</t>
      </is>
    </oc>
    <nc r="E1305" t="inlineStr">
      <is>
        <t>NA</t>
      </is>
    </nc>
  </rcc>
  <rcc rId="307" sId="1">
    <oc r="E1277" t="inlineStr">
      <is>
        <t>inprogress</t>
      </is>
    </oc>
    <nc r="E1277" t="inlineStr">
      <is>
        <t>NA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1">
    <oc r="E1277" t="inlineStr">
      <is>
        <t>NA</t>
      </is>
    </oc>
    <nc r="E1277" t="inlineStr">
      <is>
        <t>inventory not available in SRR</t>
      </is>
    </nc>
  </rcc>
  <rcc rId="309" sId="1">
    <oc r="E1305" t="inlineStr">
      <is>
        <t>NA</t>
      </is>
    </oc>
    <nc r="E1305" t="inlineStr">
      <is>
        <t>inventory not available in SRR</t>
      </is>
    </nc>
  </rcc>
  <rcc rId="310" sId="1">
    <oc r="H1277" t="inlineStr">
      <is>
        <t>Vaahith</t>
      </is>
    </oc>
    <nc r="H1277" t="inlineStr">
      <is>
        <t>Prasanth</t>
      </is>
    </nc>
  </rcc>
  <rcc rId="311" sId="1">
    <oc r="H1305" t="inlineStr">
      <is>
        <t>Vaahith</t>
      </is>
    </oc>
    <nc r="H1305" t="inlineStr">
      <is>
        <t>Prasanth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1">
    <oc r="B674" t="inlineStr">
      <is>
        <t>Verify Type-C multi port functionality - WinDBG,TBT-Display,TBT-SSD, TBT-Dock on Hot Plug        n</t>
      </is>
    </oc>
    <nc r="B674" t="inlineStr">
      <is>
        <t xml:space="preserve">Verify Type-C multi port functionality - WinDBG,TBT-Display,TBT-SSD, TBT-Dock on Hot Plug        </t>
      </is>
    </nc>
  </rcc>
  <rcc rId="313" sId="1">
    <oc r="B678" t="inlineStr">
      <is>
        <t>Verify USB4 storage functionality hot plug during S4, S5 cycles          n</t>
      </is>
    </oc>
    <nc r="B678" t="inlineStr">
      <is>
        <t xml:space="preserve">Verify USB4 storage functionality hot plug during S4, S5 cycles          </t>
      </is>
    </nc>
  </rcc>
  <rcc rId="314" sId="1">
    <oc r="B742" t="inlineStr">
      <is>
        <t>Verify ACPI CPPC objects from SSDT and DSDT-         era</t>
      </is>
    </oc>
    <nc r="B742" t="inlineStr">
      <is>
        <t xml:space="preserve">Verify ACPI CPPC objects from SSDT and DSDT-         </t>
      </is>
    </nc>
  </rcc>
  <rcc rId="315" sId="1" numFmtId="19">
    <oc r="I561">
      <v>44764</v>
    </oc>
    <nc r="I561">
      <v>44769</v>
    </nc>
  </rcc>
  <rcc rId="316" sId="1" numFmtId="19">
    <oc r="I562">
      <v>44764</v>
    </oc>
    <nc r="I562">
      <v>44769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1">
    <oc r="F1277" t="inlineStr">
      <is>
        <t>dual HDMI</t>
      </is>
    </oc>
    <nc r="F1277" t="inlineStr">
      <is>
        <t>phython</t>
      </is>
    </nc>
  </rcc>
  <rcc rId="318" sId="1">
    <oc r="E1277" t="inlineStr">
      <is>
        <t>inventory not available in SRR</t>
      </is>
    </oc>
    <nc r="E1277" t="inlineStr">
      <is>
        <t>passed</t>
      </is>
    </nc>
  </rcc>
  <rcv guid="{8A02CA5B-B001-4F2C-94C0-F49A6533ED02}" action="delete"/>
  <rdn rId="0" localSheetId="1" customView="1" name="Z_8A02CA5B_B001_4F2C_94C0_F49A6533ED02_.wvu.FilterData" hidden="1" oldHidden="1">
    <formula>Sheet1!$A$1:$M$2136</formula>
    <oldFormula>Sheet1!$A$1:$M$2136</oldFormula>
  </rdn>
  <rcv guid="{8A02CA5B-B001-4F2C-94C0-F49A6533ED02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oc r="E1305" t="inlineStr">
      <is>
        <t>inventory not available in SRR</t>
      </is>
    </oc>
    <nc r="E1305" t="inlineStr">
      <is>
        <t>Passed</t>
      </is>
    </nc>
  </rcc>
  <rcc rId="321" sId="1">
    <oc r="F1277" t="inlineStr">
      <is>
        <t>phython</t>
      </is>
    </oc>
    <nc r="F1277" t="inlineStr">
      <is>
        <t>dual HDMI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1" odxf="1" dxf="1" numFmtId="19">
    <nc r="I1277">
      <v>44404</v>
    </nc>
    <odxf>
      <numFmt numFmtId="0" formatCode="General"/>
    </odxf>
    <ndxf>
      <numFmt numFmtId="19" formatCode="m/d/yyyy"/>
    </ndxf>
  </rcc>
  <rfmt sheetId="1" sqref="I1305" start="0" length="0">
    <dxf>
      <numFmt numFmtId="19" formatCode="m/d/yyyy"/>
    </dxf>
  </rfmt>
  <rcc rId="323" sId="1" xfDxf="1" dxf="1" numFmtId="19">
    <nc r="I1305">
      <v>44404</v>
    </nc>
    <ndxf>
      <font>
        <color rgb="FF000000"/>
      </font>
      <numFmt numFmtId="19" formatCode="m/d/yyyy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16E84CC-9506-465E-9C48-BFF7AB97D33D}" action="delete"/>
  <rdn rId="0" localSheetId="1" customView="1" name="Z_816E84CC_9506_465E_9C48_BFF7AB97D33D_.wvu.FilterData" hidden="1" oldHidden="1">
    <formula>Sheet1!$A$1:$P$2136</formula>
    <oldFormula>Sheet1!$A$1:$P$2136</oldFormula>
  </rdn>
  <rcv guid="{816E84CC-9506-465E-9C48-BFF7AB97D33D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1">
    <oc r="F586" t="inlineStr">
      <is>
        <t>Retimer Firmware tool is not available</t>
      </is>
    </oc>
    <nc r="F586" t="inlineStr">
      <is>
        <t>CLID-8254</t>
      </is>
    </nc>
  </rcc>
  <rcc rId="326" sId="1">
    <oc r="F587" t="inlineStr">
      <is>
        <t>Retimer Firmware tool is not available</t>
      </is>
    </oc>
    <nc r="F587"/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1">
    <nc r="F587" t="inlineStr">
      <is>
        <t>CLID-8254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1">
    <oc r="E783" t="inlineStr">
      <is>
        <t>inprogress</t>
      </is>
    </oc>
    <nc r="E783" t="inlineStr">
      <is>
        <t>Passed</t>
      </is>
    </nc>
  </rcc>
  <rcc rId="329" sId="1" numFmtId="19">
    <oc r="I783">
      <v>44767</v>
    </oc>
    <nc r="I783">
      <v>44770</v>
    </nc>
  </rcc>
  <rcc rId="330" sId="1">
    <oc r="F783" t="inlineStr">
      <is>
        <t>CLID-8925</t>
      </is>
    </oc>
    <nc r="F783"/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" sId="1">
    <oc r="E1501" t="inlineStr">
      <is>
        <t>inprogress</t>
      </is>
    </oc>
    <nc r="E1501" t="inlineStr">
      <is>
        <t>passed</t>
      </is>
    </nc>
  </rcc>
  <rcc rId="332" sId="1">
    <oc r="F1501" t="inlineStr">
      <is>
        <t>CLID-8938</t>
      </is>
    </oc>
    <nc r="F1501"/>
  </rcc>
  <rcc rId="333" sId="1" numFmtId="19">
    <oc r="I1501">
      <v>44763</v>
    </oc>
    <nc r="I1501">
      <v>44770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" sId="1" numFmtId="19">
    <oc r="I1513">
      <v>44764</v>
    </oc>
    <nc r="I1513">
      <v>44770</v>
    </nc>
  </rcc>
  <rcc rId="335" sId="1">
    <oc r="F1513" t="inlineStr">
      <is>
        <t>CLID-8937</t>
      </is>
    </oc>
    <nc r="F1513" t="inlineStr">
      <is>
        <t>CLID-8937 / Updated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147">
    <dxf>
      <fill>
        <patternFill patternType="solid">
          <bgColor theme="0"/>
        </patternFill>
      </fill>
    </dxf>
  </rfmt>
  <rfmt sheetId="1" sqref="B2138" start="0" length="2147483647">
    <dxf>
      <font>
        <color rgb="FFFF0000"/>
      </font>
    </dxf>
  </rfmt>
  <rcc rId="336" sId="1">
    <oc r="E269" t="inlineStr">
      <is>
        <t>Inprogress</t>
      </is>
    </oc>
    <nc r="E269" t="inlineStr">
      <is>
        <t>passed</t>
      </is>
    </nc>
  </rcc>
  <rcc rId="337" sId="1" numFmtId="19">
    <oc r="I269">
      <v>44769</v>
    </oc>
    <nc r="I269">
      <v>44770</v>
    </nc>
  </rcc>
  <rcv guid="{5C410C56-CEB5-4765-BB55-43230A2184A9}" action="delete"/>
  <rdn rId="0" localSheetId="1" customView="1" name="Z_5C410C56_CEB5_4765_BB55_43230A2184A9_.wvu.FilterData" hidden="1" oldHidden="1">
    <formula>Sheet1!$A$1:$P$2136</formula>
    <oldFormula>Sheet1!$A$1:$M$2136</oldFormula>
  </rdn>
  <rcv guid="{5C410C56-CEB5-4765-BB55-43230A2184A9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1">
    <oc r="F269" t="inlineStr">
      <is>
        <t>CLID-8939</t>
      </is>
    </oc>
    <nc r="F269" t="inlineStr">
      <is>
        <t xml:space="preserve">Got confirmation from CO 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" sId="1">
    <nc r="M783" t="inlineStr">
      <is>
        <t>Low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" sId="1">
    <oc r="E1054" t="inlineStr">
      <is>
        <t>Inprogress</t>
      </is>
    </oc>
    <nc r="E1054" t="inlineStr">
      <is>
        <t>inventory block</t>
      </is>
    </nc>
  </rcc>
  <rcv guid="{E898421F-68B8-4202-A540-E41CCE66AB2A}" action="delete"/>
  <rdn rId="0" localSheetId="1" customView="1" name="Z_E898421F_68B8_4202_A540_E41CCE66AB2A_.wvu.FilterData" hidden="1" oldHidden="1">
    <formula>Sheet1!$A$1:$P$2136</formula>
    <oldFormula>Sheet1!$A$1:$P$2136</oldFormula>
  </rdn>
  <rcv guid="{E898421F-68B8-4202-A540-E41CCE66AB2A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E785" t="inlineStr">
      <is>
        <t xml:space="preserve"> inprogress Clarification Blocl</t>
      </is>
    </oc>
    <nc r="E785" t="inlineStr">
      <is>
        <t>NA</t>
      </is>
    </nc>
  </rcc>
  <rcc rId="344" sId="1">
    <oc r="E698" t="inlineStr">
      <is>
        <t xml:space="preserve"> inprogress Clarification Blocl</t>
      </is>
    </oc>
    <nc r="E698" t="inlineStr">
      <is>
        <t>NA</t>
      </is>
    </nc>
  </rcc>
  <rcv guid="{E898421F-68B8-4202-A540-E41CCE66AB2A}" action="delete"/>
  <rdn rId="0" localSheetId="1" customView="1" name="Z_E898421F_68B8_4202_A540_E41CCE66AB2A_.wvu.FilterData" hidden="1" oldHidden="1">
    <formula>Sheet1!$A$1:$P$2136</formula>
    <oldFormula>Sheet1!$A$1:$P$2136</oldFormula>
  </rdn>
  <rcv guid="{E898421F-68B8-4202-A540-E41CCE66AB2A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1">
    <oc r="E678" t="inlineStr">
      <is>
        <t>Inprogress</t>
      </is>
    </oc>
    <nc r="E678" t="inlineStr">
      <is>
        <t>In/inpro</t>
      </is>
    </nc>
  </rcc>
  <rfmt sheetId="1" sqref="F305" start="0" length="0">
    <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dxf>
  </rfmt>
  <rcc rId="347" sId="1" xfDxf="1" dxf="1">
    <oc r="F305" t="inlineStr">
      <is>
        <t>linux OS</t>
      </is>
    </oc>
    <nc r="F305" t="inlineStr">
      <is>
        <t>CLID-8084</t>
      </is>
    </nc>
    <ndxf>
      <font>
        <sz val="8"/>
        <color rgb="FF242424"/>
        <name val="Segoe UI"/>
        <scheme val="none"/>
      </font>
    </ndxf>
  </rcc>
  <rfmt sheetId="1" sqref="F463" start="0" length="0">
    <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dxf>
  </rfmt>
  <rcc rId="348" sId="1" xfDxf="1" dxf="1">
    <oc r="F463" t="inlineStr">
      <is>
        <t>Linux OS</t>
      </is>
    </oc>
    <nc r="F463" t="inlineStr">
      <is>
        <t>CLID-8084</t>
      </is>
    </nc>
    <ndxf>
      <font>
        <sz val="8"/>
        <color rgb="FF242424"/>
        <name val="Segoe UI"/>
        <scheme val="none"/>
      </font>
    </ndxf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" sId="1">
    <nc r="F2011" t="inlineStr">
      <is>
        <t>CLID-8826</t>
      </is>
    </nc>
  </rcc>
  <rcc rId="350" sId="1">
    <nc r="F2100" t="inlineStr">
      <is>
        <t>CLID-8826</t>
      </is>
    </nc>
  </rcc>
  <rcc rId="351" sId="1">
    <nc r="F2102" t="inlineStr">
      <is>
        <t>CLID-8826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1">
    <nc r="F1560" t="inlineStr">
      <is>
        <t>CLID-8227</t>
      </is>
    </nc>
  </rcc>
  <rcv guid="{4694DAB0-ACCD-4A72-A2CD-0C6916B0E36F}" action="delete"/>
  <rdn rId="0" localSheetId="1" customView="1" name="Z_4694DAB0_ACCD_4A72_A2CD_0C6916B0E36F_.wvu.FilterData" hidden="1" oldHidden="1">
    <formula>Sheet1!$A$1:$P$2136</formula>
    <oldFormula>Sheet1!$A$1:$M$2136</oldFormula>
  </rdn>
  <rcv guid="{4694DAB0-ACCD-4A72-A2CD-0C6916B0E36F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674" start="0" length="0">
    <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dxf>
  </rfmt>
  <rcc rId="354" sId="1" xfDxf="1" dxf="1">
    <oc r="F674" t="inlineStr">
      <is>
        <t>mail sent</t>
      </is>
    </oc>
    <nc r="F674" t="inlineStr">
      <is>
        <t>CLID- 9013</t>
      </is>
    </nc>
    <ndxf>
      <font>
        <sz val="8"/>
        <color rgb="FF242424"/>
        <name val="Segoe UI"/>
        <scheme val="none"/>
      </font>
    </ndxf>
  </rcc>
  <rcv guid="{E898421F-68B8-4202-A540-E41CCE66AB2A}" action="delete"/>
  <rdn rId="0" localSheetId="1" customView="1" name="Z_E898421F_68B8_4202_A540_E41CCE66AB2A_.wvu.FilterData" hidden="1" oldHidden="1">
    <formula>Sheet1!$A$1:$P$2136</formula>
    <oldFormula>Sheet1!$A$1:$P$2136</oldFormula>
  </rdn>
  <rcv guid="{E898421F-68B8-4202-A540-E41CCE66AB2A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742" start="0" length="0">
    <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dxf>
  </rfmt>
  <rfmt sheetId="1" xfDxf="1" sqref="F742" start="0" length="0">
    <dxf>
      <font>
        <sz val="8"/>
        <color rgb="FF242424"/>
        <name val="Segoe UI"/>
        <scheme val="none"/>
      </font>
    </dxf>
  </rfmt>
  <rfmt sheetId="1" sqref="F742" start="0" length="0">
    <dxf>
      <font>
        <sz val="11"/>
        <color theme="1"/>
        <name val="Calibri"/>
        <family val="2"/>
        <scheme val="minor"/>
      </font>
    </dxf>
  </rfmt>
  <rcc rId="356" sId="1" xfDxf="1" dxf="1">
    <oc r="F742" t="inlineStr">
      <is>
        <t xml:space="preserve"> DSDT CPC2 under ACPI table is not found</t>
      </is>
    </oc>
    <nc r="F742" t="inlineStr">
      <is>
        <t>CLID- 8163</t>
      </is>
    </nc>
    <ndxf>
      <font>
        <sz val="8"/>
        <color rgb="FF242424"/>
        <name val="Segoe UI"/>
        <scheme val="none"/>
      </font>
    </ndxf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6" start="0" length="0">
    <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dxf>
  </rfmt>
  <rcc rId="357" sId="1" xfDxf="1" dxf="1">
    <oc r="F6" t="inlineStr">
      <is>
        <t>touch panel display</t>
      </is>
    </oc>
    <nc r="F6" t="inlineStr">
      <is>
        <t>CLID - 8384</t>
      </is>
    </nc>
    <ndxf>
      <font>
        <sz val="8"/>
        <color rgb="FF242424"/>
        <name val="Segoe UI"/>
        <scheme val="none"/>
      </font>
    </ndxf>
  </rcc>
  <rcc rId="358" sId="1" odxf="1" dxf="1">
    <oc r="F14" t="inlineStr">
      <is>
        <t>touch panel display</t>
      </is>
    </oc>
    <nc r="F14" t="inlineStr">
      <is>
        <t>CLID - 8384</t>
      </is>
    </nc>
    <odxf>
      <font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8"/>
        <color rgb="FF242424"/>
        <name val="Segoe UI"/>
        <scheme val="none"/>
      </font>
      <border outline="0">
        <left/>
        <right/>
        <top/>
        <bottom/>
      </border>
    </ndxf>
  </rcc>
  <rcc rId="359" sId="1" odxf="1" dxf="1">
    <oc r="F28" t="inlineStr">
      <is>
        <t>touch panel display</t>
      </is>
    </oc>
    <nc r="F28" t="inlineStr">
      <is>
        <t>CLID - 8384</t>
      </is>
    </nc>
    <odxf>
      <font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8"/>
        <color rgb="FF242424"/>
        <name val="Segoe UI"/>
        <scheme val="none"/>
      </font>
      <border outline="0">
        <left/>
        <right/>
        <top/>
        <bottom/>
      </border>
    </ndxf>
  </rcc>
  <rcc rId="360" sId="1" odxf="1" dxf="1">
    <oc r="F33" t="inlineStr">
      <is>
        <t>touch panel display</t>
      </is>
    </oc>
    <nc r="F33" t="inlineStr">
      <is>
        <t>CLID - 8384</t>
      </is>
    </nc>
    <odxf>
      <font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8"/>
        <color rgb="FF242424"/>
        <name val="Segoe UI"/>
        <scheme val="none"/>
      </font>
      <border outline="0">
        <left/>
        <right/>
        <top/>
        <bottom/>
      </border>
    </ndxf>
  </rcc>
  <rcc rId="361" sId="1" odxf="1" dxf="1">
    <oc r="F55" t="inlineStr">
      <is>
        <t>touch panel display</t>
      </is>
    </oc>
    <nc r="F55" t="inlineStr">
      <is>
        <t>CLID - 8384</t>
      </is>
    </nc>
    <odxf>
      <font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8"/>
        <color rgb="FF242424"/>
        <name val="Segoe UI"/>
        <scheme val="none"/>
      </font>
      <border outline="0">
        <left/>
        <right/>
        <top/>
        <bottom/>
      </border>
    </ndxf>
  </rcc>
  <rcc rId="362" sId="1" odxf="1" dxf="1">
    <oc r="F57" t="inlineStr">
      <is>
        <t>touch panel display</t>
      </is>
    </oc>
    <nc r="F57" t="inlineStr">
      <is>
        <t>CLID - 8384</t>
      </is>
    </nc>
    <odxf>
      <font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8"/>
        <color rgb="FF242424"/>
        <name val="Segoe UI"/>
        <scheme val="none"/>
      </font>
      <border outline="0">
        <left/>
        <right/>
        <top/>
        <bottom/>
      </border>
    </ndxf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1">
    <oc r="F742" t="inlineStr">
      <is>
        <t xml:space="preserve"> DSDT CPC2 under ACPI table is not found</t>
      </is>
    </oc>
    <nc r="F742" t="inlineStr">
      <is>
        <t>CLID-8163</t>
      </is>
    </nc>
  </rcc>
  <rcft rId="356" sheetId="1"/>
  <rcv guid="{816E84CC-9506-465E-9C48-BFF7AB97D33D}" action="delete"/>
  <rcv guid="{816E84CC-9506-465E-9C48-BFF7AB97D33D}" action="add"/>
  <rdn rId="0" localSheetId="1" customView="1" name="Z_816E84CC_9506_465E_9C48_BFF7AB97D33D_.wvu.FilterData" hidden="1" oldHidden="1">
    <formula>Sheet1!$A$1:$P$2136</formula>
    <oldFormula>Sheet1!$A$1:$P$2136</oldFormula>
  </rdn>
  <rcv guid="{816E84CC-9506-465E-9C48-BFF7AB97D33D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" sId="1" xfDxf="1" dxf="1">
    <oc r="F793" t="inlineStr">
      <is>
        <t>sata</t>
      </is>
    </oc>
    <nc r="F793" t="inlineStr">
      <is>
        <t>CLID - 9041</t>
      </is>
    </nc>
    <ndxf>
      <font>
        <sz val="8"/>
        <color rgb="FF242424"/>
        <name val="Segoe UI"/>
        <scheme val="none"/>
      </font>
    </ndxf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793" start="0" length="0">
    <dxf>
      <font>
        <sz val="11"/>
        <color theme="1"/>
        <name val="Calibri"/>
        <family val="2"/>
        <scheme val="minor"/>
      </font>
    </dxf>
  </rfmt>
  <rcc rId="366" sId="1" xfDxf="1" dxf="1">
    <oc r="F793" t="inlineStr">
      <is>
        <t>CLID - 9041</t>
      </is>
    </oc>
    <nc r="F793" t="inlineStr">
      <is>
        <t>CLID -9015</t>
      </is>
    </nc>
    <ndxf>
      <font>
        <sz val="8"/>
        <color rgb="FF242424"/>
        <name val="Segoe UI"/>
        <scheme val="none"/>
      </font>
    </ndxf>
  </rcc>
  <rfmt sheetId="1" sqref="F79" start="0" length="0">
    <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dxf>
  </rfmt>
  <rcc rId="367" sId="1" xfDxf="1" dxf="1">
    <oc r="F79" t="inlineStr">
      <is>
        <t>mailed to CO/GC</t>
      </is>
    </oc>
    <nc r="F79" t="inlineStr">
      <is>
        <t>CLID -9015</t>
      </is>
    </nc>
    <ndxf>
      <font>
        <sz val="8"/>
        <color rgb="FF242424"/>
        <name val="Segoe UI"/>
        <scheme val="none"/>
      </font>
    </ndxf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1">
    <oc r="E25" t="inlineStr">
      <is>
        <t>waiting for reply from  CO, inprogress</t>
      </is>
    </oc>
    <nc r="E25" t="inlineStr">
      <is>
        <t>inprogress</t>
      </is>
    </nc>
  </rcc>
  <rcc rId="369" sId="1">
    <oc r="E35" t="inlineStr">
      <is>
        <t>waiting for reply from  CO, inprogress</t>
      </is>
    </oc>
    <nc r="E35" t="inlineStr">
      <is>
        <t>inprogress</t>
      </is>
    </nc>
  </rcc>
  <rcc rId="370" sId="1">
    <oc r="E36" t="inlineStr">
      <is>
        <t>waiting for reply from  CO, inprogress</t>
      </is>
    </oc>
    <nc r="E36" t="inlineStr">
      <is>
        <t>inprogress</t>
      </is>
    </nc>
  </rcc>
  <rcc rId="371" sId="1">
    <oc r="E54" t="inlineStr">
      <is>
        <t>waiting for reply from  CO, inprogress</t>
      </is>
    </oc>
    <nc r="E54" t="inlineStr">
      <is>
        <t>inprogress</t>
      </is>
    </nc>
  </rcc>
  <rcc rId="372" sId="1">
    <oc r="E66" t="inlineStr">
      <is>
        <t>waiting for reply from  CO, inprogress</t>
      </is>
    </oc>
    <nc r="E66" t="inlineStr">
      <is>
        <t>inprogress</t>
      </is>
    </nc>
  </rcc>
  <rcc rId="373" sId="1">
    <oc r="E79" t="inlineStr">
      <is>
        <t>waiting for reply from  CO, inprogress</t>
      </is>
    </oc>
    <nc r="E79" t="inlineStr">
      <is>
        <t>inprogress</t>
      </is>
    </nc>
  </rcc>
  <rcc rId="374" sId="1" odxf="1" dxf="1">
    <oc r="E108" t="inlineStr">
      <is>
        <t>waiting for reply from  CO, inprogress</t>
      </is>
    </oc>
    <nc r="E108" t="inlineStr">
      <is>
        <t>inprogress</t>
      </is>
    </nc>
    <odxf>
      <font>
        <color rgb="FF000000"/>
      </font>
    </odxf>
    <ndxf>
      <font>
        <color rgb="FF000000"/>
      </font>
    </ndxf>
  </rcc>
  <rcc rId="375" sId="1" odxf="1" dxf="1">
    <oc r="E117" t="inlineStr">
      <is>
        <t>waiting for reply from  CO, inprogress</t>
      </is>
    </oc>
    <nc r="E117" t="inlineStr">
      <is>
        <t>inprogress</t>
      </is>
    </nc>
    <odxf>
      <font>
        <color rgb="FF000000"/>
      </font>
    </odxf>
    <ndxf>
      <font>
        <color rgb="FF000000"/>
      </font>
    </ndxf>
  </rcc>
  <rcc rId="376" sId="1" odxf="1" dxf="1">
    <oc r="E305" t="inlineStr">
      <is>
        <t>Inprogress Clarification Blocl</t>
      </is>
    </oc>
    <nc r="E305" t="inlineStr">
      <is>
        <t>inprogress</t>
      </is>
    </nc>
    <odxf>
      <font>
        <color rgb="FF000000"/>
      </font>
    </odxf>
    <ndxf>
      <font>
        <color rgb="FF000000"/>
      </font>
    </ndxf>
  </rcc>
  <rcc rId="377" sId="1" odxf="1" dxf="1">
    <oc r="E463" t="inlineStr">
      <is>
        <t>Inprogress Clarification Blocl</t>
      </is>
    </oc>
    <nc r="E463" t="inlineStr">
      <is>
        <t>inprogress</t>
      </is>
    </nc>
    <odxf>
      <font>
        <color rgb="FF000000"/>
      </font>
    </odxf>
    <ndxf>
      <font>
        <color rgb="FF000000"/>
      </font>
    </ndxf>
  </rcc>
  <rcv guid="{E898421F-68B8-4202-A540-E41CCE66AB2A}" action="delete"/>
  <rdn rId="0" localSheetId="1" customView="1" name="Z_E898421F_68B8_4202_A540_E41CCE66AB2A_.wvu.FilterData" hidden="1" oldHidden="1">
    <formula>Sheet1!$A$1:$P$2136</formula>
    <oldFormula>Sheet1!$A$1:$P$2136</oldFormula>
  </rdn>
  <rcv guid="{E898421F-68B8-4202-A540-E41CCE66AB2A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F275" t="inlineStr">
      <is>
        <t>CLID- 8927/After doing bois setting pci not getting edp and hdmi display</t>
      </is>
    </oc>
    <nc r="F275" t="inlineStr">
      <is>
        <t>CLID- 8927</t>
      </is>
    </nc>
  </rcc>
  <rcc rId="380" sId="1">
    <oc r="F276" t="inlineStr">
      <is>
        <t>CLID- 8927/After doing bois setting pci not getting edp and hdmi display</t>
      </is>
    </oc>
    <nc r="F276" t="inlineStr">
      <is>
        <t>CLID- 8927</t>
      </is>
    </nc>
  </rcc>
  <rcc rId="381" sId="1">
    <oc r="F277" t="inlineStr">
      <is>
        <t>CLID- 8927/After doing bois setting pci not getting edp and hdmi display</t>
      </is>
    </oc>
    <nc r="F277" t="inlineStr">
      <is>
        <t>CLID- 8927</t>
      </is>
    </nc>
  </rcc>
  <rcc rId="382" sId="1">
    <oc r="F278" t="inlineStr">
      <is>
        <t>CLID- 8927/After doing bois setting pci not getting edp and hdmi display</t>
      </is>
    </oc>
    <nc r="F278" t="inlineStr">
      <is>
        <t>CLID- 8927</t>
      </is>
    </nc>
  </rcc>
  <rcc rId="383" sId="1">
    <oc r="F294" t="inlineStr">
      <is>
        <t>CLID- 8927/After doing bois setting pci not getting edp and hdmi display</t>
      </is>
    </oc>
    <nc r="F294" t="inlineStr">
      <is>
        <t>CLID- 8927</t>
      </is>
    </nc>
  </rcc>
  <rcc rId="384" sId="1">
    <oc r="F295" t="inlineStr">
      <is>
        <t>CLID- 8927/After doing bois setting pci not getting edp and hdmi display</t>
      </is>
    </oc>
    <nc r="F295" t="inlineStr">
      <is>
        <t>CLID- 8927</t>
      </is>
    </nc>
  </rcc>
  <rcc rId="385" sId="1">
    <oc r="F296" t="inlineStr">
      <is>
        <t>CLID- 8927/After doing bois setting pci not getting edp and hdmi display</t>
      </is>
    </oc>
    <nc r="F296" t="inlineStr">
      <is>
        <t>CLID- 8927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1" odxf="1" dxf="1">
    <oc r="F1928" t="inlineStr">
      <is>
        <t>Network pending</t>
      </is>
    </oc>
    <nc r="F1928" t="inlineStr">
      <is>
        <t>CLID-8937 / Updated</t>
      </is>
    </nc>
    <odxf>
      <font>
        <color rgb="FF000000"/>
      </font>
      <fill>
        <patternFill patternType="none">
          <bgColor indexed="65"/>
        </patternFill>
      </fill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8"/>
        <color rgb="FF0077DD"/>
        <name val="Arial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ndxf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" sId="1" odxf="1" dxf="1" numFmtId="19">
    <nc r="I463">
      <v>44767</v>
    </nc>
    <odxf>
      <numFmt numFmtId="0" formatCode="General"/>
    </odxf>
    <ndxf>
      <numFmt numFmtId="19" formatCode="m/d/yyyy"/>
    </ndxf>
  </rcc>
  <rcv guid="{EB287F3A-4C7E-49C8-9F26-7615807EE190}" action="delete"/>
  <rdn rId="0" localSheetId="1" customView="1" name="Z_EB287F3A_4C7E_49C8_9F26_7615807EE190_.wvu.FilterData" hidden="1" oldHidden="1">
    <formula>Sheet1!$A$1:$P$2136</formula>
    <oldFormula>Sheet1!$A$1:$M$2136</oldFormula>
  </rdn>
  <rcv guid="{EB287F3A-4C7E-49C8-9F26-7615807EE190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98421F-68B8-4202-A540-E41CCE66AB2A}" action="delete"/>
  <rdn rId="0" localSheetId="1" customView="1" name="Z_E898421F_68B8_4202_A540_E41CCE66AB2A_.wvu.FilterData" hidden="1" oldHidden="1">
    <formula>Sheet1!$A$1:$P$2136</formula>
    <oldFormula>Sheet1!$A$1:$P$2136</oldFormula>
  </rdn>
  <rcv guid="{E898421F-68B8-4202-A540-E41CCE66AB2A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oc r="E2081" t="inlineStr">
      <is>
        <t>passed</t>
      </is>
    </oc>
    <nc r="E2081" t="inlineStr">
      <is>
        <t>inprogress</t>
      </is>
    </nc>
  </rcc>
  <rcc rId="391" sId="1" odxf="1" dxf="1">
    <nc r="F2081" t="inlineStr">
      <is>
        <t>CLID- 8730</t>
      </is>
    </nc>
    <odxf>
      <font>
        <b val="0"/>
        <color rgb="FF000000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color rgb="FF000000"/>
      </font>
      <border outline="0">
        <left/>
        <right/>
        <top/>
        <bottom/>
      </border>
    </ndxf>
  </rcc>
  <rcv guid="{4694DAB0-ACCD-4A72-A2CD-0C6916B0E36F}" action="delete"/>
  <rdn rId="0" localSheetId="1" customView="1" name="Z_4694DAB0_ACCD_4A72_A2CD_0C6916B0E36F_.wvu.FilterData" hidden="1" oldHidden="1">
    <formula>Sheet1!$A$1:$P$2136</formula>
    <oldFormula>Sheet1!$A$1:$P$2136</oldFormula>
  </rdn>
  <rcv guid="{4694DAB0-ACCD-4A72-A2CD-0C6916B0E36F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85" start="0" length="0">
    <dxf>
      <border outline="0">
        <left/>
        <right/>
        <top/>
        <bottom/>
      </border>
    </dxf>
  </rfmt>
  <rcc rId="393" sId="1">
    <nc r="F285">
      <f>HYPERLINK("https://hsdes.intel.com/resource/14013174254","14013174254")</f>
    </nc>
  </rcc>
  <rcv guid="{4694DAB0-ACCD-4A72-A2CD-0C6916B0E36F}" action="delete"/>
  <rdn rId="0" localSheetId="1" customView="1" name="Z_4694DAB0_ACCD_4A72_A2CD_0C6916B0E36F_.wvu.FilterData" hidden="1" oldHidden="1">
    <formula>Sheet1!$A$1:$P$2136</formula>
    <oldFormula>Sheet1!$A$1:$P$2136</oldFormula>
  </rdn>
  <rcv guid="{4694DAB0-ACCD-4A72-A2CD-0C6916B0E36F}" action="add"/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" sId="1">
    <oc r="E6" t="inlineStr">
      <is>
        <t>inprogress</t>
      </is>
    </oc>
    <nc r="E6" t="inlineStr">
      <is>
        <t>Inventory block</t>
      </is>
    </nc>
  </rcc>
  <rcc rId="396" sId="1">
    <oc r="E14" t="inlineStr">
      <is>
        <t>inprogress</t>
      </is>
    </oc>
    <nc r="E14" t="inlineStr">
      <is>
        <t>Inventory block</t>
      </is>
    </nc>
  </rcc>
  <rcc rId="397" sId="1">
    <oc r="E28" t="inlineStr">
      <is>
        <t>inprogress</t>
      </is>
    </oc>
    <nc r="E28" t="inlineStr">
      <is>
        <t>Inventory block</t>
      </is>
    </nc>
  </rcc>
  <rcc rId="398" sId="1">
    <oc r="E33" t="inlineStr">
      <is>
        <t>inprogress</t>
      </is>
    </oc>
    <nc r="E33" t="inlineStr">
      <is>
        <t>Inventory block</t>
      </is>
    </nc>
  </rcc>
  <rcc rId="399" sId="1">
    <oc r="E55" t="inlineStr">
      <is>
        <t>inprogress</t>
      </is>
    </oc>
    <nc r="E55" t="inlineStr">
      <is>
        <t>Inventory block</t>
      </is>
    </nc>
  </rcc>
  <rcc rId="400" sId="1">
    <oc r="E57" t="inlineStr">
      <is>
        <t>inprogress</t>
      </is>
    </oc>
    <nc r="E57" t="inlineStr">
      <is>
        <t>Inventory block</t>
      </is>
    </nc>
  </rcc>
  <rcc rId="401" sId="1">
    <oc r="F6" t="inlineStr">
      <is>
        <t>CLID - 8384</t>
      </is>
    </oc>
    <nc r="F6" t="inlineStr">
      <is>
        <t>BOM 23 Touch panel not available in Inventory</t>
      </is>
    </nc>
  </rcc>
  <rcc rId="402" sId="1">
    <oc r="F14" t="inlineStr">
      <is>
        <t>CLID - 8384</t>
      </is>
    </oc>
    <nc r="F14" t="inlineStr">
      <is>
        <t>BOM 23 Touch panel not available in Inventory</t>
      </is>
    </nc>
  </rcc>
  <rcc rId="403" sId="1">
    <oc r="F28" t="inlineStr">
      <is>
        <t>CLID - 8384</t>
      </is>
    </oc>
    <nc r="F28" t="inlineStr">
      <is>
        <t>BOM 23 Touch panel not available in Inventory</t>
      </is>
    </nc>
  </rcc>
  <rcc rId="404" sId="1">
    <oc r="F33" t="inlineStr">
      <is>
        <t>CLID - 8384</t>
      </is>
    </oc>
    <nc r="F33" t="inlineStr">
      <is>
        <t>BOM 23 Touch panel not available in Inventory</t>
      </is>
    </nc>
  </rcc>
  <rcc rId="405" sId="1">
    <oc r="F55" t="inlineStr">
      <is>
        <t>CLID - 8384</t>
      </is>
    </oc>
    <nc r="F55" t="inlineStr">
      <is>
        <t>BOM 23 Touch panel not available in Inventory</t>
      </is>
    </nc>
  </rcc>
  <rcc rId="406" sId="1">
    <oc r="F57" t="inlineStr">
      <is>
        <t>CLID - 8384</t>
      </is>
    </oc>
    <nc r="F57" t="inlineStr">
      <is>
        <t>BOM 23 Touch panel not available in Inventory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09B2D11E_036E_4522_AC5F_A0C9F775118B_.wvu.FilterData" hidden="1" oldHidden="1">
    <formula>Sheet1!$A$1:$P$2136</formula>
  </rdn>
  <rcv guid="{09B2D11E-036E-4522-AC5F-A0C9F775118B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">
    <oc r="G10" t="inlineStr">
      <is>
        <t>sha</t>
      </is>
    </oc>
    <nc r="G10" t="inlineStr">
      <is>
        <t>manohar</t>
      </is>
    </nc>
  </rcc>
  <rcc rId="410" sId="1">
    <oc r="G12" t="inlineStr">
      <is>
        <t>sha</t>
      </is>
    </oc>
    <nc r="G12" t="inlineStr">
      <is>
        <t>manohar</t>
      </is>
    </nc>
  </rcc>
  <rcc rId="411" sId="1">
    <oc r="G13" t="inlineStr">
      <is>
        <t>sha</t>
      </is>
    </oc>
    <nc r="G13" t="inlineStr">
      <is>
        <t>manohar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 odxf="1" dxf="1">
    <oc r="L700" t="inlineStr">
      <is>
        <t>Power Management</t>
      </is>
    </oc>
    <nc r="L700">
      <f>HYPERLINK("https://hsdes.intel.com/resource/14013158967","14013158967")</f>
    </nc>
    <odxf>
      <font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family val="2"/>
        <scheme val="minor"/>
      </font>
      <border outline="0">
        <left/>
        <right/>
        <top/>
        <bottom/>
      </border>
    </ndxf>
  </rcc>
  <rcc rId="413" sId="1">
    <oc r="F1472" t="inlineStr">
      <is>
        <t>CLID-8574</t>
      </is>
    </oc>
    <nc r="F1472" t="inlineStr">
      <is>
        <t>ver in dc1/sha</t>
      </is>
    </nc>
  </rcc>
  <rcv guid="{42125731-D3DF-440A-8617-7AE5A7FD5352}" action="delete"/>
  <rdn rId="0" localSheetId="1" customView="1" name="Z_42125731_D3DF_440A_8617_7AE5A7FD5352_.wvu.FilterData" hidden="1" oldHidden="1">
    <formula>Sheet1!$A$1:$P$2136</formula>
    <oldFormula>Sheet1!$A$1:$M$2136</oldFormula>
  </rdn>
  <rcv guid="{42125731-D3DF-440A-8617-7AE5A7FD535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">
    <oc r="A1" t="inlineStr">
      <is>
        <t>id</t>
      </is>
    </oc>
    <nc r="A1" t="inlineStr">
      <is>
        <t>TCD_ID</t>
      </is>
    </nc>
  </rcc>
  <rcc rId="416" sId="1">
    <oc r="B1" t="inlineStr">
      <is>
        <t>title</t>
      </is>
    </oc>
    <nc r="B1" t="inlineStr">
      <is>
        <t>TCD_Title</t>
      </is>
    </nc>
  </rcc>
  <rcc rId="417" sId="1">
    <oc r="E1" t="inlineStr">
      <is>
        <t>Results</t>
      </is>
    </oc>
    <nc r="E1" t="inlineStr">
      <is>
        <t>Status</t>
      </is>
    </nc>
  </rcc>
  <rdn rId="0" localSheetId="1" customView="1" name="Z_09DB3CC5_4A6A_4E87_B448_A6E5D71ABAA3_.wvu.FilterData" hidden="1" oldHidden="1">
    <formula>Sheet1!$A$1:$P$2136</formula>
  </rdn>
  <rcv guid="{09DB3CC5-4A6A-4E87-B448-A6E5D71ABAA3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oc r="E174" t="inlineStr">
      <is>
        <t>inprogress</t>
      </is>
    </oc>
    <nc r="E174" t="inlineStr">
      <is>
        <t>NA</t>
      </is>
    </nc>
  </rcc>
  <rcc rId="138" sId="1">
    <oc r="F174" t="inlineStr">
      <is>
        <t>CLID-8682</t>
      </is>
    </oc>
    <nc r="F174" t="inlineStr">
      <is>
        <t xml:space="preserve">raid </t>
      </is>
    </nc>
  </rcc>
  <rcc rId="139" sId="1" numFmtId="19">
    <oc r="I174">
      <v>44767</v>
    </oc>
    <nc r="I174">
      <v>44768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" sId="1">
    <oc r="A1713" t="inlineStr">
      <is>
        <t>`w</t>
      </is>
    </oc>
    <nc r="A1713">
      <v>14013174650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oc r="F674" t="inlineStr">
      <is>
        <t>sent a mail</t>
      </is>
    </oc>
    <nc r="F674" t="inlineStr">
      <is>
        <t>mail sent</t>
      </is>
    </nc>
  </rcc>
  <rdn rId="0" localSheetId="1" customView="1" name="Z_8A02CA5B_B001_4F2C_94C0_F49A6533ED02_.wvu.FilterData" hidden="1" oldHidden="1">
    <formula>Sheet1!$A$1:$M$2136</formula>
  </rdn>
  <rcv guid="{8A02CA5B-B001-4F2C-94C0-F49A6533ED02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 numFmtId="19">
    <oc r="I545">
      <v>44756</v>
    </oc>
    <nc r="I545">
      <v>44768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oc r="E1903" t="inlineStr">
      <is>
        <t>inprogress</t>
      </is>
    </oc>
    <nc r="E1903" t="inlineStr">
      <is>
        <t>passed</t>
      </is>
    </nc>
  </rcc>
  <rcc rId="144" sId="1" odxf="1" dxf="1" numFmtId="19">
    <nc r="I1903">
      <v>44768</v>
    </nc>
    <odxf>
      <numFmt numFmtId="0" formatCode="General"/>
    </odxf>
    <ndxf>
      <numFmt numFmtId="19" formatCode="m/d/yyyy"/>
    </ndxf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026DC35-567C-43B3-A484-39806B390DEE}" action="delete"/>
  <rdn rId="0" localSheetId="1" customView="1" name="Z_F026DC35_567C_43B3_A484_39806B390DEE_.wvu.FilterData" hidden="1" oldHidden="1">
    <formula>Sheet1!$A$1:$P$2136</formula>
    <oldFormula>Sheet1!$A$1:$P$2136</oldFormula>
  </rdn>
  <rcv guid="{F026DC35-567C-43B3-A484-39806B390DEE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oc r="E305" t="inlineStr">
      <is>
        <t>inventory block</t>
      </is>
    </oc>
    <nc r="E305" t="inlineStr">
      <is>
        <t>Clarification Blocl</t>
      </is>
    </nc>
  </rcc>
  <rcc rId="147" sId="1" odxf="1" dxf="1">
    <oc r="E463" t="inlineStr">
      <is>
        <t>inventory block</t>
      </is>
    </oc>
    <nc r="E463" t="inlineStr">
      <is>
        <t>Clarification Blocl</t>
      </is>
    </nc>
    <odxf>
      <font/>
    </odxf>
    <ndxf>
      <font>
        <color rgb="FF000000"/>
      </font>
    </ndxf>
  </rcc>
  <rcc rId="148" sId="1">
    <oc r="E698" t="inlineStr">
      <is>
        <t>inventory block</t>
      </is>
    </oc>
    <nc r="E698" t="inlineStr">
      <is>
        <t>Clarification Blocl</t>
      </is>
    </nc>
  </rcc>
  <rcc rId="149" sId="1">
    <oc r="E785" t="inlineStr">
      <is>
        <t>inventory block</t>
      </is>
    </oc>
    <nc r="E785" t="inlineStr">
      <is>
        <t>Clarification Blocl</t>
      </is>
    </nc>
  </rcc>
  <rcc rId="150" sId="1">
    <oc r="E1277" t="inlineStr">
      <is>
        <t>inventory block</t>
      </is>
    </oc>
    <nc r="E1277" t="inlineStr">
      <is>
        <t>inprogress</t>
      </is>
    </nc>
  </rcc>
  <rcv guid="{E898421F-68B8-4202-A540-E41CCE66AB2A}" action="delete"/>
  <rdn rId="0" localSheetId="1" customView="1" name="Z_E898421F_68B8_4202_A540_E41CCE66AB2A_.wvu.FilterData" hidden="1" oldHidden="1">
    <formula>Sheet1!$A$1:$M$2136</formula>
    <oldFormula>Sheet1!$A$1:$M$2136</oldFormula>
  </rdn>
  <rcv guid="{E898421F-68B8-4202-A540-E41CCE66AB2A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1">
    <oc r="E1305" t="inlineStr">
      <is>
        <t>inventory block</t>
      </is>
    </oc>
    <nc r="E1305" t="inlineStr">
      <is>
        <t>inprogress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oc r="E1517" t="inlineStr">
      <is>
        <t>inprogress</t>
      </is>
    </oc>
    <nc r="E1517" t="inlineStr">
      <is>
        <t>passed</t>
      </is>
    </nc>
  </rcc>
  <rcc rId="154" sId="1">
    <oc r="F1517" t="inlineStr">
      <is>
        <t>CLID-8826</t>
      </is>
    </oc>
    <nc r="F1517"/>
  </rcc>
  <rcc rId="155" sId="1" numFmtId="19">
    <oc r="I1517">
      <v>44761</v>
    </oc>
    <nc r="I1517">
      <v>44768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1" numFmtId="19">
    <oc r="I258">
      <v>44767</v>
    </oc>
    <nc r="I258">
      <v>44768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 numFmtId="19">
    <oc r="I264">
      <v>44767</v>
    </oc>
    <nc r="I264">
      <v>44768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513">
    <dxf>
      <fill>
        <patternFill patternType="solid">
          <bgColor rgb="FFFFFF00"/>
        </patternFill>
      </fill>
    </dxf>
  </rfmt>
  <rfmt sheetId="1" sqref="B1501">
    <dxf>
      <fill>
        <patternFill patternType="solid">
          <bgColor rgb="FFFFFF00"/>
        </patternFill>
      </fill>
    </dxf>
  </rfmt>
  <rfmt sheetId="1" sqref="B1477">
    <dxf>
      <fill>
        <patternFill patternType="solid">
          <bgColor rgb="FFFFFF00"/>
        </patternFill>
      </fill>
    </dxf>
  </rfmt>
  <rfmt sheetId="1" sqref="B1345">
    <dxf>
      <fill>
        <patternFill patternType="solid">
          <bgColor rgb="FFFFFF00"/>
        </patternFill>
      </fill>
    </dxf>
  </rfmt>
  <rcc rId="158" sId="1">
    <oc r="J1345" t="inlineStr">
      <is>
        <t>Automatable</t>
      </is>
    </oc>
    <nc r="J1345" t="inlineStr">
      <is>
        <t>Automatable python</t>
      </is>
    </nc>
  </rcc>
  <rcc rId="159" sId="1">
    <oc r="J1413" t="inlineStr">
      <is>
        <t>Automatable</t>
      </is>
    </oc>
    <nc r="J1413" t="inlineStr">
      <is>
        <t>Automatable python</t>
      </is>
    </nc>
  </rcc>
  <rcc rId="160" sId="1">
    <oc r="J1477" t="inlineStr">
      <is>
        <t>Automatable</t>
      </is>
    </oc>
    <nc r="J1477" t="inlineStr">
      <is>
        <t>Automatable python</t>
      </is>
    </nc>
  </rcc>
  <rcc rId="161" sId="1">
    <oc r="J1513" t="inlineStr">
      <is>
        <t>Automatable</t>
      </is>
    </oc>
    <nc r="J1513" t="inlineStr">
      <is>
        <t>Automatable python</t>
      </is>
    </nc>
  </rcc>
  <rcc rId="162" sId="1">
    <oc r="H1513" t="inlineStr">
      <is>
        <t>Vaahith</t>
      </is>
    </oc>
    <nc r="H1513" t="inlineStr">
      <is>
        <t>Ambika</t>
      </is>
    </nc>
  </rcc>
  <rcc rId="163" sId="1">
    <oc r="H1501" t="inlineStr">
      <is>
        <t>Vaahith</t>
      </is>
    </oc>
    <nc r="H1501" t="inlineStr">
      <is>
        <t>Ambika</t>
      </is>
    </nc>
  </rcc>
  <rcc rId="164" sId="1">
    <oc r="H1345" t="inlineStr">
      <is>
        <t>Vaahith</t>
      </is>
    </oc>
    <nc r="H1345" t="inlineStr">
      <is>
        <t>Ambika</t>
      </is>
    </nc>
  </rcc>
  <rcc rId="165" sId="1">
    <oc r="H1477" t="inlineStr">
      <is>
        <t>Vaahith</t>
      </is>
    </oc>
    <nc r="H1477" t="inlineStr">
      <is>
        <t>Ambika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" sId="1" numFmtId="21">
    <oc r="I71">
      <v>44767</v>
    </oc>
    <nc r="I71">
      <v>44768</v>
    </nc>
  </rcc>
  <rcc rId="167" sId="1" numFmtId="21">
    <oc r="I79">
      <v>44767</v>
    </oc>
    <nc r="I79">
      <v>44768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oc r="F103" t="inlineStr">
      <is>
        <t>mailed to CO</t>
      </is>
    </oc>
    <nc r="F103" t="inlineStr">
      <is>
        <t>CLID-5768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" sId="1" numFmtId="21">
    <oc r="I68">
      <v>44767</v>
    </oc>
    <nc r="I68">
      <v>44768</v>
    </nc>
  </rcc>
  <rcc rId="170" sId="1">
    <oc r="F68" t="inlineStr">
      <is>
        <t>CLID - 8801</t>
      </is>
    </oc>
    <nc r="F68"/>
  </rcc>
  <rcc rId="171" sId="1">
    <oc r="E68" t="inlineStr">
      <is>
        <t>waiting for reply from  CO, inprogress</t>
      </is>
    </oc>
    <nc r="E68" t="inlineStr">
      <is>
        <t>NA</t>
      </is>
    </nc>
  </rcc>
  <rcv guid="{36F83137-3DD0-42DD-A893-C87ED4299231}" action="delete"/>
  <rdn rId="0" localSheetId="1" customView="1" name="Z_36F83137_3DD0_42DD_A893_C87ED4299231_.wvu.FilterData" hidden="1" oldHidden="1">
    <formula>Sheet1!$A$1:$M$2136</formula>
    <oldFormula>Sheet1!$A$1:$M$2136</oldFormula>
  </rdn>
  <rcv guid="{36F83137-3DD0-42DD-A893-C87ED4299231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" sId="1">
    <oc r="E1742" t="inlineStr">
      <is>
        <t>inprogress</t>
      </is>
    </oc>
    <nc r="E1742" t="inlineStr">
      <is>
        <t>NA</t>
      </is>
    </nc>
  </rcc>
  <rcv guid="{4694DAB0-ACCD-4A72-A2CD-0C6916B0E36F}" action="delete"/>
  <rdn rId="0" localSheetId="1" customView="1" name="Z_4694DAB0_ACCD_4A72_A2CD_0C6916B0E36F_.wvu.FilterData" hidden="1" oldHidden="1">
    <formula>Sheet1!$A$1:$M$2136</formula>
    <oldFormula>Sheet1!$A$1:$M$2136</oldFormula>
  </rdn>
  <rcv guid="{4694DAB0-ACCD-4A72-A2CD-0C6916B0E36F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" sId="1">
    <oc r="E590" t="inlineStr">
      <is>
        <t>Inprogress</t>
      </is>
    </oc>
    <nc r="E590" t="inlineStr">
      <is>
        <t>failed</t>
      </is>
    </nc>
  </rcc>
  <rcc rId="176" sId="1" odxf="1" dxf="1" numFmtId="19">
    <nc r="I590">
      <v>44768</v>
    </nc>
    <odxf>
      <numFmt numFmtId="0" formatCode="General"/>
    </odxf>
    <ndxf>
      <numFmt numFmtId="19" formatCode="m/d/yyyy"/>
    </ndxf>
  </rcc>
  <rcc rId="177" sId="1">
    <oc r="E589" t="inlineStr">
      <is>
        <t>Inprogress</t>
      </is>
    </oc>
    <nc r="E589" t="inlineStr">
      <is>
        <t>failed</t>
      </is>
    </nc>
  </rcc>
  <rcc rId="178" sId="1" odxf="1" dxf="1" numFmtId="19">
    <nc r="I589">
      <v>44768</v>
    </nc>
    <odxf>
      <numFmt numFmtId="0" formatCode="General"/>
    </odxf>
    <ndxf>
      <numFmt numFmtId="19" formatCode="m/d/yyyy"/>
    </ndxf>
  </rcc>
  <rcc rId="179" sId="1">
    <oc r="E588" t="inlineStr">
      <is>
        <t>Inprogress</t>
      </is>
    </oc>
    <nc r="E588" t="inlineStr">
      <is>
        <t>failed</t>
      </is>
    </nc>
  </rcc>
  <rcc rId="180" sId="1" odxf="1" dxf="1" numFmtId="19">
    <nc r="I588">
      <v>44768</v>
    </nc>
    <odxf>
      <numFmt numFmtId="0" formatCode="General"/>
    </odxf>
    <ndxf>
      <numFmt numFmtId="19" formatCode="m/d/yyyy"/>
    </ndxf>
  </rcc>
  <rcc rId="181" sId="1">
    <oc r="E587" t="inlineStr">
      <is>
        <t>Inprogress</t>
      </is>
    </oc>
    <nc r="E587" t="inlineStr">
      <is>
        <t>failed</t>
      </is>
    </nc>
  </rcc>
  <rfmt sheetId="1" sqref="I587" start="0" length="0">
    <dxf>
      <numFmt numFmtId="19" formatCode="m/d/yyyy"/>
    </dxf>
  </rfmt>
  <rcc rId="182" sId="1">
    <oc r="E586" t="inlineStr">
      <is>
        <t>Inprogress</t>
      </is>
    </oc>
    <nc r="E586" t="inlineStr">
      <is>
        <t>failed</t>
      </is>
    </nc>
  </rcc>
  <rfmt sheetId="1" sqref="I586" start="0" length="0">
    <dxf>
      <numFmt numFmtId="19" formatCode="m/d/yyyy"/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1" numFmtId="21">
    <oc r="I35">
      <v>44767</v>
    </oc>
    <nc r="I35">
      <v>44768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1">
    <oc r="E586" t="inlineStr">
      <is>
        <t>failed</t>
      </is>
    </oc>
    <nc r="E586"/>
  </rcc>
  <rcc rId="185" sId="1">
    <oc r="E587" t="inlineStr">
      <is>
        <t>failed</t>
      </is>
    </oc>
    <nc r="E587"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" numFmtId="21">
    <oc r="I117">
      <v>44767</v>
    </oc>
    <nc r="I117">
      <v>44768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1">
    <oc r="F70" t="inlineStr">
      <is>
        <t>CLID-8282</t>
      </is>
    </oc>
    <nc r="F70" t="inlineStr">
      <is>
        <t>CLID-8282/GC</t>
      </is>
    </nc>
  </rcc>
  <rcc rId="188" sId="1">
    <oc r="F103" t="inlineStr">
      <is>
        <t>CLID-5768</t>
      </is>
    </oc>
    <nc r="F103" t="inlineStr">
      <is>
        <t>CLID-5768/GC</t>
      </is>
    </nc>
  </rcc>
  <rcc rId="189" sId="1">
    <oc r="F107" t="inlineStr">
      <is>
        <t>CLID-8264</t>
      </is>
    </oc>
    <nc r="F107" t="inlineStr">
      <is>
        <t>CLID-8264/GC</t>
      </is>
    </nc>
  </rcc>
  <rcc rId="190" sId="1">
    <oc r="F108" t="inlineStr">
      <is>
        <t>CLID-8264</t>
      </is>
    </oc>
    <nc r="F108" t="inlineStr">
      <is>
        <t>CLID-8264/GC</t>
      </is>
    </nc>
  </rcc>
  <rcc rId="191" sId="1">
    <oc r="F117" t="inlineStr">
      <is>
        <t>CLID-8757</t>
      </is>
    </oc>
    <nc r="F117" t="inlineStr">
      <is>
        <t>CLID-8757/GC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" sId="1">
    <oc r="E1560" t="inlineStr">
      <is>
        <t>inprogress</t>
      </is>
    </oc>
    <nc r="E1560" t="inlineStr">
      <is>
        <t>passed</t>
      </is>
    </nc>
  </rcc>
  <rcc rId="193" sId="1" odxf="1" dxf="1" numFmtId="19">
    <nc r="I1560">
      <v>44768</v>
    </nc>
    <odxf>
      <numFmt numFmtId="0" formatCode="General"/>
    </odxf>
    <ndxf>
      <numFmt numFmtId="19" formatCode="m/d/yyyy"/>
    </ndxf>
  </rcc>
  <rcv guid="{4694DAB0-ACCD-4A72-A2CD-0C6916B0E36F}" action="delete"/>
  <rdn rId="0" localSheetId="1" customView="1" name="Z_4694DAB0_ACCD_4A72_A2CD_0C6916B0E36F_.wvu.FilterData" hidden="1" oldHidden="1">
    <formula>Sheet1!$A$1:$M$2136</formula>
    <oldFormula>Sheet1!$A$1:$M$2136</oldFormula>
  </rdn>
  <rcv guid="{4694DAB0-ACCD-4A72-A2CD-0C6916B0E36F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" sId="1">
    <oc r="E1563" t="inlineStr">
      <is>
        <t>inprogress</t>
      </is>
    </oc>
    <nc r="E1563" t="inlineStr">
      <is>
        <t>passed</t>
      </is>
    </nc>
  </rcc>
  <rcc rId="196" sId="1">
    <oc r="E1560" t="inlineStr">
      <is>
        <t>passed</t>
      </is>
    </oc>
    <nc r="E1560" t="inlineStr">
      <is>
        <t>inprogress</t>
      </is>
    </nc>
  </rcc>
  <rcc rId="197" sId="1" odxf="1" dxf="1" numFmtId="19">
    <nc r="I1563">
      <v>44768</v>
    </nc>
    <odxf>
      <numFmt numFmtId="0" formatCode="General"/>
    </odxf>
    <ndxf>
      <numFmt numFmtId="19" formatCode="m/d/yyyy"/>
    </ndxf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8" sId="1">
    <oc r="F71" t="inlineStr">
      <is>
        <t>mailed to CO</t>
      </is>
    </oc>
    <nc r="F71" t="inlineStr">
      <is>
        <t>mailed to CO/GC</t>
      </is>
    </nc>
  </rcc>
  <rcc rId="199" sId="1">
    <oc r="F79" t="inlineStr">
      <is>
        <t>mailed to CO</t>
      </is>
    </oc>
    <nc r="F79" t="inlineStr">
      <is>
        <t>mailed to CO/GC</t>
      </is>
    </nc>
  </rcc>
  <rcv guid="{36F83137-3DD0-42DD-A893-C87ED4299231}" action="delete"/>
  <rdn rId="0" localSheetId="1" customView="1" name="Z_36F83137_3DD0_42DD_A893_C87ED4299231_.wvu.FilterData" hidden="1" oldHidden="1">
    <formula>Sheet1!$A$1:$M$2136</formula>
    <oldFormula>Sheet1!$A$1:$M$2136</oldFormula>
  </rdn>
  <rcv guid="{36F83137-3DD0-42DD-A893-C87ED4299231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 numFmtId="21">
    <oc r="I36">
      <v>44767</v>
    </oc>
    <nc r="I36">
      <v>44768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oc r="E409" t="inlineStr">
      <is>
        <t>Inprogress</t>
      </is>
    </oc>
    <nc r="E409" t="inlineStr">
      <is>
        <t>Passed</t>
      </is>
    </nc>
  </rcc>
  <rcc rId="203" sId="1">
    <oc r="F409" t="inlineStr">
      <is>
        <t xml:space="preserve">SUT is not booting when performance bios is flashed </t>
      </is>
    </oc>
    <nc r="F409"/>
  </rcc>
  <rcc rId="204" sId="1" odxf="1" dxf="1" numFmtId="19">
    <nc r="I409">
      <v>44768</v>
    </nc>
    <odxf>
      <numFmt numFmtId="0" formatCode="General"/>
    </odxf>
    <ndxf>
      <numFmt numFmtId="19" formatCode="m/d/yyyy"/>
    </ndxf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16E84CC-9506-465E-9C48-BFF7AB97D33D}" action="delete"/>
  <rdn rId="0" localSheetId="1" customView="1" name="Z_816E84CC_9506_465E_9C48_BFF7AB97D33D_.wvu.FilterData" hidden="1" oldHidden="1">
    <formula>Sheet1!$A$1:$P$2136</formula>
    <oldFormula>Sheet1!$A$1:$P$2136</oldFormula>
  </rdn>
  <rcv guid="{816E84CC-9506-465E-9C48-BFF7AB97D33D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1" numFmtId="19">
    <oc r="I532">
      <v>44764</v>
    </oc>
    <nc r="I532">
      <v>44769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" sId="1">
    <oc r="E1472" t="inlineStr">
      <is>
        <t>inprogress</t>
      </is>
    </oc>
    <nc r="E1472" t="inlineStr">
      <is>
        <t>passed</t>
      </is>
    </nc>
  </rcc>
  <rcc rId="208" sId="1" numFmtId="19">
    <oc r="I1472">
      <v>44768</v>
    </oc>
    <nc r="I1472">
      <v>44769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1">
    <nc r="F1118" t="inlineStr">
      <is>
        <t>Smart phone</t>
      </is>
    </nc>
  </rcc>
  <rcv guid="{E898421F-68B8-4202-A540-E41CCE66AB2A}" action="delete"/>
  <rdn rId="0" localSheetId="1" customView="1" name="Z_E898421F_68B8_4202_A540_E41CCE66AB2A_.wvu.FilterData" hidden="1" oldHidden="1">
    <formula>Sheet1!$A$1:$M$2136</formula>
    <oldFormula>Sheet1!$A$1:$M$2136</oldFormula>
  </rdn>
  <rcv guid="{E898421F-68B8-4202-A540-E41CCE66AB2A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" sId="1">
    <oc r="E1928" t="inlineStr">
      <is>
        <t>inventory block</t>
      </is>
    </oc>
    <nc r="E1928" t="inlineStr">
      <is>
        <t>inprogress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1">
    <nc r="E586" t="inlineStr">
      <is>
        <t>failed</t>
      </is>
    </nc>
  </rcc>
  <rcc rId="213" sId="1">
    <nc r="E587" t="inlineStr">
      <is>
        <t>failed</t>
      </is>
    </nc>
  </rcc>
  <rcv guid="{E898421F-68B8-4202-A540-E41CCE66AB2A}" action="delete"/>
  <rdn rId="0" localSheetId="1" customView="1" name="Z_E898421F_68B8_4202_A540_E41CCE66AB2A_.wvu.FilterData" hidden="1" oldHidden="1">
    <formula>Sheet1!$A$1:$M$2136</formula>
    <oldFormula>Sheet1!$A$1:$M$2136</oldFormula>
  </rdn>
  <rcv guid="{E898421F-68B8-4202-A540-E41CCE66AB2A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" sId="1">
    <oc r="E300" t="inlineStr">
      <is>
        <t>Inprogress</t>
      </is>
    </oc>
    <nc r="E300" t="inlineStr">
      <is>
        <t>NA</t>
      </is>
    </nc>
  </rcc>
  <rcc rId="216" sId="1">
    <oc r="F300" t="inlineStr">
      <is>
        <t>CLID-8801</t>
      </is>
    </oc>
    <nc r="F300" t="inlineStr">
      <is>
        <t>Got confirmation from CO</t>
      </is>
    </nc>
  </rcc>
  <rcc rId="217" sId="1" numFmtId="19">
    <oc r="I300">
      <v>44767</v>
    </oc>
    <nc r="I300">
      <v>44769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1">
    <oc r="E1483" t="inlineStr">
      <is>
        <t>inprogress</t>
      </is>
    </oc>
    <nc r="E1483" t="inlineStr">
      <is>
        <t>passed</t>
      </is>
    </nc>
  </rcc>
  <rcc rId="219" sId="1">
    <oc r="F1483" t="inlineStr">
      <is>
        <t>CLID-8826</t>
      </is>
    </oc>
    <nc r="F1483"/>
  </rcc>
  <rcc rId="220" sId="1" numFmtId="19">
    <oc r="I1483">
      <v>44761</v>
    </oc>
    <nc r="I1483">
      <v>44769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1">
    <oc r="E1484" t="inlineStr">
      <is>
        <t>inprogress</t>
      </is>
    </oc>
    <nc r="E1484" t="inlineStr">
      <is>
        <t>passed</t>
      </is>
    </nc>
  </rcc>
  <rcc rId="222" sId="1">
    <oc r="F1484" t="inlineStr">
      <is>
        <t>CLID-8826</t>
      </is>
    </oc>
    <nc r="F1484"/>
  </rcc>
  <rcc rId="223" sId="1" numFmtId="19">
    <oc r="I1484">
      <v>44761</v>
    </oc>
    <nc r="I1484">
      <v>44769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1">
    <oc r="E1497" t="inlineStr">
      <is>
        <t>inprogress</t>
      </is>
    </oc>
    <nc r="E1497" t="inlineStr">
      <is>
        <t>NA</t>
      </is>
    </nc>
  </rcc>
  <rcc rId="225" sId="1">
    <oc r="E1498" t="inlineStr">
      <is>
        <t>inprogress</t>
      </is>
    </oc>
    <nc r="E1498" t="inlineStr">
      <is>
        <t>NA</t>
      </is>
    </nc>
  </rcc>
  <rcc rId="226" sId="1">
    <oc r="F1498" t="inlineStr">
      <is>
        <t>CLID-8826</t>
      </is>
    </oc>
    <nc r="F1498" t="inlineStr">
      <is>
        <t>deepSx NA for RPL-P</t>
      </is>
    </nc>
  </rcc>
  <rcc rId="227" sId="1">
    <oc r="F1497" t="inlineStr">
      <is>
        <t>CLID-8826</t>
      </is>
    </oc>
    <nc r="F1497" t="inlineStr">
      <is>
        <t>deepSx NA for RPL-P</t>
      </is>
    </nc>
  </rcc>
  <rcc rId="228" sId="1">
    <oc r="E1494" t="inlineStr">
      <is>
        <t>inprogress</t>
      </is>
    </oc>
    <nc r="E1494" t="inlineStr">
      <is>
        <t>NA</t>
      </is>
    </nc>
  </rcc>
  <rcc rId="229" sId="1">
    <oc r="E1493" t="inlineStr">
      <is>
        <t>inprogress</t>
      </is>
    </oc>
    <nc r="E1493" t="inlineStr">
      <is>
        <t>NA</t>
      </is>
    </nc>
  </rcc>
  <rcc rId="230" sId="1">
    <oc r="E1490" t="inlineStr">
      <is>
        <t>inprogress</t>
      </is>
    </oc>
    <nc r="E1490" t="inlineStr">
      <is>
        <t>NA</t>
      </is>
    </nc>
  </rcc>
  <rcc rId="231" sId="1">
    <oc r="F1490" t="inlineStr">
      <is>
        <t>CLID-8826</t>
      </is>
    </oc>
    <nc r="F1490" t="inlineStr">
      <is>
        <t>deepSx NA for RPL-P</t>
      </is>
    </nc>
  </rcc>
  <rcc rId="232" sId="1">
    <oc r="F1493" t="inlineStr">
      <is>
        <t>CLID-8826</t>
      </is>
    </oc>
    <nc r="F1493" t="inlineStr">
      <is>
        <t>deepSx</t>
      </is>
    </nc>
  </rcc>
  <rcc rId="233" sId="1">
    <oc r="F1494" t="inlineStr">
      <is>
        <t>CLID-8826</t>
      </is>
    </oc>
    <nc r="F1494" t="inlineStr">
      <is>
        <t>deeysx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1">
    <oc r="E1487" t="inlineStr">
      <is>
        <t>inprogress</t>
      </is>
    </oc>
    <nc r="E1487" t="inlineStr">
      <is>
        <t>passed</t>
      </is>
    </nc>
  </rcc>
  <rcc rId="235" sId="1">
    <oc r="F1487" t="inlineStr">
      <is>
        <t>CLID-8826</t>
      </is>
    </oc>
    <nc r="F1487" t="inlineStr">
      <is>
        <t>ver with d3 hot</t>
      </is>
    </nc>
  </rcc>
  <rcc rId="236" sId="1" numFmtId="19">
    <oc r="I1487">
      <v>44761</v>
    </oc>
    <nc r="I1487">
      <v>44769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1">
    <oc r="B586" t="inlineStr">
      <is>
        <t>Verify Retimer firmware upgradation from OS using TDT tool</t>
      </is>
    </oc>
    <nc r="B586" t="inlineStr">
      <is>
        <t>Verify Retimer firmware upgradation from OS using TDT tool           n</t>
      </is>
    </nc>
  </rcc>
  <rcc rId="238" sId="1">
    <oc r="B674" t="inlineStr">
      <is>
        <t>Verify Type-C multi port functionality - WinDBG,TBT-Display,TBT-SSD, TBT-Dock on Hot Plug</t>
      </is>
    </oc>
    <nc r="B674" t="inlineStr">
      <is>
        <t>Verify Type-C multi port functionality - WinDBG,TBT-Display,TBT-SSD, TBT-Dock on Hot Plug        n</t>
      </is>
    </nc>
  </rcc>
  <rcc rId="239" sId="1">
    <oc r="B742" t="inlineStr">
      <is>
        <t>Verify ACPI CPPC objects from SSDT and DSDT</t>
      </is>
    </oc>
    <nc r="B742" t="inlineStr">
      <is>
        <t>Verify ACPI CPPC objects from SSDT and DSDT-         era</t>
      </is>
    </nc>
  </rcc>
  <rcc rId="240" sId="1">
    <oc r="B678" t="inlineStr">
      <is>
        <t>Verify USB4 storage functionality hot plug during S4, S5 cycles</t>
      </is>
    </oc>
    <nc r="B678" t="inlineStr">
      <is>
        <t>Verify USB4 storage functionality hot plug during S4, S5 cycles          n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">
    <oc r="B545" t="inlineStr">
      <is>
        <t>Verify BIOS support for [CNV][WIFI] New ACPI table WTAS - Wi-Fi time Average SAR</t>
      </is>
    </oc>
    <nc r="B545" t="inlineStr">
      <is>
        <t>Verify BIOS support for [CNV][WIFI] New ACPI table WTAS - Wi-Fi time Average SAR         h</t>
      </is>
    </nc>
  </rcc>
  <rcc rId="242" sId="1">
    <oc r="B496" t="inlineStr">
      <is>
        <t>Validate SUT wake from S0i3 Using USB-LAN</t>
      </is>
    </oc>
    <nc r="B496" t="inlineStr">
      <is>
        <t>Validate SUT wake from S0i3 Using USB-LAN              h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1">
    <oc r="H790" t="inlineStr">
      <is>
        <t>Ambika</t>
      </is>
    </oc>
    <nc r="H790" t="inlineStr">
      <is>
        <t>Sha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" sId="1">
    <oc r="H784" t="inlineStr">
      <is>
        <t>Ambika</t>
      </is>
    </oc>
    <nc r="H784" t="inlineStr">
      <is>
        <t>Sha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1">
    <oc r="H793" t="inlineStr">
      <is>
        <t>Ambika</t>
      </is>
    </oc>
    <nc r="H793" t="inlineStr">
      <is>
        <t>Sha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1">
    <oc r="A587" t="inlineStr">
      <is>
        <t>14013165361</t>
      </is>
    </oc>
    <nc r="A587">
      <v>14013165361</v>
    </nc>
  </rcc>
  <rcc rId="247" sId="1">
    <oc r="E586" t="inlineStr">
      <is>
        <t>failed</t>
      </is>
    </oc>
    <nc r="E586"/>
  </rcc>
  <rcc rId="248" sId="1">
    <oc r="E587" t="inlineStr">
      <is>
        <t>failed</t>
      </is>
    </oc>
    <nc r="E587"/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1" numFmtId="19">
    <oc r="I275">
      <v>44767</v>
    </oc>
    <nc r="I275">
      <v>44769</v>
    </nc>
  </rcc>
  <rcc rId="250" sId="1" numFmtId="19">
    <oc r="I276">
      <v>44767</v>
    </oc>
    <nc r="I276">
      <v>44769</v>
    </nc>
  </rcc>
  <rcc rId="251" sId="1" numFmtId="19">
    <oc r="I277">
      <v>44767</v>
    </oc>
    <nc r="I277">
      <v>44769</v>
    </nc>
  </rcc>
  <rcc rId="252" sId="1" numFmtId="19">
    <oc r="I278">
      <v>44767</v>
    </oc>
    <nc r="I278">
      <v>44769</v>
    </nc>
  </rcc>
  <rcc rId="253" sId="1" numFmtId="19">
    <oc r="I294">
      <v>44767</v>
    </oc>
    <nc r="I294">
      <v>44769</v>
    </nc>
  </rcc>
  <rcc rId="254" sId="1" numFmtId="19">
    <oc r="I295">
      <v>44767</v>
    </oc>
    <nc r="I295">
      <v>44769</v>
    </nc>
  </rcc>
  <rcc rId="255" sId="1" numFmtId="19">
    <oc r="I296">
      <v>44767</v>
    </oc>
    <nc r="I296">
      <v>44769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1">
    <nc r="N1560" t="inlineStr">
      <is>
        <t>praveen</t>
      </is>
    </nc>
  </rcc>
  <rfmt sheetId="1" sqref="N15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57" sId="1">
    <nc r="N1471" t="inlineStr">
      <is>
        <t>chandana</t>
      </is>
    </nc>
  </rcc>
  <rfmt sheetId="1" sqref="N14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58" sId="1">
    <nc r="N2094" t="inlineStr">
      <is>
        <t>praveen</t>
      </is>
    </nc>
  </rcc>
  <rfmt sheetId="1" sqref="N20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59" sId="1">
    <nc r="N2010" t="inlineStr">
      <is>
        <t>praveen</t>
      </is>
    </nc>
  </rcc>
  <rfmt sheetId="1" sqref="N20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60" sId="1">
    <nc r="N1747" t="inlineStr">
      <is>
        <t>praveen</t>
      </is>
    </nc>
  </rcc>
  <rfmt sheetId="1" sqref="N17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61" sId="1" odxf="1" dxf="1">
    <nc r="N1748" t="inlineStr">
      <is>
        <t>praveen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000000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262" sId="1" odxf="1" dxf="1">
    <nc r="N2004" t="inlineStr">
      <is>
        <t>praveen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000000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263" sId="1" odxf="1" dxf="1">
    <nc r="N2005" t="inlineStr">
      <is>
        <t>praveen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000000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  <rcc rId="264" sId="1" odxf="1" dxf="1">
    <nc r="N2006" t="inlineStr">
      <is>
        <t>praveen</t>
      </is>
    </nc>
    <odxf>
      <font>
        <sz val="11"/>
        <color theme="1"/>
        <name val="Calibri"/>
        <family val="2"/>
        <scheme val="minor"/>
      </font>
      <border outline="0">
        <left/>
        <right/>
      </border>
    </odxf>
    <ndxf>
      <font>
        <sz val="11"/>
        <color rgb="FF000000"/>
        <name val="Calibri"/>
        <family val="2"/>
        <scheme val="none"/>
      </font>
      <border outline="0">
        <left style="thin">
          <color indexed="64"/>
        </left>
        <right style="thin">
          <color indexed="64"/>
        </right>
      </border>
    </ndxf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" sId="1">
    <oc r="E949" t="inlineStr">
      <is>
        <t>inprogress</t>
      </is>
    </oc>
    <nc r="E949" t="inlineStr">
      <is>
        <t>passed</t>
      </is>
    </nc>
  </rcc>
  <rcc rId="266" sId="1" odxf="1" dxf="1" numFmtId="19">
    <nc r="I949">
      <v>44769</v>
    </nc>
    <odxf>
      <numFmt numFmtId="0" formatCode="General"/>
    </odxf>
    <ndxf>
      <numFmt numFmtId="19" formatCode="m/d/yyyy"/>
    </ndxf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1">
    <nc r="E586" t="inlineStr">
      <is>
        <t>inprogress</t>
      </is>
    </nc>
  </rcc>
  <rcc rId="268" sId="1">
    <nc r="E587" t="inlineStr">
      <is>
        <t>inprogress</t>
      </is>
    </nc>
  </rcc>
  <rcc rId="269" sId="1" numFmtId="19">
    <nc r="I586">
      <v>44769</v>
    </nc>
  </rcc>
  <rcc rId="270" sId="1" numFmtId="19">
    <nc r="I587">
      <v>44769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" sId="1">
    <oc r="E1277" t="inlineStr">
      <is>
        <t>inprogress</t>
      </is>
    </oc>
    <nc r="E1277" t="inlineStr">
      <is>
        <t>inventory block</t>
      </is>
    </nc>
  </rcc>
  <rcc rId="272" sId="1">
    <oc r="E1305" t="inlineStr">
      <is>
        <t>inprogress</t>
      </is>
    </oc>
    <nc r="E1305" t="inlineStr">
      <is>
        <t>inventory block</t>
      </is>
    </nc>
  </rcc>
  <rcc rId="273" sId="1">
    <oc r="J1352" t="inlineStr">
      <is>
        <t>Automatable</t>
      </is>
    </oc>
    <nc r="J1352" t="inlineStr">
      <is>
        <t xml:space="preserve">Automatable could not able to collect the log </t>
      </is>
    </nc>
  </rcc>
  <rcc rId="274" sId="1">
    <oc r="J1353" t="inlineStr">
      <is>
        <t>Automatable</t>
      </is>
    </oc>
    <nc r="J1353" t="inlineStr">
      <is>
        <t xml:space="preserve">Automatable could not able to collect the log </t>
      </is>
    </nc>
  </rcc>
  <rcc rId="275" sId="1">
    <oc r="E1413" t="inlineStr">
      <is>
        <t>inprogress</t>
      </is>
    </oc>
    <nc r="E1413" t="inlineStr">
      <is>
        <t>passed</t>
      </is>
    </nc>
  </rcc>
  <rcv guid="{F026DC35-567C-43B3-A484-39806B390DEE}" action="delete"/>
  <rdn rId="0" localSheetId="1" customView="1" name="Z_F026DC35_567C_43B3_A484_39806B390DEE_.wvu.FilterData" hidden="1" oldHidden="1">
    <formula>Sheet1!$A$1:$P$2136</formula>
    <oldFormula>Sheet1!$A$1:$P$2136</oldFormula>
  </rdn>
  <rcv guid="{F026DC35-567C-43B3-A484-39806B390DEE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79499D2-10B9-47D6-B43F-ECE40F57D846}" action="delete"/>
  <rdn rId="0" localSheetId="1" customView="1" name="Z_079499D2_10B9_47D6_B43F_ECE40F57D846_.wvu.FilterData" hidden="1" oldHidden="1">
    <formula>Sheet1!$A$1:$M$2136</formula>
    <oldFormula>Sheet1!$A$1:$M$2136</oldFormula>
  </rdn>
  <rcv guid="{079499D2-10B9-47D6-B43F-ECE40F57D846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1">
    <oc r="E258" t="inlineStr">
      <is>
        <t>Inprogress</t>
      </is>
    </oc>
    <nc r="E258" t="inlineStr">
      <is>
        <t>Passed</t>
      </is>
    </nc>
  </rcc>
  <rcc rId="279" sId="1">
    <oc r="F258" t="inlineStr">
      <is>
        <t>CLID-8711</t>
      </is>
    </oc>
    <nc r="F258"/>
  </rcc>
  <rcc rId="280" sId="1" numFmtId="19">
    <oc r="I258">
      <v>44768</v>
    </oc>
    <nc r="I258">
      <v>44769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1" xfDxf="1" dxf="1">
    <oc r="F264" t="inlineStr">
      <is>
        <t>CLID-8711</t>
      </is>
    </oc>
    <nc r="F264" t="inlineStr">
      <is>
        <t>CLID- 8927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1">
    <oc r="E305" t="inlineStr">
      <is>
        <t>Clarification Blocl</t>
      </is>
    </oc>
    <nc r="E305" t="inlineStr">
      <is>
        <t>Inprogress Clarification Blocl</t>
      </is>
    </nc>
  </rcc>
  <rcc rId="283" sId="1">
    <oc r="E463" t="inlineStr">
      <is>
        <t>Clarification Blocl</t>
      </is>
    </oc>
    <nc r="E463" t="inlineStr">
      <is>
        <t>Inprogress Clarification Blocl</t>
      </is>
    </nc>
  </rcc>
  <rcc rId="284" sId="1">
    <nc r="H305" t="inlineStr">
      <is>
        <t>Manasa</t>
      </is>
    </nc>
  </rcc>
  <rcc rId="285" sId="1">
    <oc r="E698" t="inlineStr">
      <is>
        <t>Clarification Blocl</t>
      </is>
    </oc>
    <nc r="E698" t="inlineStr">
      <is>
        <t xml:space="preserve"> inprogressClarification Blocl</t>
      </is>
    </nc>
  </rcc>
  <rcc rId="286" sId="1">
    <oc r="E785" t="inlineStr">
      <is>
        <t>Clarification Blocl</t>
      </is>
    </oc>
    <nc r="E785" t="inlineStr">
      <is>
        <t xml:space="preserve"> inprogressClarification Blocl</t>
      </is>
    </nc>
  </rcc>
  <rcc rId="287" sId="1">
    <nc r="H463" t="inlineStr">
      <is>
        <t>Manasa</t>
      </is>
    </nc>
  </rcc>
  <rcc rId="288" sId="1">
    <nc r="H698" t="inlineStr">
      <is>
        <t>Swetha</t>
      </is>
    </nc>
  </rcc>
  <rcc rId="289" sId="1">
    <nc r="H785" t="inlineStr">
      <is>
        <t>Swetha</t>
      </is>
    </nc>
  </rcc>
  <rfmt sheetId="1" sqref="H7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v guid="{E898421F-68B8-4202-A540-E41CCE66AB2A}" action="delete"/>
  <rdn rId="0" localSheetId="1" customView="1" name="Z_E898421F_68B8_4202_A540_E41CCE66AB2A_.wvu.FilterData" hidden="1" oldHidden="1">
    <formula>Sheet1!$A$1:$P$2136</formula>
    <oldFormula>Sheet1!$A$1:$M$2136</oldFormula>
  </rdn>
  <rcv guid="{E898421F-68B8-4202-A540-E41CCE66AB2A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0">
  <userInfo guid="{CAB58893-BC5B-4CF1-8B6D-63BB0F482FD3}" name="Rajanna, ManasaX" id="-1140688536" dateTime="2022-07-25T11:56:25"/>
  <userInfo guid="{0F841D76-0FCD-4907-B007-80E500BDC122}" name="Rathod, AmbikaX" id="-18882999" dateTime="2022-07-25T11:56:56"/>
  <userInfo guid="{754D0F26-3167-4BC8-84E9-BB0C227ECABB}" name="Sha, MuhammedX C S" id="-942368000" dateTime="2022-07-26T10:17:49"/>
  <userInfo guid="{C29A44A3-10F3-4EB1-A1B0-9AFFC8690095}" name="Pm, KalyaniX" id="-1608716430" dateTime="2022-07-26T10:18:35"/>
  <userInfo guid="{1EED6E72-1CD0-4000-BD54-29017E044C82}" name="Deivasigamani, SwethaX" id="-1971397998" dateTime="2022-07-26T10:26:10"/>
  <userInfo guid="{060ED9E0-BC4C-438C-8977-B36397C97AB2}" name="Fakurthin, VaahithX" id="-292369425" dateTime="2022-07-26T14:38:57"/>
  <userInfo guid="{95639514-0553-4663-BF7F-65C33DBEFB8E}" name="Kumar, Vasanth1X" id="-276792507" dateTime="2022-07-27T10:29:22"/>
  <userInfo guid="{47F88093-F859-43D3-B44D-3FDE2D8B604B}" name="Kumar, Vasanth1X" id="-276773585" dateTime="2022-07-27T15:11:03"/>
  <userInfo guid="{86E341CD-770C-402B-A530-6D3E45F2C963}" name="Sha, MuhammedX C S" id="-942389825" dateTime="2022-07-28T11:27:15"/>
  <userInfo guid="{4E4D8392-C419-4E6E-BAC0-EEDC5735A72F}" name="Deivasigamani, SwethaX" id="-1971424721" dateTime="2022-07-28T15:39:06"/>
  <userInfo guid="{00ADD35A-E267-44D4-9061-3420B7571D69}" name="Kumar, Vasanth1X" id="-276795826" dateTime="2022-08-02T17:52:40"/>
  <userInfo guid="{A7E02EFF-A978-4AF1-B4B0-F9BAC4FC5B84}" name="Rajanna, ManasaX" id="-1140680648" dateTime="2022-08-10T14:33:29"/>
  <userInfo guid="{A7E02EFF-A978-4AF1-B4B0-F9BAC4FC5B84}" name="Rathod, AmbikaX" id="-18891440" dateTime="2022-08-10T14:55:15"/>
  <userInfo guid="{A7E02EFF-A978-4AF1-B4B0-F9BAC4FC5B84}" name="Rathod, AmbikaX" id="-18929803" dateTime="2022-08-10T15:04:21"/>
  <userInfo guid="{A7E02EFF-A978-4AF1-B4B0-F9BAC4FC5B84}" name="Rajanna, ManasaX" id="-1140696858" dateTime="2022-08-10T15:35:37"/>
  <userInfo guid="{A7E02EFF-A978-4AF1-B4B0-F9BAC4FC5B84}" name="Anil Kariyil, AnjuX" id="-1482351588" dateTime="2022-08-10T18:10:29"/>
  <userInfo guid="{A7E02EFF-A978-4AF1-B4B0-F9BAC4FC5B84}" name="Rajanna, ManasaX" id="-1140669336" dateTime="2022-08-11T14:26:04"/>
  <userInfo guid="{E72F8BB5-6F59-4BA0-976E-DB6FB439B3F4}" name="Deivasigamani, SwethaX" id="-1971443286" dateTime="2022-08-11T15:37:38"/>
  <userInfo guid="{E72F8BB5-6F59-4BA0-976E-DB6FB439B3F4}" name="Deivasigamani, SwethaX" id="-1971409717" dateTime="2022-08-12T14:29:41"/>
  <userInfo guid="{E72F8BB5-6F59-4BA0-976E-DB6FB439B3F4}" name="Rathod, AmbikaX" id="-18929703" dateTime="2022-08-16T11:47:49"/>
  <userInfo guid="{E72F8BB5-6F59-4BA0-976E-DB6FB439B3F4}" name="Sha, MuhammedX C S" id="-942382604" dateTime="2022-08-16T17:26:20"/>
  <userInfo guid="{E72F8BB5-6F59-4BA0-976E-DB6FB439B3F4}" name="Tamilarasan, PrasanthX" id="-377736388" dateTime="2022-08-17T10:13:28"/>
  <userInfo guid="{7E8DC5EA-8BD5-4843-8EA5-5B3F41BDE289}" name="Sha, MuhammedX C S" id="-942397457" dateTime="2022-08-17T12:23:46"/>
  <userInfo guid="{E72F8BB5-6F59-4BA0-976E-DB6FB439B3F4}" name="Hussain, MohammedX" id="-1459275981" dateTime="2022-08-17T12:53:57"/>
  <userInfo guid="{E72F8BB5-6F59-4BA0-976E-DB6FB439B3F4}" name="Anil Kariyil, AnjuX" id="-1482304964" dateTime="2022-08-17T14:04:19"/>
  <userInfo guid="{7E8DC5EA-8BD5-4843-8EA5-5B3F41BDE289}" name="Tamilarasan, PrasanthX" id="-377749008" dateTime="2022-08-18T10:30:18"/>
  <userInfo guid="{7E8DC5EA-8BD5-4843-8EA5-5B3F41BDE289}" name="Deivasigamani, SwethaX" id="-1971439793" dateTime="2022-08-18T12:29:53"/>
  <userInfo guid="{7E8DC5EA-8BD5-4843-8EA5-5B3F41BDE289}" name="Sha, MuhammedX C S" id="-942380968" dateTime="2022-08-18T12:44:14"/>
  <userInfo guid="{7E8DC5EA-8BD5-4843-8EA5-5B3F41BDE289}" name="Kumar, Vasanth1X" id="-276767120" dateTime="2022-08-18T12:45:49"/>
  <userInfo guid="{7E8DC5EA-8BD5-4843-8EA5-5B3F41BDE289}" name="Deivasigamani, SwethaX" id="-1971436434" dateTime="2022-08-18T12:48:15"/>
  <userInfo guid="{7E8DC5EA-8BD5-4843-8EA5-5B3F41BDE289}" name="Tamilarasan, PrasanthX" id="-377742604" dateTime="2022-08-18T14:24:29"/>
  <userInfo guid="{7E8DC5EA-8BD5-4843-8EA5-5B3F41BDE289}" name="Deivasigamani, SwethaX" id="-1971415845" dateTime="2022-08-18T18:08:19"/>
  <userInfo guid="{7E8DC5EA-8BD5-4843-8EA5-5B3F41BDE289}" name="Sha, MuhammedX C S" id="-942351545" dateTime="2022-08-19T10:53:15"/>
  <userInfo guid="{7E8DC5EA-8BD5-4843-8EA5-5B3F41BDE289}" name="Tamilarasan, PrasanthX" id="-377740834" dateTime="2022-08-19T11:12:25"/>
  <userInfo guid="{F3A19DBE-740D-41F7-AB7F-5FF62C07FD1C}" name="Tamilarasan, PrasanthX" id="-377692180" dateTime="2022-08-24T11:52:37"/>
  <userInfo guid="{F3A19DBE-740D-41F7-AB7F-5FF62C07FD1C}" name="Deivasigamani, SwethaX" id="-1971442922" dateTime="2022-08-24T18:16:31"/>
  <userInfo guid="{FECE7E92-227D-4D22-914B-5C37D55E4619}" name="Rathod, AmbikaX" id="-18933580" dateTime="2022-08-26T10:43:55"/>
  <userInfo guid="{506102DE-4D82-4C03-A91D-214C8925CD7A}" name="Kumar, Vasanth1X" id="-276802177" dateTime="2022-08-29T15:07:14"/>
  <userInfo guid="{506102DE-4D82-4C03-A91D-214C8925CD7A}" name="Rajanna, ManasaX" id="-1140676883" dateTime="2022-09-23T15:01:18"/>
  <userInfo guid="{506102DE-4D82-4C03-A91D-214C8925CD7A}" name="Rathod, AmbikaX" id="-18910092" dateTime="2022-09-26T14:40:1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resource/140131767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s://hsdes.intel.com/appstore/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DEB3-A31D-4AED-A423-167B5FAABD4F}">
  <dimension ref="A1:P2147"/>
  <sheetViews>
    <sheetView tabSelected="1" topLeftCell="A1695" zoomScale="80" zoomScaleNormal="100" workbookViewId="0">
      <selection activeCell="B1714" sqref="B1714"/>
    </sheetView>
  </sheetViews>
  <sheetFormatPr defaultRowHeight="14.4" x14ac:dyDescent="0.3"/>
  <cols>
    <col min="1" max="1" width="13.44140625" bestFit="1" customWidth="1"/>
    <col min="2" max="2" width="106" bestFit="1" customWidth="1"/>
    <col min="3" max="3" width="11" customWidth="1"/>
    <col min="4" max="4" width="17.109375" bestFit="1" customWidth="1"/>
    <col min="5" max="5" width="28.44140625" customWidth="1"/>
    <col min="6" max="6" width="30.109375" customWidth="1"/>
    <col min="9" max="9" width="9.5546875" bestFit="1" customWidth="1"/>
    <col min="10" max="10" width="22" bestFit="1" customWidth="1"/>
    <col min="11" max="11" width="30.44140625" customWidth="1"/>
    <col min="12" max="12" width="52.77734375" customWidth="1"/>
  </cols>
  <sheetData>
    <row r="1" spans="1:13" x14ac:dyDescent="0.3">
      <c r="A1" s="1" t="s">
        <v>3647</v>
      </c>
      <c r="B1" s="1" t="s">
        <v>3648</v>
      </c>
      <c r="C1" s="1" t="s">
        <v>0</v>
      </c>
      <c r="D1" s="1" t="s">
        <v>1</v>
      </c>
      <c r="E1" s="1" t="s">
        <v>3649</v>
      </c>
      <c r="F1" s="1" t="s">
        <v>2</v>
      </c>
      <c r="G1" s="1" t="s">
        <v>3608</v>
      </c>
      <c r="H1" s="1"/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3">
      <c r="A2" s="2" t="str">
        <f>HYPERLINK("https://hsdes.intel.com/resource/14013114989","14013114989")</f>
        <v>14013114989</v>
      </c>
      <c r="B2" s="2" t="s">
        <v>8</v>
      </c>
      <c r="C2" s="2" t="s">
        <v>9</v>
      </c>
      <c r="D2" s="2" t="s">
        <v>10</v>
      </c>
      <c r="E2" s="2" t="s">
        <v>11</v>
      </c>
      <c r="F2" s="2"/>
      <c r="G2" s="2" t="s">
        <v>12</v>
      </c>
      <c r="H2" s="2"/>
      <c r="I2" s="3">
        <v>44755</v>
      </c>
      <c r="J2" s="2" t="s">
        <v>13</v>
      </c>
      <c r="K2" s="2" t="s">
        <v>14</v>
      </c>
      <c r="L2" s="2" t="s">
        <v>15</v>
      </c>
      <c r="M2" s="2" t="s">
        <v>16</v>
      </c>
    </row>
    <row r="3" spans="1:13" x14ac:dyDescent="0.3">
      <c r="A3" s="2" t="str">
        <f>HYPERLINK("https://hsdes.intel.com/resource/14013115011","14013115011")</f>
        <v>14013115011</v>
      </c>
      <c r="B3" s="2" t="s">
        <v>17</v>
      </c>
      <c r="C3" s="2" t="s">
        <v>9</v>
      </c>
      <c r="D3" s="2" t="s">
        <v>18</v>
      </c>
      <c r="E3" s="2" t="s">
        <v>11</v>
      </c>
      <c r="F3" s="2"/>
      <c r="G3" s="2" t="s">
        <v>12</v>
      </c>
      <c r="H3" s="2"/>
      <c r="I3" s="3">
        <v>44755</v>
      </c>
      <c r="J3" s="2" t="s">
        <v>13</v>
      </c>
      <c r="K3" s="2" t="s">
        <v>19</v>
      </c>
      <c r="L3" s="2" t="s">
        <v>20</v>
      </c>
      <c r="M3" s="2" t="s">
        <v>21</v>
      </c>
    </row>
    <row r="4" spans="1:13" x14ac:dyDescent="0.3">
      <c r="A4" s="2" t="str">
        <f>HYPERLINK("https://hsdes.intel.com/resource/14013115043","14013115043")</f>
        <v>14013115043</v>
      </c>
      <c r="B4" s="2" t="s">
        <v>22</v>
      </c>
      <c r="C4" s="2" t="s">
        <v>9</v>
      </c>
      <c r="D4" s="2" t="s">
        <v>23</v>
      </c>
      <c r="E4" s="2" t="s">
        <v>11</v>
      </c>
      <c r="F4" s="2"/>
      <c r="G4" s="2" t="s">
        <v>12</v>
      </c>
      <c r="H4" s="2"/>
      <c r="I4" s="3">
        <v>44755</v>
      </c>
      <c r="J4" s="2" t="s">
        <v>13</v>
      </c>
      <c r="K4" s="2" t="s">
        <v>14</v>
      </c>
      <c r="L4" s="2" t="s">
        <v>15</v>
      </c>
      <c r="M4" s="2" t="s">
        <v>24</v>
      </c>
    </row>
    <row r="5" spans="1:13" x14ac:dyDescent="0.3">
      <c r="A5" s="2" t="str">
        <f>HYPERLINK("https://hsdes.intel.com/resource/14013119063","14013119063")</f>
        <v>14013119063</v>
      </c>
      <c r="B5" s="2" t="s">
        <v>25</v>
      </c>
      <c r="C5" s="2" t="s">
        <v>9</v>
      </c>
      <c r="D5" s="2" t="s">
        <v>26</v>
      </c>
      <c r="E5" s="2" t="s">
        <v>11</v>
      </c>
      <c r="F5" s="2"/>
      <c r="G5" s="2" t="s">
        <v>27</v>
      </c>
      <c r="H5" s="2"/>
      <c r="I5" s="4">
        <v>44755</v>
      </c>
      <c r="J5" s="2" t="s">
        <v>13</v>
      </c>
      <c r="K5" s="2" t="s">
        <v>28</v>
      </c>
      <c r="L5" s="2" t="s">
        <v>29</v>
      </c>
      <c r="M5" s="2" t="s">
        <v>16</v>
      </c>
    </row>
    <row r="6" spans="1:13" x14ac:dyDescent="0.3">
      <c r="A6" s="2" t="str">
        <f>HYPERLINK("https://hsdes.intel.com/resource/14013119215","14013119215")</f>
        <v>14013119215</v>
      </c>
      <c r="B6" s="2" t="s">
        <v>30</v>
      </c>
      <c r="C6" s="2" t="s">
        <v>9</v>
      </c>
      <c r="D6" s="2" t="s">
        <v>31</v>
      </c>
      <c r="E6" s="2" t="s">
        <v>1991</v>
      </c>
      <c r="F6" s="48" t="s">
        <v>3645</v>
      </c>
      <c r="G6" s="2" t="s">
        <v>3607</v>
      </c>
      <c r="H6" s="2" t="s">
        <v>3607</v>
      </c>
      <c r="I6" s="2"/>
      <c r="J6" s="2" t="s">
        <v>13</v>
      </c>
      <c r="K6" s="2" t="s">
        <v>33</v>
      </c>
      <c r="L6" s="2" t="s">
        <v>34</v>
      </c>
      <c r="M6" s="2" t="s">
        <v>16</v>
      </c>
    </row>
    <row r="7" spans="1:13" x14ac:dyDescent="0.3">
      <c r="A7" s="2" t="str">
        <f>HYPERLINK("https://hsdes.intel.com/resource/14013158232","14013158232")</f>
        <v>14013158232</v>
      </c>
      <c r="B7" s="2" t="s">
        <v>35</v>
      </c>
      <c r="C7" s="2" t="s">
        <v>9</v>
      </c>
      <c r="D7" s="2" t="s">
        <v>36</v>
      </c>
      <c r="E7" s="2" t="s">
        <v>37</v>
      </c>
      <c r="F7" s="2"/>
      <c r="G7" s="2" t="s">
        <v>12</v>
      </c>
      <c r="H7" s="2"/>
      <c r="I7" s="2"/>
      <c r="J7" s="2" t="s">
        <v>13</v>
      </c>
      <c r="K7" s="2" t="s">
        <v>33</v>
      </c>
      <c r="L7" s="2" t="s">
        <v>29</v>
      </c>
      <c r="M7" s="2" t="s">
        <v>16</v>
      </c>
    </row>
    <row r="8" spans="1:13" x14ac:dyDescent="0.3">
      <c r="A8" s="2" t="str">
        <f>HYPERLINK("https://hsdes.intel.com/resource/14013158240","14013158240")</f>
        <v>14013158240</v>
      </c>
      <c r="B8" s="2" t="s">
        <v>38</v>
      </c>
      <c r="C8" s="2" t="s">
        <v>9</v>
      </c>
      <c r="D8" s="2" t="s">
        <v>39</v>
      </c>
      <c r="E8" s="2" t="s">
        <v>37</v>
      </c>
      <c r="F8" s="2"/>
      <c r="G8" s="2" t="s">
        <v>12</v>
      </c>
      <c r="H8" s="2"/>
      <c r="I8" s="2"/>
      <c r="J8" s="2" t="s">
        <v>13</v>
      </c>
      <c r="K8" s="2" t="s">
        <v>33</v>
      </c>
      <c r="L8" s="2" t="s">
        <v>29</v>
      </c>
      <c r="M8" s="2" t="s">
        <v>16</v>
      </c>
    </row>
    <row r="9" spans="1:13" x14ac:dyDescent="0.3">
      <c r="A9" s="2" t="str">
        <f>HYPERLINK("https://hsdes.intel.com/resource/14013158295","14013158295")</f>
        <v>14013158295</v>
      </c>
      <c r="B9" s="2" t="s">
        <v>40</v>
      </c>
      <c r="C9" s="2" t="s">
        <v>9</v>
      </c>
      <c r="D9" s="2" t="s">
        <v>41</v>
      </c>
      <c r="E9" s="2" t="s">
        <v>11</v>
      </c>
      <c r="F9" s="2"/>
      <c r="G9" s="2" t="s">
        <v>27</v>
      </c>
      <c r="H9" s="2"/>
      <c r="I9" s="4">
        <v>44756</v>
      </c>
      <c r="J9" s="2" t="s">
        <v>13</v>
      </c>
      <c r="K9" s="2" t="s">
        <v>42</v>
      </c>
      <c r="L9" s="2" t="s">
        <v>15</v>
      </c>
      <c r="M9" s="2" t="s">
        <v>21</v>
      </c>
    </row>
    <row r="10" spans="1:13" x14ac:dyDescent="0.3">
      <c r="A10" s="2" t="str">
        <f>HYPERLINK("https://hsdes.intel.com/resource/14013158397","14013158397")</f>
        <v>14013158397</v>
      </c>
      <c r="B10" s="2" t="s">
        <v>43</v>
      </c>
      <c r="C10" s="2" t="s">
        <v>9</v>
      </c>
      <c r="D10" s="2" t="s">
        <v>44</v>
      </c>
      <c r="E10" s="2" t="s">
        <v>11</v>
      </c>
      <c r="F10" s="2"/>
      <c r="G10" s="2" t="s">
        <v>27</v>
      </c>
      <c r="H10" s="2"/>
      <c r="I10" s="3">
        <v>44755</v>
      </c>
      <c r="J10" s="2" t="s">
        <v>13</v>
      </c>
      <c r="K10" s="2" t="s">
        <v>45</v>
      </c>
      <c r="L10" s="2" t="s">
        <v>15</v>
      </c>
      <c r="M10" s="2" t="s">
        <v>16</v>
      </c>
    </row>
    <row r="11" spans="1:13" x14ac:dyDescent="0.3">
      <c r="A11" s="2" t="str">
        <f>HYPERLINK("https://hsdes.intel.com/resource/14013158827","14013158827")</f>
        <v>14013158827</v>
      </c>
      <c r="B11" s="2" t="s">
        <v>46</v>
      </c>
      <c r="C11" s="2" t="s">
        <v>9</v>
      </c>
      <c r="D11" s="2" t="s">
        <v>47</v>
      </c>
      <c r="E11" s="2" t="s">
        <v>11</v>
      </c>
      <c r="F11" s="2"/>
      <c r="G11" s="2" t="s">
        <v>27</v>
      </c>
      <c r="H11" s="2"/>
      <c r="I11" s="4">
        <v>44756</v>
      </c>
      <c r="J11" s="2" t="s">
        <v>13</v>
      </c>
      <c r="K11" s="2" t="s">
        <v>19</v>
      </c>
      <c r="L11" s="2" t="s">
        <v>20</v>
      </c>
      <c r="M11" s="2" t="s">
        <v>21</v>
      </c>
    </row>
    <row r="12" spans="1:13" x14ac:dyDescent="0.3">
      <c r="A12" s="2" t="str">
        <f>HYPERLINK("https://hsdes.intel.com/resource/14013158828","14013158828")</f>
        <v>14013158828</v>
      </c>
      <c r="B12" s="2" t="s">
        <v>48</v>
      </c>
      <c r="C12" s="2" t="s">
        <v>9</v>
      </c>
      <c r="D12" s="2" t="s">
        <v>49</v>
      </c>
      <c r="E12" s="2" t="s">
        <v>11</v>
      </c>
      <c r="F12" s="2"/>
      <c r="G12" s="2" t="s">
        <v>27</v>
      </c>
      <c r="H12" s="2"/>
      <c r="I12" s="3">
        <v>44755</v>
      </c>
      <c r="J12" s="2" t="s">
        <v>13</v>
      </c>
      <c r="K12" s="2" t="s">
        <v>19</v>
      </c>
      <c r="L12" s="2" t="s">
        <v>20</v>
      </c>
      <c r="M12" s="2" t="s">
        <v>21</v>
      </c>
    </row>
    <row r="13" spans="1:13" x14ac:dyDescent="0.3">
      <c r="A13" s="2" t="str">
        <f>HYPERLINK("https://hsdes.intel.com/resource/14013158830","14013158830")</f>
        <v>14013158830</v>
      </c>
      <c r="B13" s="2" t="s">
        <v>50</v>
      </c>
      <c r="C13" s="2" t="s">
        <v>9</v>
      </c>
      <c r="D13" s="2" t="s">
        <v>51</v>
      </c>
      <c r="E13" s="2" t="s">
        <v>11</v>
      </c>
      <c r="F13" s="2"/>
      <c r="G13" s="2" t="s">
        <v>27</v>
      </c>
      <c r="H13" s="2"/>
      <c r="I13" s="3">
        <v>44755</v>
      </c>
      <c r="J13" s="2" t="s">
        <v>13</v>
      </c>
      <c r="K13" s="2" t="s">
        <v>19</v>
      </c>
      <c r="L13" s="2" t="s">
        <v>20</v>
      </c>
      <c r="M13" s="2" t="s">
        <v>21</v>
      </c>
    </row>
    <row r="14" spans="1:13" x14ac:dyDescent="0.3">
      <c r="A14" s="2" t="str">
        <f>HYPERLINK("https://hsdes.intel.com/resource/14013158971","14013158971")</f>
        <v>14013158971</v>
      </c>
      <c r="B14" s="2" t="s">
        <v>52</v>
      </c>
      <c r="C14" s="2" t="s">
        <v>9</v>
      </c>
      <c r="D14" s="2" t="s">
        <v>53</v>
      </c>
      <c r="E14" s="2" t="s">
        <v>1991</v>
      </c>
      <c r="F14" s="48" t="s">
        <v>3645</v>
      </c>
      <c r="G14" s="2"/>
      <c r="H14" s="2" t="s">
        <v>3607</v>
      </c>
      <c r="I14" s="2"/>
      <c r="J14" s="2" t="s">
        <v>13</v>
      </c>
      <c r="K14" s="2" t="s">
        <v>33</v>
      </c>
      <c r="L14" s="2" t="s">
        <v>34</v>
      </c>
      <c r="M14" s="2" t="s">
        <v>16</v>
      </c>
    </row>
    <row r="15" spans="1:13" x14ac:dyDescent="0.3">
      <c r="A15" s="2" t="str">
        <f>HYPERLINK("https://hsdes.intel.com/resource/14013159097","14013159097")</f>
        <v>14013159097</v>
      </c>
      <c r="B15" s="2" t="s">
        <v>54</v>
      </c>
      <c r="C15" s="2" t="s">
        <v>9</v>
      </c>
      <c r="D15" s="2" t="s">
        <v>55</v>
      </c>
      <c r="E15" s="2" t="s">
        <v>11</v>
      </c>
      <c r="F15" s="2"/>
      <c r="G15" s="2" t="s">
        <v>12</v>
      </c>
      <c r="H15" s="2"/>
      <c r="I15" s="3">
        <v>44755</v>
      </c>
      <c r="J15" s="2" t="s">
        <v>13</v>
      </c>
      <c r="K15" s="2" t="s">
        <v>19</v>
      </c>
      <c r="L15" s="2" t="s">
        <v>20</v>
      </c>
      <c r="M15" s="2" t="s">
        <v>24</v>
      </c>
    </row>
    <row r="16" spans="1:13" x14ac:dyDescent="0.3">
      <c r="A16" s="2" t="str">
        <f>HYPERLINK("https://hsdes.intel.com/resource/14013159119","14013159119")</f>
        <v>14013159119</v>
      </c>
      <c r="B16" s="2" t="s">
        <v>56</v>
      </c>
      <c r="C16" s="2" t="s">
        <v>9</v>
      </c>
      <c r="D16" s="2" t="s">
        <v>57</v>
      </c>
      <c r="E16" s="2" t="s">
        <v>11</v>
      </c>
      <c r="F16" s="2"/>
      <c r="G16" s="2" t="s">
        <v>12</v>
      </c>
      <c r="H16" s="2"/>
      <c r="I16" s="3">
        <v>44755</v>
      </c>
      <c r="J16" s="2" t="s">
        <v>13</v>
      </c>
      <c r="K16" s="2" t="s">
        <v>19</v>
      </c>
      <c r="L16" s="2" t="s">
        <v>20</v>
      </c>
      <c r="M16" s="2" t="s">
        <v>21</v>
      </c>
    </row>
    <row r="17" spans="1:13" x14ac:dyDescent="0.3">
      <c r="A17" s="2" t="str">
        <f>HYPERLINK("https://hsdes.intel.com/resource/14013159201","14013159201")</f>
        <v>14013159201</v>
      </c>
      <c r="B17" s="2" t="s">
        <v>58</v>
      </c>
      <c r="C17" s="2" t="s">
        <v>9</v>
      </c>
      <c r="D17" s="2" t="s">
        <v>59</v>
      </c>
      <c r="E17" s="2" t="s">
        <v>11</v>
      </c>
      <c r="F17" s="2"/>
      <c r="G17" s="2" t="s">
        <v>12</v>
      </c>
      <c r="H17" s="2"/>
      <c r="I17" s="3">
        <v>44755</v>
      </c>
      <c r="J17" s="2" t="s">
        <v>13</v>
      </c>
      <c r="K17" s="2" t="s">
        <v>19</v>
      </c>
      <c r="L17" s="2" t="s">
        <v>20</v>
      </c>
      <c r="M17" s="2" t="s">
        <v>24</v>
      </c>
    </row>
    <row r="18" spans="1:13" x14ac:dyDescent="0.3">
      <c r="A18" s="2" t="str">
        <f>HYPERLINK("https://hsdes.intel.com/resource/14013159224","14013159224")</f>
        <v>14013159224</v>
      </c>
      <c r="B18" s="2" t="s">
        <v>60</v>
      </c>
      <c r="C18" s="2" t="s">
        <v>9</v>
      </c>
      <c r="D18" s="2" t="s">
        <v>61</v>
      </c>
      <c r="E18" s="2" t="s">
        <v>11</v>
      </c>
      <c r="F18" s="2"/>
      <c r="G18" s="2" t="s">
        <v>12</v>
      </c>
      <c r="H18" s="2"/>
      <c r="I18" s="3">
        <v>44755</v>
      </c>
      <c r="J18" s="2" t="s">
        <v>13</v>
      </c>
      <c r="K18" s="2" t="s">
        <v>19</v>
      </c>
      <c r="L18" s="2" t="s">
        <v>20</v>
      </c>
      <c r="M18" s="2" t="s">
        <v>24</v>
      </c>
    </row>
    <row r="19" spans="1:13" x14ac:dyDescent="0.3">
      <c r="A19" s="5" t="str">
        <f>HYPERLINK("https://hsdes.intel.com/resource/14013159287","14013159287")</f>
        <v>14013159287</v>
      </c>
      <c r="B19" s="2" t="s">
        <v>62</v>
      </c>
      <c r="C19" s="2" t="s">
        <v>9</v>
      </c>
      <c r="D19" s="2" t="s">
        <v>63</v>
      </c>
      <c r="E19" s="2" t="s">
        <v>11</v>
      </c>
      <c r="F19" s="2"/>
      <c r="G19" s="2" t="s">
        <v>27</v>
      </c>
      <c r="H19" s="2"/>
      <c r="I19" s="4">
        <v>44756</v>
      </c>
      <c r="J19" s="2" t="s">
        <v>13</v>
      </c>
      <c r="K19" s="2" t="s">
        <v>19</v>
      </c>
      <c r="L19" s="2" t="s">
        <v>20</v>
      </c>
      <c r="M19" s="2" t="s">
        <v>24</v>
      </c>
    </row>
    <row r="20" spans="1:13" x14ac:dyDescent="0.3">
      <c r="A20" s="2" t="str">
        <f>HYPERLINK("https://hsdes.intel.com/resource/14013160246","14013160246")</f>
        <v>14013160246</v>
      </c>
      <c r="B20" s="2" t="s">
        <v>64</v>
      </c>
      <c r="C20" s="2" t="s">
        <v>9</v>
      </c>
      <c r="D20" s="2" t="s">
        <v>65</v>
      </c>
      <c r="E20" s="2" t="s">
        <v>11</v>
      </c>
      <c r="F20" s="6" t="s">
        <v>66</v>
      </c>
      <c r="G20" s="2" t="s">
        <v>12</v>
      </c>
      <c r="H20" s="2"/>
      <c r="I20" s="3">
        <v>44760</v>
      </c>
      <c r="J20" s="2" t="s">
        <v>13</v>
      </c>
      <c r="K20" s="2" t="s">
        <v>67</v>
      </c>
      <c r="L20" s="2" t="s">
        <v>68</v>
      </c>
      <c r="M20" s="2" t="s">
        <v>24</v>
      </c>
    </row>
    <row r="21" spans="1:13" x14ac:dyDescent="0.3">
      <c r="A21" s="2" t="str">
        <f>HYPERLINK("https://hsdes.intel.com/resource/14013160507","14013160507")</f>
        <v>14013160507</v>
      </c>
      <c r="B21" s="2" t="s">
        <v>69</v>
      </c>
      <c r="C21" s="2" t="s">
        <v>9</v>
      </c>
      <c r="D21" s="2" t="s">
        <v>70</v>
      </c>
      <c r="E21" s="2" t="s">
        <v>11</v>
      </c>
      <c r="F21" s="2"/>
      <c r="G21" s="2" t="s">
        <v>12</v>
      </c>
      <c r="H21" s="2"/>
      <c r="I21" s="3">
        <v>44755</v>
      </c>
      <c r="J21" s="2" t="s">
        <v>13</v>
      </c>
      <c r="K21" s="2" t="s">
        <v>71</v>
      </c>
      <c r="L21" s="2" t="s">
        <v>34</v>
      </c>
      <c r="M21" s="2" t="s">
        <v>16</v>
      </c>
    </row>
    <row r="22" spans="1:13" x14ac:dyDescent="0.3">
      <c r="A22" s="2" t="str">
        <f>HYPERLINK("https://hsdes.intel.com/resource/14013160511","14013160511")</f>
        <v>14013160511</v>
      </c>
      <c r="B22" s="2" t="s">
        <v>72</v>
      </c>
      <c r="C22" s="2" t="s">
        <v>9</v>
      </c>
      <c r="D22" s="2" t="s">
        <v>73</v>
      </c>
      <c r="E22" s="2" t="s">
        <v>11</v>
      </c>
      <c r="F22" s="2"/>
      <c r="G22" s="2" t="s">
        <v>12</v>
      </c>
      <c r="H22" s="2"/>
      <c r="I22" s="3">
        <v>44755</v>
      </c>
      <c r="J22" s="2" t="s">
        <v>13</v>
      </c>
      <c r="K22" s="2" t="s">
        <v>71</v>
      </c>
      <c r="L22" s="2" t="s">
        <v>34</v>
      </c>
      <c r="M22" s="2" t="s">
        <v>16</v>
      </c>
    </row>
    <row r="23" spans="1:13" x14ac:dyDescent="0.3">
      <c r="A23" s="2" t="str">
        <f>HYPERLINK("https://hsdes.intel.com/resource/14013160517","14013160517")</f>
        <v>14013160517</v>
      </c>
      <c r="B23" s="2" t="s">
        <v>74</v>
      </c>
      <c r="C23" s="2" t="s">
        <v>9</v>
      </c>
      <c r="D23" s="2" t="s">
        <v>75</v>
      </c>
      <c r="E23" s="2" t="s">
        <v>11</v>
      </c>
      <c r="F23" s="2"/>
      <c r="G23" s="2" t="s">
        <v>12</v>
      </c>
      <c r="H23" s="2"/>
      <c r="I23" s="3">
        <v>44755</v>
      </c>
      <c r="J23" s="2" t="s">
        <v>13</v>
      </c>
      <c r="K23" s="2" t="s">
        <v>71</v>
      </c>
      <c r="L23" s="2" t="s">
        <v>34</v>
      </c>
      <c r="M23" s="2" t="s">
        <v>16</v>
      </c>
    </row>
    <row r="24" spans="1:13" x14ac:dyDescent="0.3">
      <c r="A24" s="2" t="str">
        <f>HYPERLINK("https://hsdes.intel.com/resource/14013160580","14013160580")</f>
        <v>14013160580</v>
      </c>
      <c r="B24" s="2" t="s">
        <v>76</v>
      </c>
      <c r="C24" s="2" t="s">
        <v>9</v>
      </c>
      <c r="D24" s="2" t="s">
        <v>77</v>
      </c>
      <c r="E24" s="2" t="s">
        <v>11</v>
      </c>
      <c r="F24" s="2"/>
      <c r="G24" s="2" t="s">
        <v>12</v>
      </c>
      <c r="H24" s="2"/>
      <c r="I24" s="3">
        <v>44756</v>
      </c>
      <c r="J24" s="2" t="s">
        <v>13</v>
      </c>
      <c r="K24" s="2" t="s">
        <v>14</v>
      </c>
      <c r="L24" s="2" t="s">
        <v>15</v>
      </c>
      <c r="M24" s="2" t="s">
        <v>21</v>
      </c>
    </row>
    <row r="25" spans="1:13" x14ac:dyDescent="0.3">
      <c r="A25" s="2" t="str">
        <f>HYPERLINK("https://hsdes.intel.com/resource/14013160596","14013160596")</f>
        <v>14013160596</v>
      </c>
      <c r="B25" s="2" t="s">
        <v>78</v>
      </c>
      <c r="C25" s="2" t="s">
        <v>9</v>
      </c>
      <c r="D25" s="2" t="s">
        <v>79</v>
      </c>
      <c r="E25" s="2" t="s">
        <v>32</v>
      </c>
      <c r="F25" s="2" t="s">
        <v>80</v>
      </c>
      <c r="G25" s="2" t="s">
        <v>12</v>
      </c>
      <c r="H25" s="2" t="s">
        <v>3607</v>
      </c>
      <c r="I25" s="3">
        <v>44769</v>
      </c>
      <c r="J25" s="2" t="s">
        <v>13</v>
      </c>
      <c r="K25" s="2" t="s">
        <v>14</v>
      </c>
      <c r="L25" s="2" t="s">
        <v>15</v>
      </c>
      <c r="M25" s="2" t="s">
        <v>21</v>
      </c>
    </row>
    <row r="26" spans="1:13" x14ac:dyDescent="0.3">
      <c r="A26" s="2" t="str">
        <f>HYPERLINK("https://hsdes.intel.com/resource/14013160724","14013160724")</f>
        <v>14013160724</v>
      </c>
      <c r="B26" s="2" t="s">
        <v>81</v>
      </c>
      <c r="C26" s="2" t="s">
        <v>9</v>
      </c>
      <c r="D26" s="2" t="s">
        <v>82</v>
      </c>
      <c r="E26" s="2" t="s">
        <v>11</v>
      </c>
      <c r="F26" s="2" t="s">
        <v>83</v>
      </c>
      <c r="G26" s="2" t="s">
        <v>84</v>
      </c>
      <c r="H26" s="2"/>
      <c r="I26" s="4">
        <v>44763</v>
      </c>
      <c r="J26" s="2" t="s">
        <v>13</v>
      </c>
      <c r="K26" s="2" t="s">
        <v>19</v>
      </c>
      <c r="L26" s="2" t="s">
        <v>20</v>
      </c>
      <c r="M26" s="2" t="s">
        <v>16</v>
      </c>
    </row>
    <row r="27" spans="1:13" x14ac:dyDescent="0.3">
      <c r="A27" s="2" t="str">
        <f>HYPERLINK("https://hsdes.intel.com/resource/14013161451","14013161451")</f>
        <v>14013161451</v>
      </c>
      <c r="B27" s="2" t="s">
        <v>85</v>
      </c>
      <c r="C27" s="2" t="s">
        <v>9</v>
      </c>
      <c r="D27" s="2" t="s">
        <v>86</v>
      </c>
      <c r="E27" s="2" t="s">
        <v>11</v>
      </c>
      <c r="F27" s="6"/>
      <c r="G27" s="2" t="s">
        <v>27</v>
      </c>
      <c r="H27" s="2"/>
      <c r="I27" s="4">
        <v>44755</v>
      </c>
      <c r="J27" s="2" t="s">
        <v>13</v>
      </c>
      <c r="K27" s="2" t="s">
        <v>14</v>
      </c>
      <c r="L27" s="2" t="s">
        <v>88</v>
      </c>
      <c r="M27" s="2" t="s">
        <v>24</v>
      </c>
    </row>
    <row r="28" spans="1:13" x14ac:dyDescent="0.3">
      <c r="A28" s="2" t="str">
        <f>HYPERLINK("https://hsdes.intel.com/resource/14013161491","14013161491")</f>
        <v>14013161491</v>
      </c>
      <c r="B28" s="2" t="s">
        <v>89</v>
      </c>
      <c r="C28" s="2" t="s">
        <v>9</v>
      </c>
      <c r="D28" s="2" t="s">
        <v>90</v>
      </c>
      <c r="E28" s="2" t="s">
        <v>1991</v>
      </c>
      <c r="F28" s="48" t="s">
        <v>3645</v>
      </c>
      <c r="G28" s="2"/>
      <c r="H28" s="2" t="s">
        <v>3607</v>
      </c>
      <c r="I28" s="2"/>
      <c r="J28" s="2" t="s">
        <v>13</v>
      </c>
      <c r="K28" s="2" t="s">
        <v>33</v>
      </c>
      <c r="L28" s="2" t="s">
        <v>34</v>
      </c>
      <c r="M28" s="2" t="s">
        <v>16</v>
      </c>
    </row>
    <row r="29" spans="1:13" x14ac:dyDescent="0.3">
      <c r="A29" s="5" t="str">
        <f>HYPERLINK("https://hsdes.intel.com/resource/14013161674","14013161674")</f>
        <v>14013161674</v>
      </c>
      <c r="B29" s="2" t="s">
        <v>91</v>
      </c>
      <c r="C29" s="2" t="s">
        <v>9</v>
      </c>
      <c r="D29" s="2" t="s">
        <v>92</v>
      </c>
      <c r="E29" s="2" t="s">
        <v>11</v>
      </c>
      <c r="F29" s="2"/>
      <c r="G29" s="2" t="s">
        <v>12</v>
      </c>
      <c r="H29" s="2"/>
      <c r="I29" s="3">
        <v>44756</v>
      </c>
      <c r="J29" s="2" t="s">
        <v>13</v>
      </c>
      <c r="K29" s="2" t="s">
        <v>93</v>
      </c>
      <c r="L29" s="2" t="s">
        <v>94</v>
      </c>
      <c r="M29" s="2" t="s">
        <v>24</v>
      </c>
    </row>
    <row r="30" spans="1:13" x14ac:dyDescent="0.3">
      <c r="A30" s="2" t="str">
        <f>HYPERLINK("https://hsdes.intel.com/resource/14013162374","14013162374")</f>
        <v>14013162374</v>
      </c>
      <c r="B30" s="2" t="s">
        <v>95</v>
      </c>
      <c r="C30" s="2" t="s">
        <v>9</v>
      </c>
      <c r="D30" s="2" t="s">
        <v>96</v>
      </c>
      <c r="E30" s="2" t="s">
        <v>11</v>
      </c>
      <c r="F30" s="2"/>
      <c r="G30" s="2" t="s">
        <v>12</v>
      </c>
      <c r="H30" s="2"/>
      <c r="I30" s="3">
        <v>44755</v>
      </c>
      <c r="J30" s="2" t="s">
        <v>13</v>
      </c>
      <c r="K30" s="2" t="s">
        <v>93</v>
      </c>
      <c r="L30" s="2" t="s">
        <v>94</v>
      </c>
      <c r="M30" s="2" t="s">
        <v>16</v>
      </c>
    </row>
    <row r="31" spans="1:13" x14ac:dyDescent="0.3">
      <c r="A31" s="2" t="str">
        <f>HYPERLINK("https://hsdes.intel.com/resource/14013162379","14013162379")</f>
        <v>14013162379</v>
      </c>
      <c r="B31" s="2" t="s">
        <v>97</v>
      </c>
      <c r="C31" s="2" t="s">
        <v>9</v>
      </c>
      <c r="D31" s="2" t="s">
        <v>98</v>
      </c>
      <c r="E31" s="2" t="s">
        <v>11</v>
      </c>
      <c r="F31" s="2"/>
      <c r="G31" s="2" t="s">
        <v>12</v>
      </c>
      <c r="H31" s="2"/>
      <c r="I31" s="3">
        <v>44755</v>
      </c>
      <c r="J31" s="2" t="s">
        <v>13</v>
      </c>
      <c r="K31" s="2" t="s">
        <v>93</v>
      </c>
      <c r="L31" s="2" t="s">
        <v>94</v>
      </c>
      <c r="M31" s="2" t="s">
        <v>16</v>
      </c>
    </row>
    <row r="32" spans="1:13" x14ac:dyDescent="0.3">
      <c r="A32" s="2" t="str">
        <f>HYPERLINK("https://hsdes.intel.com/resource/14013163326","14013163326")</f>
        <v>14013163326</v>
      </c>
      <c r="B32" s="2" t="s">
        <v>99</v>
      </c>
      <c r="C32" s="2" t="s">
        <v>9</v>
      </c>
      <c r="D32" s="2" t="s">
        <v>100</v>
      </c>
      <c r="E32" s="2" t="s">
        <v>37</v>
      </c>
      <c r="F32" s="2"/>
      <c r="G32" s="2" t="s">
        <v>12</v>
      </c>
      <c r="H32" s="2"/>
      <c r="I32" s="2"/>
      <c r="J32" s="2" t="s">
        <v>13</v>
      </c>
      <c r="K32" s="2" t="s">
        <v>19</v>
      </c>
      <c r="L32" s="2" t="s">
        <v>20</v>
      </c>
      <c r="M32" s="2" t="s">
        <v>16</v>
      </c>
    </row>
    <row r="33" spans="1:13" x14ac:dyDescent="0.3">
      <c r="A33" s="2" t="str">
        <f>HYPERLINK("https://hsdes.intel.com/resource/14013163952","14013163952")</f>
        <v>14013163952</v>
      </c>
      <c r="B33" s="2" t="s">
        <v>101</v>
      </c>
      <c r="C33" s="2" t="s">
        <v>9</v>
      </c>
      <c r="D33" s="2" t="s">
        <v>102</v>
      </c>
      <c r="E33" s="2" t="s">
        <v>1991</v>
      </c>
      <c r="F33" s="48" t="s">
        <v>3645</v>
      </c>
      <c r="G33" s="2"/>
      <c r="H33" s="2" t="s">
        <v>3607</v>
      </c>
      <c r="I33" s="2"/>
      <c r="J33" s="2" t="s">
        <v>13</v>
      </c>
      <c r="K33" s="2" t="s">
        <v>33</v>
      </c>
      <c r="L33" s="2" t="s">
        <v>34</v>
      </c>
      <c r="M33" s="2" t="s">
        <v>16</v>
      </c>
    </row>
    <row r="34" spans="1:13" x14ac:dyDescent="0.3">
      <c r="A34" s="2" t="str">
        <f>HYPERLINK("https://hsdes.intel.com/resource/14013168846","14013168846")</f>
        <v>14013168846</v>
      </c>
      <c r="B34" s="2" t="s">
        <v>103</v>
      </c>
      <c r="C34" s="2" t="s">
        <v>9</v>
      </c>
      <c r="D34" s="2" t="s">
        <v>104</v>
      </c>
      <c r="E34" s="2" t="s">
        <v>11</v>
      </c>
      <c r="F34" s="2"/>
      <c r="G34" s="2" t="s">
        <v>12</v>
      </c>
      <c r="H34" s="2"/>
      <c r="I34" s="3">
        <v>44755</v>
      </c>
      <c r="J34" s="2" t="s">
        <v>13</v>
      </c>
      <c r="K34" s="2" t="s">
        <v>105</v>
      </c>
      <c r="L34" s="2" t="s">
        <v>106</v>
      </c>
      <c r="M34" s="2" t="s">
        <v>24</v>
      </c>
    </row>
    <row r="35" spans="1:13" x14ac:dyDescent="0.3">
      <c r="A35" s="2" t="str">
        <f>HYPERLINK("https://hsdes.intel.com/resource/14013168950","14013168950")</f>
        <v>14013168950</v>
      </c>
      <c r="B35" s="2" t="s">
        <v>107</v>
      </c>
      <c r="C35" s="2" t="s">
        <v>9</v>
      </c>
      <c r="D35" s="2" t="s">
        <v>108</v>
      </c>
      <c r="E35" s="2" t="s">
        <v>32</v>
      </c>
      <c r="F35" s="2" t="s">
        <v>109</v>
      </c>
      <c r="G35" s="2" t="s">
        <v>12</v>
      </c>
      <c r="H35" s="2" t="s">
        <v>3607</v>
      </c>
      <c r="I35" s="3">
        <v>44768</v>
      </c>
      <c r="J35" s="2" t="s">
        <v>13</v>
      </c>
      <c r="K35" s="2" t="s">
        <v>105</v>
      </c>
      <c r="L35" s="2" t="s">
        <v>110</v>
      </c>
      <c r="M35" s="2" t="s">
        <v>24</v>
      </c>
    </row>
    <row r="36" spans="1:13" x14ac:dyDescent="0.3">
      <c r="A36" s="2" t="str">
        <f>HYPERLINK("https://hsdes.intel.com/resource/14013169130","14013169130")</f>
        <v>14013169130</v>
      </c>
      <c r="B36" s="2" t="s">
        <v>111</v>
      </c>
      <c r="C36" s="2" t="s">
        <v>9</v>
      </c>
      <c r="D36" s="2" t="s">
        <v>112</v>
      </c>
      <c r="E36" s="2" t="s">
        <v>32</v>
      </c>
      <c r="F36" s="2" t="s">
        <v>109</v>
      </c>
      <c r="G36" s="2" t="s">
        <v>12</v>
      </c>
      <c r="H36" s="2" t="s">
        <v>3607</v>
      </c>
      <c r="I36" s="3">
        <v>44768</v>
      </c>
      <c r="J36" s="2" t="s">
        <v>13</v>
      </c>
      <c r="K36" s="2" t="s">
        <v>105</v>
      </c>
      <c r="L36" s="2" t="s">
        <v>110</v>
      </c>
      <c r="M36" s="2" t="s">
        <v>24</v>
      </c>
    </row>
    <row r="37" spans="1:13" x14ac:dyDescent="0.3">
      <c r="A37" s="2" t="str">
        <f>HYPERLINK("https://hsdes.intel.com/resource/14013173954","14013173954")</f>
        <v>14013173954</v>
      </c>
      <c r="B37" s="2" t="s">
        <v>113</v>
      </c>
      <c r="C37" s="2" t="s">
        <v>9</v>
      </c>
      <c r="D37" s="2" t="s">
        <v>114</v>
      </c>
      <c r="E37" s="2" t="s">
        <v>11</v>
      </c>
      <c r="F37" s="2"/>
      <c r="G37" s="2" t="s">
        <v>27</v>
      </c>
      <c r="H37" s="2"/>
      <c r="I37" s="4">
        <v>44755</v>
      </c>
      <c r="J37" s="2" t="s">
        <v>13</v>
      </c>
      <c r="K37" s="2" t="s">
        <v>28</v>
      </c>
      <c r="L37" s="2" t="s">
        <v>29</v>
      </c>
      <c r="M37" s="2" t="s">
        <v>16</v>
      </c>
    </row>
    <row r="38" spans="1:13" x14ac:dyDescent="0.3">
      <c r="A38" s="2" t="str">
        <f>HYPERLINK("https://hsdes.intel.com/resource/14013174002","14013174002")</f>
        <v>14013174002</v>
      </c>
      <c r="B38" s="2" t="s">
        <v>115</v>
      </c>
      <c r="C38" s="2" t="s">
        <v>9</v>
      </c>
      <c r="D38" s="2" t="s">
        <v>116</v>
      </c>
      <c r="E38" s="2" t="s">
        <v>11</v>
      </c>
      <c r="F38" s="2"/>
      <c r="G38" s="2" t="s">
        <v>12</v>
      </c>
      <c r="H38" s="2" t="s">
        <v>3607</v>
      </c>
      <c r="I38" s="3">
        <v>44767</v>
      </c>
      <c r="J38" s="2" t="s">
        <v>13</v>
      </c>
      <c r="K38" s="2" t="s">
        <v>33</v>
      </c>
      <c r="L38" s="2" t="s">
        <v>29</v>
      </c>
      <c r="M38" s="2" t="s">
        <v>24</v>
      </c>
    </row>
    <row r="39" spans="1:13" x14ac:dyDescent="0.3">
      <c r="A39" s="2" t="str">
        <f>HYPERLINK("https://hsdes.intel.com/resource/14013174027","14013174027")</f>
        <v>14013174027</v>
      </c>
      <c r="B39" s="2" t="s">
        <v>117</v>
      </c>
      <c r="C39" s="2" t="s">
        <v>9</v>
      </c>
      <c r="D39" s="2" t="s">
        <v>118</v>
      </c>
      <c r="E39" s="2" t="s">
        <v>11</v>
      </c>
      <c r="F39" s="2"/>
      <c r="G39" s="2" t="s">
        <v>12</v>
      </c>
      <c r="H39" s="2" t="s">
        <v>3607</v>
      </c>
      <c r="I39" s="3">
        <v>44767</v>
      </c>
      <c r="J39" s="2" t="s">
        <v>13</v>
      </c>
      <c r="K39" s="2" t="s">
        <v>33</v>
      </c>
      <c r="L39" s="2" t="s">
        <v>29</v>
      </c>
      <c r="M39" s="2" t="s">
        <v>16</v>
      </c>
    </row>
    <row r="40" spans="1:13" x14ac:dyDescent="0.3">
      <c r="A40" s="2" t="str">
        <f>HYPERLINK("https://hsdes.intel.com/resource/14013174046","14013174046")</f>
        <v>14013174046</v>
      </c>
      <c r="B40" s="2" t="s">
        <v>119</v>
      </c>
      <c r="C40" s="2" t="s">
        <v>9</v>
      </c>
      <c r="D40" s="2" t="s">
        <v>120</v>
      </c>
      <c r="E40" s="2" t="s">
        <v>11</v>
      </c>
      <c r="F40" s="2"/>
      <c r="G40" s="2" t="s">
        <v>12</v>
      </c>
      <c r="H40" s="2" t="s">
        <v>3607</v>
      </c>
      <c r="I40" s="3">
        <v>44767</v>
      </c>
      <c r="J40" s="2" t="s">
        <v>13</v>
      </c>
      <c r="K40" s="2" t="s">
        <v>33</v>
      </c>
      <c r="L40" s="2" t="s">
        <v>29</v>
      </c>
      <c r="M40" s="2" t="s">
        <v>16</v>
      </c>
    </row>
    <row r="41" spans="1:13" x14ac:dyDescent="0.3">
      <c r="A41" s="2" t="str">
        <f>HYPERLINK("https://hsdes.intel.com/resource/14013174075","14013174075")</f>
        <v>14013174075</v>
      </c>
      <c r="B41" s="2" t="s">
        <v>121</v>
      </c>
      <c r="C41" s="2" t="s">
        <v>9</v>
      </c>
      <c r="D41" s="2" t="s">
        <v>122</v>
      </c>
      <c r="E41" s="2" t="s">
        <v>37</v>
      </c>
      <c r="F41" s="2"/>
      <c r="G41" s="2"/>
      <c r="H41" s="2"/>
      <c r="I41" s="2"/>
      <c r="J41" s="2" t="s">
        <v>13</v>
      </c>
      <c r="K41" s="2" t="s">
        <v>28</v>
      </c>
      <c r="L41" s="2" t="s">
        <v>29</v>
      </c>
      <c r="M41" s="2" t="s">
        <v>16</v>
      </c>
    </row>
    <row r="42" spans="1:13" x14ac:dyDescent="0.3">
      <c r="A42" s="2" t="str">
        <f>HYPERLINK("https://hsdes.intel.com/resource/14013174091","14013174091")</f>
        <v>14013174091</v>
      </c>
      <c r="B42" s="2" t="s">
        <v>123</v>
      </c>
      <c r="C42" s="2" t="s">
        <v>9</v>
      </c>
      <c r="D42" s="2" t="s">
        <v>124</v>
      </c>
      <c r="E42" s="2" t="s">
        <v>11</v>
      </c>
      <c r="F42" s="2"/>
      <c r="G42" s="2" t="s">
        <v>27</v>
      </c>
      <c r="H42" s="2"/>
      <c r="I42" s="4">
        <v>44755</v>
      </c>
      <c r="J42" s="2" t="s">
        <v>13</v>
      </c>
      <c r="K42" s="2" t="s">
        <v>28</v>
      </c>
      <c r="L42" s="2" t="s">
        <v>29</v>
      </c>
      <c r="M42" s="2" t="s">
        <v>16</v>
      </c>
    </row>
    <row r="43" spans="1:13" x14ac:dyDescent="0.3">
      <c r="A43" s="2" t="str">
        <f>HYPERLINK("https://hsdes.intel.com/resource/14013174100","14013174100")</f>
        <v>14013174100</v>
      </c>
      <c r="B43" s="2" t="s">
        <v>125</v>
      </c>
      <c r="C43" s="2" t="s">
        <v>9</v>
      </c>
      <c r="D43" s="2" t="s">
        <v>126</v>
      </c>
      <c r="E43" s="2" t="s">
        <v>37</v>
      </c>
      <c r="F43" s="2" t="s">
        <v>127</v>
      </c>
      <c r="G43" s="2" t="s">
        <v>27</v>
      </c>
      <c r="H43" s="2"/>
      <c r="I43" s="2"/>
      <c r="J43" s="2" t="s">
        <v>13</v>
      </c>
      <c r="K43" s="2" t="s">
        <v>28</v>
      </c>
      <c r="L43" s="2" t="s">
        <v>29</v>
      </c>
      <c r="M43" s="2" t="s">
        <v>16</v>
      </c>
    </row>
    <row r="44" spans="1:13" x14ac:dyDescent="0.3">
      <c r="A44" s="5" t="str">
        <f>HYPERLINK("https://hsdes.intel.com/resource/14013174151","14013174151")</f>
        <v>14013174151</v>
      </c>
      <c r="B44" s="2" t="s">
        <v>128</v>
      </c>
      <c r="C44" s="2" t="s">
        <v>9</v>
      </c>
      <c r="D44" s="2" t="s">
        <v>129</v>
      </c>
      <c r="E44" s="2" t="s">
        <v>11</v>
      </c>
      <c r="F44" s="2"/>
      <c r="G44" s="2" t="s">
        <v>27</v>
      </c>
      <c r="H44" s="2"/>
      <c r="I44" s="4">
        <v>44755</v>
      </c>
      <c r="J44" s="2" t="s">
        <v>13</v>
      </c>
      <c r="K44" s="2" t="s">
        <v>28</v>
      </c>
      <c r="L44" s="2" t="s">
        <v>29</v>
      </c>
      <c r="M44" s="2" t="s">
        <v>24</v>
      </c>
    </row>
    <row r="45" spans="1:13" x14ac:dyDescent="0.3">
      <c r="A45" s="5" t="str">
        <f>HYPERLINK("https://hsdes.intel.com/resource/14013174153","14013174153")</f>
        <v>14013174153</v>
      </c>
      <c r="B45" s="2" t="s">
        <v>130</v>
      </c>
      <c r="C45" s="2" t="s">
        <v>9</v>
      </c>
      <c r="D45" s="2" t="s">
        <v>131</v>
      </c>
      <c r="E45" s="2" t="s">
        <v>37</v>
      </c>
      <c r="F45" s="2"/>
      <c r="G45" s="2" t="s">
        <v>27</v>
      </c>
      <c r="H45" s="2"/>
      <c r="I45" s="2"/>
      <c r="J45" s="2" t="s">
        <v>13</v>
      </c>
      <c r="K45" s="2" t="s">
        <v>28</v>
      </c>
      <c r="L45" s="2" t="s">
        <v>29</v>
      </c>
      <c r="M45" s="2" t="s">
        <v>16</v>
      </c>
    </row>
    <row r="46" spans="1:13" x14ac:dyDescent="0.3">
      <c r="A46" s="2" t="str">
        <f>HYPERLINK("https://hsdes.intel.com/resource/14013174175","14013174175")</f>
        <v>14013174175</v>
      </c>
      <c r="B46" s="2" t="s">
        <v>132</v>
      </c>
      <c r="C46" s="2" t="s">
        <v>9</v>
      </c>
      <c r="D46" s="2" t="s">
        <v>133</v>
      </c>
      <c r="E46" s="2" t="s">
        <v>11</v>
      </c>
      <c r="F46" s="2"/>
      <c r="G46" s="2" t="s">
        <v>27</v>
      </c>
      <c r="H46" s="2"/>
      <c r="I46" s="4">
        <v>44755</v>
      </c>
      <c r="J46" s="2" t="s">
        <v>13</v>
      </c>
      <c r="K46" s="2" t="s">
        <v>28</v>
      </c>
      <c r="L46" s="2" t="s">
        <v>29</v>
      </c>
      <c r="M46" s="2" t="s">
        <v>16</v>
      </c>
    </row>
    <row r="47" spans="1:13" x14ac:dyDescent="0.3">
      <c r="A47" s="5" t="str">
        <f>HYPERLINK("https://hsdes.intel.com/resource/14013174180","14013174180")</f>
        <v>14013174180</v>
      </c>
      <c r="B47" s="2" t="s">
        <v>134</v>
      </c>
      <c r="C47" s="2" t="s">
        <v>9</v>
      </c>
      <c r="D47" s="2" t="s">
        <v>135</v>
      </c>
      <c r="E47" s="2" t="s">
        <v>37</v>
      </c>
      <c r="F47" s="6" t="s">
        <v>127</v>
      </c>
      <c r="G47" s="2" t="s">
        <v>27</v>
      </c>
      <c r="H47" s="2"/>
      <c r="I47" s="2"/>
      <c r="J47" s="2" t="s">
        <v>13</v>
      </c>
      <c r="K47" s="2" t="s">
        <v>28</v>
      </c>
      <c r="L47" s="2" t="s">
        <v>29</v>
      </c>
      <c r="M47" s="2" t="s">
        <v>21</v>
      </c>
    </row>
    <row r="48" spans="1:13" x14ac:dyDescent="0.3">
      <c r="A48" s="2" t="str">
        <f>HYPERLINK("https://hsdes.intel.com/resource/14013174184","14013174184")</f>
        <v>14013174184</v>
      </c>
      <c r="B48" s="2" t="s">
        <v>136</v>
      </c>
      <c r="C48" s="2" t="s">
        <v>9</v>
      </c>
      <c r="D48" s="2" t="s">
        <v>137</v>
      </c>
      <c r="E48" s="2" t="s">
        <v>37</v>
      </c>
      <c r="F48" s="6" t="s">
        <v>127</v>
      </c>
      <c r="G48" s="2" t="s">
        <v>27</v>
      </c>
      <c r="H48" s="2"/>
      <c r="I48" s="2"/>
      <c r="J48" s="2" t="s">
        <v>13</v>
      </c>
      <c r="K48" s="2" t="s">
        <v>28</v>
      </c>
      <c r="L48" s="2" t="s">
        <v>29</v>
      </c>
      <c r="M48" s="2" t="s">
        <v>16</v>
      </c>
    </row>
    <row r="49" spans="1:13" x14ac:dyDescent="0.3">
      <c r="A49" s="2" t="str">
        <f>HYPERLINK("https://hsdes.intel.com/resource/14013174240","14013174240")</f>
        <v>14013174240</v>
      </c>
      <c r="B49" s="2" t="s">
        <v>138</v>
      </c>
      <c r="C49" s="2" t="s">
        <v>9</v>
      </c>
      <c r="D49" s="2" t="s">
        <v>139</v>
      </c>
      <c r="E49" s="2" t="s">
        <v>11</v>
      </c>
      <c r="F49" s="2"/>
      <c r="G49" s="2" t="s">
        <v>27</v>
      </c>
      <c r="H49" s="2"/>
      <c r="I49" s="4">
        <v>44755</v>
      </c>
      <c r="J49" s="2" t="s">
        <v>13</v>
      </c>
      <c r="K49" s="2" t="s">
        <v>28</v>
      </c>
      <c r="L49" s="2" t="s">
        <v>29</v>
      </c>
      <c r="M49" s="2" t="s">
        <v>21</v>
      </c>
    </row>
    <row r="50" spans="1:13" x14ac:dyDescent="0.3">
      <c r="A50" s="5" t="str">
        <f>HYPERLINK("https://hsdes.intel.com/resource/14013174293","14013174293")</f>
        <v>14013174293</v>
      </c>
      <c r="B50" s="2" t="s">
        <v>140</v>
      </c>
      <c r="C50" s="2" t="s">
        <v>9</v>
      </c>
      <c r="D50" s="2" t="s">
        <v>141</v>
      </c>
      <c r="E50" s="2" t="s">
        <v>37</v>
      </c>
      <c r="F50" s="6" t="s">
        <v>127</v>
      </c>
      <c r="G50" s="2" t="s">
        <v>27</v>
      </c>
      <c r="H50" s="2"/>
      <c r="I50" s="2"/>
      <c r="J50" s="2" t="s">
        <v>13</v>
      </c>
      <c r="K50" s="2" t="s">
        <v>28</v>
      </c>
      <c r="L50" s="2" t="s">
        <v>29</v>
      </c>
      <c r="M50" s="2" t="s">
        <v>21</v>
      </c>
    </row>
    <row r="51" spans="1:13" x14ac:dyDescent="0.3">
      <c r="A51" s="2" t="str">
        <f>HYPERLINK("https://hsdes.intel.com/resource/14013174301","14013174301")</f>
        <v>14013174301</v>
      </c>
      <c r="B51" s="2" t="s">
        <v>142</v>
      </c>
      <c r="C51" s="2" t="s">
        <v>9</v>
      </c>
      <c r="D51" s="2" t="s">
        <v>143</v>
      </c>
      <c r="E51" s="2" t="s">
        <v>37</v>
      </c>
      <c r="F51" s="6" t="s">
        <v>144</v>
      </c>
      <c r="G51" s="2" t="s">
        <v>27</v>
      </c>
      <c r="H51" s="2"/>
      <c r="I51" s="2"/>
      <c r="J51" s="2" t="s">
        <v>13</v>
      </c>
      <c r="K51" s="2" t="s">
        <v>28</v>
      </c>
      <c r="L51" s="2" t="s">
        <v>29</v>
      </c>
      <c r="M51" s="2" t="s">
        <v>21</v>
      </c>
    </row>
    <row r="52" spans="1:13" x14ac:dyDescent="0.3">
      <c r="A52" s="2" t="str">
        <f>HYPERLINK("https://hsdes.intel.com/resource/14013174748","14013174748")</f>
        <v>14013174748</v>
      </c>
      <c r="B52" s="2" t="s">
        <v>145</v>
      </c>
      <c r="C52" s="2" t="s">
        <v>9</v>
      </c>
      <c r="D52" s="2" t="s">
        <v>146</v>
      </c>
      <c r="E52" s="2" t="s">
        <v>11</v>
      </c>
      <c r="F52" s="2" t="s">
        <v>83</v>
      </c>
      <c r="G52" s="2" t="s">
        <v>84</v>
      </c>
      <c r="H52" s="2"/>
      <c r="I52" s="4">
        <v>44763</v>
      </c>
      <c r="J52" s="2" t="s">
        <v>13</v>
      </c>
      <c r="K52" s="2" t="s">
        <v>147</v>
      </c>
      <c r="L52" s="2" t="s">
        <v>29</v>
      </c>
      <c r="M52" s="2" t="s">
        <v>16</v>
      </c>
    </row>
    <row r="53" spans="1:13" x14ac:dyDescent="0.3">
      <c r="A53" s="2" t="str">
        <f>HYPERLINK("https://hsdes.intel.com/resource/14013174758","14013174758")</f>
        <v>14013174758</v>
      </c>
      <c r="B53" s="2" t="s">
        <v>148</v>
      </c>
      <c r="C53" s="2" t="s">
        <v>9</v>
      </c>
      <c r="D53" s="2" t="s">
        <v>149</v>
      </c>
      <c r="E53" s="2" t="s">
        <v>11</v>
      </c>
      <c r="F53" s="2" t="s">
        <v>83</v>
      </c>
      <c r="G53" s="2" t="s">
        <v>84</v>
      </c>
      <c r="H53" s="2"/>
      <c r="I53" s="4">
        <v>44763</v>
      </c>
      <c r="J53" s="2" t="s">
        <v>13</v>
      </c>
      <c r="K53" s="2" t="s">
        <v>147</v>
      </c>
      <c r="L53" s="2" t="s">
        <v>29</v>
      </c>
      <c r="M53" s="2" t="s">
        <v>16</v>
      </c>
    </row>
    <row r="54" spans="1:13" x14ac:dyDescent="0.3">
      <c r="A54" s="5" t="str">
        <f>HYPERLINK("https://hsdes.intel.com/resource/14013174959","14013174959")</f>
        <v>14013174959</v>
      </c>
      <c r="B54" s="2" t="s">
        <v>150</v>
      </c>
      <c r="C54" s="2" t="s">
        <v>9</v>
      </c>
      <c r="D54" s="2" t="s">
        <v>151</v>
      </c>
      <c r="E54" s="2" t="s">
        <v>32</v>
      </c>
      <c r="F54" s="2" t="s">
        <v>152</v>
      </c>
      <c r="G54" s="2" t="s">
        <v>12</v>
      </c>
      <c r="H54" s="2" t="s">
        <v>3607</v>
      </c>
      <c r="I54" s="3">
        <v>44767</v>
      </c>
      <c r="J54" s="2" t="s">
        <v>13</v>
      </c>
      <c r="K54" s="2" t="s">
        <v>28</v>
      </c>
      <c r="L54" s="2" t="s">
        <v>29</v>
      </c>
      <c r="M54" s="2" t="s">
        <v>16</v>
      </c>
    </row>
    <row r="55" spans="1:13" x14ac:dyDescent="0.3">
      <c r="A55" s="2" t="str">
        <f>HYPERLINK("https://hsdes.intel.com/resource/14013176172","14013176172")</f>
        <v>14013176172</v>
      </c>
      <c r="B55" s="2" t="s">
        <v>153</v>
      </c>
      <c r="C55" s="2" t="s">
        <v>9</v>
      </c>
      <c r="D55" s="2" t="s">
        <v>154</v>
      </c>
      <c r="E55" s="2" t="s">
        <v>1991</v>
      </c>
      <c r="F55" s="48" t="s">
        <v>3645</v>
      </c>
      <c r="G55" s="2"/>
      <c r="H55" s="2" t="s">
        <v>3607</v>
      </c>
      <c r="I55" s="2"/>
      <c r="J55" s="2" t="s">
        <v>13</v>
      </c>
      <c r="K55" s="2" t="s">
        <v>33</v>
      </c>
      <c r="L55" s="2" t="s">
        <v>34</v>
      </c>
      <c r="M55" s="2" t="s">
        <v>16</v>
      </c>
    </row>
    <row r="56" spans="1:13" x14ac:dyDescent="0.3">
      <c r="A56" s="2" t="str">
        <f>HYPERLINK("https://hsdes.intel.com/resource/14013177811","14013177811")</f>
        <v>14013177811</v>
      </c>
      <c r="B56" s="2" t="s">
        <v>155</v>
      </c>
      <c r="C56" s="2" t="s">
        <v>9</v>
      </c>
      <c r="D56" s="2" t="s">
        <v>156</v>
      </c>
      <c r="E56" s="2" t="s">
        <v>37</v>
      </c>
      <c r="F56" s="2"/>
      <c r="G56" s="2" t="s">
        <v>12</v>
      </c>
      <c r="H56" s="2" t="s">
        <v>3607</v>
      </c>
      <c r="I56" s="3">
        <v>44767</v>
      </c>
      <c r="J56" s="2" t="s">
        <v>13</v>
      </c>
      <c r="K56" s="2" t="s">
        <v>157</v>
      </c>
      <c r="L56" s="2" t="s">
        <v>158</v>
      </c>
      <c r="M56" s="2" t="s">
        <v>21</v>
      </c>
    </row>
    <row r="57" spans="1:13" x14ac:dyDescent="0.3">
      <c r="A57" s="2" t="str">
        <f>HYPERLINK("https://hsdes.intel.com/resource/14013178043","14013178043")</f>
        <v>14013178043</v>
      </c>
      <c r="B57" s="2" t="s">
        <v>159</v>
      </c>
      <c r="C57" s="2" t="s">
        <v>9</v>
      </c>
      <c r="D57" s="2" t="s">
        <v>160</v>
      </c>
      <c r="E57" s="2" t="s">
        <v>1991</v>
      </c>
      <c r="F57" s="48" t="s">
        <v>3645</v>
      </c>
      <c r="G57" s="2"/>
      <c r="H57" s="2" t="s">
        <v>3607</v>
      </c>
      <c r="I57" s="2"/>
      <c r="J57" s="2" t="s">
        <v>13</v>
      </c>
      <c r="K57" s="2" t="s">
        <v>33</v>
      </c>
      <c r="L57" s="2" t="s">
        <v>34</v>
      </c>
      <c r="M57" s="2" t="s">
        <v>24</v>
      </c>
    </row>
    <row r="58" spans="1:13" x14ac:dyDescent="0.3">
      <c r="A58" s="2" t="str">
        <f>HYPERLINK("https://hsdes.intel.com/resource/14013178933","14013178933")</f>
        <v>14013178933</v>
      </c>
      <c r="B58" s="2" t="s">
        <v>161</v>
      </c>
      <c r="C58" s="2" t="s">
        <v>9</v>
      </c>
      <c r="D58" s="2" t="s">
        <v>162</v>
      </c>
      <c r="E58" s="2" t="s">
        <v>11</v>
      </c>
      <c r="F58" s="2" t="s">
        <v>83</v>
      </c>
      <c r="G58" s="2" t="s">
        <v>84</v>
      </c>
      <c r="H58" s="2"/>
      <c r="I58" s="4">
        <v>44763</v>
      </c>
      <c r="J58" s="2" t="s">
        <v>13</v>
      </c>
      <c r="K58" s="2" t="s">
        <v>147</v>
      </c>
      <c r="L58" s="2" t="s">
        <v>29</v>
      </c>
      <c r="M58" s="2" t="s">
        <v>24</v>
      </c>
    </row>
    <row r="59" spans="1:13" x14ac:dyDescent="0.3">
      <c r="A59" s="2" t="str">
        <f>HYPERLINK("https://hsdes.intel.com/resource/14013178938","14013178938")</f>
        <v>14013178938</v>
      </c>
      <c r="B59" s="2" t="s">
        <v>163</v>
      </c>
      <c r="C59" s="2" t="s">
        <v>9</v>
      </c>
      <c r="D59" s="2" t="s">
        <v>164</v>
      </c>
      <c r="E59" s="2" t="s">
        <v>11</v>
      </c>
      <c r="F59" s="2" t="s">
        <v>83</v>
      </c>
      <c r="G59" s="2" t="s">
        <v>84</v>
      </c>
      <c r="H59" s="2"/>
      <c r="I59" s="4">
        <v>44763</v>
      </c>
      <c r="J59" s="2" t="s">
        <v>13</v>
      </c>
      <c r="K59" s="2" t="s">
        <v>147</v>
      </c>
      <c r="L59" s="2" t="s">
        <v>29</v>
      </c>
      <c r="M59" s="2" t="s">
        <v>16</v>
      </c>
    </row>
    <row r="60" spans="1:13" x14ac:dyDescent="0.3">
      <c r="A60" s="2" t="str">
        <f>HYPERLINK("https://hsdes.intel.com/resource/14013178942","14013178942")</f>
        <v>14013178942</v>
      </c>
      <c r="B60" s="2" t="s">
        <v>165</v>
      </c>
      <c r="C60" s="2" t="s">
        <v>9</v>
      </c>
      <c r="D60" s="2" t="s">
        <v>166</v>
      </c>
      <c r="E60" s="2" t="s">
        <v>11</v>
      </c>
      <c r="F60" s="2" t="s">
        <v>83</v>
      </c>
      <c r="G60" s="2" t="s">
        <v>84</v>
      </c>
      <c r="H60" s="2"/>
      <c r="I60" s="4">
        <v>44763</v>
      </c>
      <c r="J60" s="2" t="s">
        <v>13</v>
      </c>
      <c r="K60" s="2" t="s">
        <v>147</v>
      </c>
      <c r="L60" s="2" t="s">
        <v>29</v>
      </c>
      <c r="M60" s="2" t="s">
        <v>16</v>
      </c>
    </row>
    <row r="61" spans="1:13" x14ac:dyDescent="0.3">
      <c r="A61" s="2" t="str">
        <f>HYPERLINK("https://hsdes.intel.com/resource/14013179135","14013179135")</f>
        <v>14013179135</v>
      </c>
      <c r="B61" s="2" t="s">
        <v>167</v>
      </c>
      <c r="C61" s="2" t="s">
        <v>9</v>
      </c>
      <c r="D61" s="2" t="s">
        <v>168</v>
      </c>
      <c r="E61" s="2" t="s">
        <v>11</v>
      </c>
      <c r="F61" s="2" t="s">
        <v>169</v>
      </c>
      <c r="G61" s="2" t="s">
        <v>12</v>
      </c>
      <c r="H61" s="2"/>
      <c r="I61" s="3">
        <v>44756</v>
      </c>
      <c r="J61" s="2" t="s">
        <v>13</v>
      </c>
      <c r="K61" s="2" t="s">
        <v>33</v>
      </c>
      <c r="L61" s="2" t="s">
        <v>29</v>
      </c>
      <c r="M61" s="2" t="s">
        <v>16</v>
      </c>
    </row>
    <row r="62" spans="1:13" x14ac:dyDescent="0.3">
      <c r="A62" s="2" t="str">
        <f>HYPERLINK("https://hsdes.intel.com/resource/14013179137","14013179137")</f>
        <v>14013179137</v>
      </c>
      <c r="B62" s="2" t="s">
        <v>170</v>
      </c>
      <c r="C62" s="2" t="s">
        <v>9</v>
      </c>
      <c r="D62" s="2" t="s">
        <v>171</v>
      </c>
      <c r="E62" s="2" t="s">
        <v>11</v>
      </c>
      <c r="F62" s="2" t="s">
        <v>83</v>
      </c>
      <c r="G62" s="2" t="s">
        <v>84</v>
      </c>
      <c r="H62" s="2"/>
      <c r="I62" s="4">
        <v>44763</v>
      </c>
      <c r="J62" s="2" t="s">
        <v>13</v>
      </c>
      <c r="K62" s="2" t="s">
        <v>147</v>
      </c>
      <c r="L62" s="2" t="s">
        <v>29</v>
      </c>
      <c r="M62" s="2" t="s">
        <v>16</v>
      </c>
    </row>
    <row r="63" spans="1:13" x14ac:dyDescent="0.3">
      <c r="A63" s="2" t="str">
        <f>HYPERLINK("https://hsdes.intel.com/resource/14013179413","14013179413")</f>
        <v>14013179413</v>
      </c>
      <c r="B63" s="2" t="s">
        <v>172</v>
      </c>
      <c r="C63" s="2" t="s">
        <v>9</v>
      </c>
      <c r="D63" s="2" t="s">
        <v>173</v>
      </c>
      <c r="E63" s="2" t="s">
        <v>32</v>
      </c>
      <c r="F63" s="2" t="s">
        <v>174</v>
      </c>
      <c r="G63" s="2" t="s">
        <v>12</v>
      </c>
      <c r="H63" s="2" t="s">
        <v>3607</v>
      </c>
      <c r="I63" s="3"/>
      <c r="J63" s="2" t="s">
        <v>13</v>
      </c>
      <c r="K63" s="2" t="s">
        <v>93</v>
      </c>
      <c r="L63" s="2" t="s">
        <v>94</v>
      </c>
      <c r="M63" s="2" t="s">
        <v>16</v>
      </c>
    </row>
    <row r="64" spans="1:13" x14ac:dyDescent="0.3">
      <c r="A64" s="2" t="str">
        <f>HYPERLINK("https://hsdes.intel.com/resource/16013826362","16013826362")</f>
        <v>16013826362</v>
      </c>
      <c r="B64" s="2" t="s">
        <v>175</v>
      </c>
      <c r="C64" s="2" t="s">
        <v>9</v>
      </c>
      <c r="D64" s="2" t="s">
        <v>176</v>
      </c>
      <c r="E64" s="2" t="s">
        <v>32</v>
      </c>
      <c r="F64" s="2" t="s">
        <v>3616</v>
      </c>
      <c r="G64" s="2" t="s">
        <v>27</v>
      </c>
      <c r="H64" s="2" t="s">
        <v>3607</v>
      </c>
      <c r="I64" s="4"/>
      <c r="J64" s="2" t="s">
        <v>13</v>
      </c>
      <c r="K64" s="2" t="s">
        <v>28</v>
      </c>
      <c r="L64" s="2" t="s">
        <v>29</v>
      </c>
      <c r="M64" s="2" t="s">
        <v>16</v>
      </c>
    </row>
    <row r="65" spans="1:13" x14ac:dyDescent="0.3">
      <c r="A65" s="2" t="str">
        <f>HYPERLINK("https://hsdes.intel.com/resource/16014777355","16014777355")</f>
        <v>16014777355</v>
      </c>
      <c r="B65" s="2" t="s">
        <v>177</v>
      </c>
      <c r="C65" s="2" t="s">
        <v>9</v>
      </c>
      <c r="D65" s="2" t="s">
        <v>178</v>
      </c>
      <c r="E65" s="2" t="s">
        <v>11</v>
      </c>
      <c r="F65" s="2" t="s">
        <v>83</v>
      </c>
      <c r="G65" s="2" t="s">
        <v>84</v>
      </c>
      <c r="H65" s="2"/>
      <c r="I65" s="4">
        <v>44763</v>
      </c>
      <c r="J65" s="2" t="s">
        <v>13</v>
      </c>
      <c r="K65" s="2" t="s">
        <v>147</v>
      </c>
      <c r="L65" s="2" t="s">
        <v>29</v>
      </c>
      <c r="M65" s="2" t="s">
        <v>16</v>
      </c>
    </row>
    <row r="66" spans="1:13" x14ac:dyDescent="0.3">
      <c r="A66" s="2" t="str">
        <f>HYPERLINK("https://hsdes.intel.com/resource/16014841945","16014841945")</f>
        <v>16014841945</v>
      </c>
      <c r="B66" s="2" t="s">
        <v>179</v>
      </c>
      <c r="C66" s="2" t="s">
        <v>9</v>
      </c>
      <c r="D66" s="2" t="s">
        <v>176</v>
      </c>
      <c r="E66" s="2" t="s">
        <v>32</v>
      </c>
      <c r="F66" s="2" t="s">
        <v>109</v>
      </c>
      <c r="G66" s="2" t="s">
        <v>12</v>
      </c>
      <c r="H66" s="2" t="s">
        <v>3607</v>
      </c>
      <c r="I66" s="3">
        <v>44767</v>
      </c>
      <c r="J66" s="2" t="s">
        <v>13</v>
      </c>
      <c r="K66" s="2" t="s">
        <v>28</v>
      </c>
      <c r="L66" s="2" t="s">
        <v>29</v>
      </c>
      <c r="M66" s="2" t="s">
        <v>16</v>
      </c>
    </row>
    <row r="67" spans="1:13" x14ac:dyDescent="0.3">
      <c r="A67" s="2" t="str">
        <f>HYPERLINK("https://hsdes.intel.com/resource/16015067899","16015067899")</f>
        <v>16015067899</v>
      </c>
      <c r="B67" s="2" t="s">
        <v>180</v>
      </c>
      <c r="C67" s="2" t="s">
        <v>9</v>
      </c>
      <c r="D67" s="2" t="s">
        <v>178</v>
      </c>
      <c r="E67" s="2" t="s">
        <v>11</v>
      </c>
      <c r="F67" s="2" t="s">
        <v>83</v>
      </c>
      <c r="G67" s="2" t="s">
        <v>84</v>
      </c>
      <c r="H67" s="2"/>
      <c r="I67" s="4">
        <v>44763</v>
      </c>
      <c r="J67" s="2" t="s">
        <v>13</v>
      </c>
      <c r="K67" s="2" t="s">
        <v>147</v>
      </c>
      <c r="L67" s="2" t="s">
        <v>29</v>
      </c>
      <c r="M67" s="2" t="s">
        <v>16</v>
      </c>
    </row>
    <row r="68" spans="1:13" x14ac:dyDescent="0.3">
      <c r="A68" s="2" t="str">
        <f>HYPERLINK("https://hsdes.intel.com/resource/16015168939","16015168939")</f>
        <v>16015168939</v>
      </c>
      <c r="B68" s="2" t="s">
        <v>181</v>
      </c>
      <c r="C68" s="2" t="s">
        <v>9</v>
      </c>
      <c r="D68" s="2" t="s">
        <v>182</v>
      </c>
      <c r="E68" s="2" t="s">
        <v>37</v>
      </c>
      <c r="F68" s="2"/>
      <c r="G68" s="2" t="s">
        <v>12</v>
      </c>
      <c r="H68" s="2" t="s">
        <v>3607</v>
      </c>
      <c r="I68" s="3">
        <v>44768</v>
      </c>
      <c r="J68" s="2" t="s">
        <v>13</v>
      </c>
      <c r="K68" s="2" t="s">
        <v>183</v>
      </c>
      <c r="L68" s="2" t="s">
        <v>29</v>
      </c>
      <c r="M68" s="2" t="s">
        <v>16</v>
      </c>
    </row>
    <row r="69" spans="1:13" x14ac:dyDescent="0.3">
      <c r="A69" s="2" t="str">
        <f>HYPERLINK("https://hsdes.intel.com/resource/22011834358","22011834358")</f>
        <v>22011834358</v>
      </c>
      <c r="B69" s="2" t="s">
        <v>184</v>
      </c>
      <c r="C69" s="2" t="s">
        <v>9</v>
      </c>
      <c r="D69" s="2" t="s">
        <v>185</v>
      </c>
      <c r="E69" s="2" t="s">
        <v>11</v>
      </c>
      <c r="F69" s="2"/>
      <c r="G69" s="2" t="s">
        <v>27</v>
      </c>
      <c r="H69" s="2"/>
      <c r="I69" s="4">
        <v>44755</v>
      </c>
      <c r="J69" s="2" t="s">
        <v>13</v>
      </c>
      <c r="K69" s="2" t="s">
        <v>105</v>
      </c>
      <c r="L69" s="2" t="s">
        <v>106</v>
      </c>
      <c r="M69" s="2" t="s">
        <v>24</v>
      </c>
    </row>
    <row r="70" spans="1:13" x14ac:dyDescent="0.3">
      <c r="A70" s="2" t="s">
        <v>186</v>
      </c>
      <c r="B70" s="2" t="s">
        <v>187</v>
      </c>
      <c r="C70" s="2" t="s">
        <v>9</v>
      </c>
      <c r="D70" s="2" t="s">
        <v>188</v>
      </c>
      <c r="E70" s="2" t="s">
        <v>32</v>
      </c>
      <c r="F70" s="2" t="s">
        <v>3620</v>
      </c>
      <c r="G70" s="2" t="s">
        <v>12</v>
      </c>
      <c r="H70" s="2" t="s">
        <v>3607</v>
      </c>
      <c r="I70" s="4"/>
      <c r="J70" s="2" t="s">
        <v>13</v>
      </c>
      <c r="K70" s="2" t="s">
        <v>19</v>
      </c>
      <c r="L70" s="2" t="s">
        <v>20</v>
      </c>
      <c r="M70" s="2" t="s">
        <v>21</v>
      </c>
    </row>
    <row r="71" spans="1:13" x14ac:dyDescent="0.3">
      <c r="A71" s="2" t="s">
        <v>189</v>
      </c>
      <c r="B71" s="2" t="s">
        <v>190</v>
      </c>
      <c r="C71" s="2" t="s">
        <v>9</v>
      </c>
      <c r="D71" s="2" t="s">
        <v>191</v>
      </c>
      <c r="E71" s="2" t="s">
        <v>37</v>
      </c>
      <c r="F71" s="2" t="s">
        <v>3624</v>
      </c>
      <c r="G71" s="2" t="s">
        <v>12</v>
      </c>
      <c r="H71" s="2" t="s">
        <v>3607</v>
      </c>
      <c r="I71" s="3">
        <v>44768</v>
      </c>
      <c r="J71" s="2" t="s">
        <v>192</v>
      </c>
      <c r="K71" s="2" t="s">
        <v>19</v>
      </c>
      <c r="L71" s="2" t="s">
        <v>20</v>
      </c>
      <c r="M71" s="2" t="s">
        <v>21</v>
      </c>
    </row>
    <row r="72" spans="1:13" x14ac:dyDescent="0.3">
      <c r="A72" s="2" t="s">
        <v>193</v>
      </c>
      <c r="B72" s="2" t="s">
        <v>194</v>
      </c>
      <c r="C72" s="2" t="s">
        <v>9</v>
      </c>
      <c r="D72" s="2" t="s">
        <v>195</v>
      </c>
      <c r="E72" s="2" t="s">
        <v>11</v>
      </c>
      <c r="F72" s="2"/>
      <c r="G72" s="2" t="s">
        <v>12</v>
      </c>
      <c r="H72" s="2"/>
      <c r="I72" s="4">
        <v>44757</v>
      </c>
      <c r="J72" s="2" t="s">
        <v>13</v>
      </c>
      <c r="K72" s="2" t="s">
        <v>19</v>
      </c>
      <c r="L72" s="2" t="s">
        <v>20</v>
      </c>
      <c r="M72" s="2" t="s">
        <v>21</v>
      </c>
    </row>
    <row r="73" spans="1:13" x14ac:dyDescent="0.3">
      <c r="A73" s="2" t="s">
        <v>196</v>
      </c>
      <c r="B73" s="2" t="s">
        <v>197</v>
      </c>
      <c r="C73" s="2" t="s">
        <v>9</v>
      </c>
      <c r="D73" s="2" t="s">
        <v>198</v>
      </c>
      <c r="E73" s="2" t="s">
        <v>11</v>
      </c>
      <c r="F73" s="2"/>
      <c r="G73" s="2" t="s">
        <v>12</v>
      </c>
      <c r="H73" s="2"/>
      <c r="I73" s="4">
        <v>44757</v>
      </c>
      <c r="J73" s="2" t="s">
        <v>13</v>
      </c>
      <c r="K73" s="2" t="s">
        <v>19</v>
      </c>
      <c r="L73" s="2" t="s">
        <v>20</v>
      </c>
      <c r="M73" s="2" t="s">
        <v>21</v>
      </c>
    </row>
    <row r="74" spans="1:13" x14ac:dyDescent="0.3">
      <c r="A74" s="2" t="s">
        <v>199</v>
      </c>
      <c r="B74" s="2" t="s">
        <v>200</v>
      </c>
      <c r="C74" s="2" t="s">
        <v>9</v>
      </c>
      <c r="D74" s="2" t="s">
        <v>201</v>
      </c>
      <c r="E74" s="2" t="s">
        <v>11</v>
      </c>
      <c r="F74" s="2"/>
      <c r="G74" s="2" t="s">
        <v>12</v>
      </c>
      <c r="H74" s="2"/>
      <c r="I74" s="4">
        <v>44757</v>
      </c>
      <c r="J74" s="2" t="s">
        <v>13</v>
      </c>
      <c r="K74" s="2" t="s">
        <v>19</v>
      </c>
      <c r="L74" s="2" t="s">
        <v>20</v>
      </c>
      <c r="M74" s="2" t="s">
        <v>21</v>
      </c>
    </row>
    <row r="75" spans="1:13" x14ac:dyDescent="0.3">
      <c r="A75" s="2" t="s">
        <v>202</v>
      </c>
      <c r="B75" s="2" t="s">
        <v>203</v>
      </c>
      <c r="C75" s="2" t="s">
        <v>9</v>
      </c>
      <c r="D75" s="2" t="s">
        <v>204</v>
      </c>
      <c r="E75" s="2" t="s">
        <v>11</v>
      </c>
      <c r="F75" s="2"/>
      <c r="G75" s="2" t="s">
        <v>12</v>
      </c>
      <c r="H75" s="2"/>
      <c r="I75" s="4">
        <v>44757</v>
      </c>
      <c r="J75" s="2" t="s">
        <v>13</v>
      </c>
      <c r="K75" s="2" t="s">
        <v>19</v>
      </c>
      <c r="L75" s="2" t="s">
        <v>20</v>
      </c>
      <c r="M75" s="2" t="s">
        <v>21</v>
      </c>
    </row>
    <row r="76" spans="1:13" x14ac:dyDescent="0.3">
      <c r="A76" s="2" t="s">
        <v>205</v>
      </c>
      <c r="B76" s="2" t="s">
        <v>206</v>
      </c>
      <c r="C76" s="2" t="s">
        <v>9</v>
      </c>
      <c r="D76" s="2" t="s">
        <v>207</v>
      </c>
      <c r="E76" s="2" t="s">
        <v>11</v>
      </c>
      <c r="F76" s="2"/>
      <c r="G76" s="2" t="s">
        <v>12</v>
      </c>
      <c r="H76" s="2"/>
      <c r="I76" s="3">
        <v>44761</v>
      </c>
      <c r="J76" s="2" t="s">
        <v>13</v>
      </c>
      <c r="K76" s="2" t="s">
        <v>19</v>
      </c>
      <c r="L76" s="2" t="s">
        <v>20</v>
      </c>
      <c r="M76" s="2" t="s">
        <v>21</v>
      </c>
    </row>
    <row r="77" spans="1:13" x14ac:dyDescent="0.3">
      <c r="A77" s="2" t="s">
        <v>208</v>
      </c>
      <c r="B77" s="2" t="s">
        <v>209</v>
      </c>
      <c r="C77" s="2" t="s">
        <v>9</v>
      </c>
      <c r="D77" s="2" t="s">
        <v>210</v>
      </c>
      <c r="E77" s="2" t="s">
        <v>11</v>
      </c>
      <c r="F77" s="2"/>
      <c r="G77" s="2" t="s">
        <v>12</v>
      </c>
      <c r="H77" s="2"/>
      <c r="I77" s="4">
        <v>44757</v>
      </c>
      <c r="J77" s="2" t="s">
        <v>192</v>
      </c>
      <c r="K77" s="2" t="s">
        <v>19</v>
      </c>
      <c r="L77" s="2" t="s">
        <v>20</v>
      </c>
      <c r="M77" s="2" t="s">
        <v>24</v>
      </c>
    </row>
    <row r="78" spans="1:13" x14ac:dyDescent="0.3">
      <c r="A78" s="2" t="s">
        <v>211</v>
      </c>
      <c r="B78" s="2" t="s">
        <v>212</v>
      </c>
      <c r="C78" s="2" t="s">
        <v>9</v>
      </c>
      <c r="D78" s="2" t="s">
        <v>213</v>
      </c>
      <c r="E78" s="2" t="s">
        <v>11</v>
      </c>
      <c r="F78" s="2"/>
      <c r="G78" s="2" t="s">
        <v>12</v>
      </c>
      <c r="H78" s="2"/>
      <c r="I78" s="3">
        <v>44758</v>
      </c>
      <c r="J78" s="2" t="s">
        <v>192</v>
      </c>
      <c r="K78" s="2" t="s">
        <v>19</v>
      </c>
      <c r="L78" s="2" t="s">
        <v>20</v>
      </c>
      <c r="M78" s="2" t="s">
        <v>24</v>
      </c>
    </row>
    <row r="79" spans="1:13" x14ac:dyDescent="0.3">
      <c r="A79" s="2" t="s">
        <v>214</v>
      </c>
      <c r="B79" s="2" t="s">
        <v>215</v>
      </c>
      <c r="C79" s="2" t="s">
        <v>9</v>
      </c>
      <c r="D79" s="2" t="s">
        <v>216</v>
      </c>
      <c r="E79" s="2" t="s">
        <v>32</v>
      </c>
      <c r="F79" s="48" t="s">
        <v>3644</v>
      </c>
      <c r="G79" s="2" t="s">
        <v>12</v>
      </c>
      <c r="H79" s="2" t="s">
        <v>3607</v>
      </c>
      <c r="I79" s="3">
        <v>44768</v>
      </c>
      <c r="J79" s="2" t="s">
        <v>192</v>
      </c>
      <c r="K79" s="2" t="s">
        <v>19</v>
      </c>
      <c r="L79" s="2" t="s">
        <v>20</v>
      </c>
      <c r="M79" s="2" t="s">
        <v>24</v>
      </c>
    </row>
    <row r="80" spans="1:13" x14ac:dyDescent="0.3">
      <c r="A80" s="2" t="s">
        <v>217</v>
      </c>
      <c r="B80" s="2" t="s">
        <v>218</v>
      </c>
      <c r="C80" s="2" t="s">
        <v>9</v>
      </c>
      <c r="D80" s="2" t="s">
        <v>219</v>
      </c>
      <c r="E80" s="2" t="s">
        <v>11</v>
      </c>
      <c r="F80" s="2"/>
      <c r="G80" s="2" t="s">
        <v>12</v>
      </c>
      <c r="H80" s="2"/>
      <c r="I80" s="3">
        <v>44758</v>
      </c>
      <c r="J80" s="2" t="s">
        <v>192</v>
      </c>
      <c r="K80" s="2" t="s">
        <v>19</v>
      </c>
      <c r="L80" s="2" t="s">
        <v>20</v>
      </c>
      <c r="M80" s="2" t="s">
        <v>24</v>
      </c>
    </row>
    <row r="81" spans="1:13" x14ac:dyDescent="0.3">
      <c r="A81" s="2" t="s">
        <v>220</v>
      </c>
      <c r="B81" s="2" t="s">
        <v>221</v>
      </c>
      <c r="C81" s="2" t="s">
        <v>9</v>
      </c>
      <c r="D81" s="2" t="s">
        <v>222</v>
      </c>
      <c r="E81" s="2" t="s">
        <v>11</v>
      </c>
      <c r="F81" s="2"/>
      <c r="G81" s="2" t="s">
        <v>12</v>
      </c>
      <c r="H81" s="2"/>
      <c r="I81" s="4">
        <v>44757</v>
      </c>
      <c r="J81" s="2" t="s">
        <v>192</v>
      </c>
      <c r="K81" s="2" t="s">
        <v>19</v>
      </c>
      <c r="L81" s="2" t="s">
        <v>20</v>
      </c>
      <c r="M81" s="2" t="s">
        <v>24</v>
      </c>
    </row>
    <row r="82" spans="1:13" x14ac:dyDescent="0.3">
      <c r="A82" s="2" t="s">
        <v>223</v>
      </c>
      <c r="B82" s="2" t="s">
        <v>224</v>
      </c>
      <c r="C82" s="2" t="s">
        <v>9</v>
      </c>
      <c r="D82" s="2" t="s">
        <v>225</v>
      </c>
      <c r="E82" s="2" t="s">
        <v>11</v>
      </c>
      <c r="F82" s="2"/>
      <c r="G82" s="2" t="s">
        <v>12</v>
      </c>
      <c r="H82" s="2"/>
      <c r="I82" s="4">
        <v>44757</v>
      </c>
      <c r="J82" s="2" t="s">
        <v>192</v>
      </c>
      <c r="K82" s="2" t="s">
        <v>19</v>
      </c>
      <c r="L82" s="2" t="s">
        <v>20</v>
      </c>
      <c r="M82" s="2" t="s">
        <v>24</v>
      </c>
    </row>
    <row r="83" spans="1:13" x14ac:dyDescent="0.3">
      <c r="A83" s="2" t="s">
        <v>226</v>
      </c>
      <c r="B83" s="2" t="s">
        <v>227</v>
      </c>
      <c r="C83" s="2" t="s">
        <v>9</v>
      </c>
      <c r="D83" s="2" t="s">
        <v>228</v>
      </c>
      <c r="E83" s="2" t="s">
        <v>11</v>
      </c>
      <c r="F83" s="2"/>
      <c r="G83" s="2" t="s">
        <v>12</v>
      </c>
      <c r="H83" s="2"/>
      <c r="I83" s="4">
        <v>44757</v>
      </c>
      <c r="J83" s="2" t="s">
        <v>192</v>
      </c>
      <c r="K83" s="2" t="s">
        <v>19</v>
      </c>
      <c r="L83" s="2" t="s">
        <v>20</v>
      </c>
      <c r="M83" s="2" t="s">
        <v>21</v>
      </c>
    </row>
    <row r="84" spans="1:13" x14ac:dyDescent="0.3">
      <c r="A84" s="2" t="s">
        <v>229</v>
      </c>
      <c r="B84" s="2" t="s">
        <v>230</v>
      </c>
      <c r="C84" s="2" t="s">
        <v>9</v>
      </c>
      <c r="D84" s="2" t="s">
        <v>231</v>
      </c>
      <c r="E84" s="2" t="s">
        <v>11</v>
      </c>
      <c r="F84" s="2"/>
      <c r="G84" s="2" t="s">
        <v>12</v>
      </c>
      <c r="H84" s="2"/>
      <c r="I84" s="4">
        <v>44757</v>
      </c>
      <c r="J84" s="2" t="s">
        <v>192</v>
      </c>
      <c r="K84" s="2" t="s">
        <v>19</v>
      </c>
      <c r="L84" s="2" t="s">
        <v>20</v>
      </c>
      <c r="M84" s="2" t="s">
        <v>24</v>
      </c>
    </row>
    <row r="85" spans="1:13" x14ac:dyDescent="0.3">
      <c r="A85" s="2" t="s">
        <v>232</v>
      </c>
      <c r="B85" s="2" t="s">
        <v>233</v>
      </c>
      <c r="C85" s="2" t="s">
        <v>9</v>
      </c>
      <c r="D85" s="2" t="s">
        <v>234</v>
      </c>
      <c r="E85" s="2" t="s">
        <v>11</v>
      </c>
      <c r="F85" s="2"/>
      <c r="G85" s="2" t="s">
        <v>12</v>
      </c>
      <c r="H85" s="2"/>
      <c r="I85" s="4">
        <v>44757</v>
      </c>
      <c r="J85" s="2" t="s">
        <v>192</v>
      </c>
      <c r="K85" s="2" t="s">
        <v>19</v>
      </c>
      <c r="L85" s="2" t="s">
        <v>20</v>
      </c>
      <c r="M85" s="2" t="s">
        <v>24</v>
      </c>
    </row>
    <row r="86" spans="1:13" x14ac:dyDescent="0.3">
      <c r="A86" s="2" t="s">
        <v>235</v>
      </c>
      <c r="B86" s="2" t="s">
        <v>236</v>
      </c>
      <c r="C86" s="2" t="s">
        <v>9</v>
      </c>
      <c r="D86" s="2" t="s">
        <v>237</v>
      </c>
      <c r="E86" s="2" t="s">
        <v>11</v>
      </c>
      <c r="F86" s="2"/>
      <c r="G86" s="2" t="s">
        <v>12</v>
      </c>
      <c r="H86" s="2"/>
      <c r="I86" s="4">
        <v>44757</v>
      </c>
      <c r="J86" s="2" t="s">
        <v>192</v>
      </c>
      <c r="K86" s="2" t="s">
        <v>19</v>
      </c>
      <c r="L86" s="2" t="s">
        <v>20</v>
      </c>
      <c r="M86" s="2" t="s">
        <v>24</v>
      </c>
    </row>
    <row r="87" spans="1:13" x14ac:dyDescent="0.3">
      <c r="A87" s="2" t="s">
        <v>238</v>
      </c>
      <c r="B87" s="2" t="s">
        <v>239</v>
      </c>
      <c r="C87" s="2" t="s">
        <v>9</v>
      </c>
      <c r="D87" s="2" t="s">
        <v>240</v>
      </c>
      <c r="E87" s="2" t="s">
        <v>11</v>
      </c>
      <c r="F87" s="2"/>
      <c r="G87" s="2" t="s">
        <v>12</v>
      </c>
      <c r="H87" s="2"/>
      <c r="I87" s="4">
        <v>44757</v>
      </c>
      <c r="J87" s="2" t="s">
        <v>192</v>
      </c>
      <c r="K87" s="2" t="s">
        <v>19</v>
      </c>
      <c r="L87" s="2" t="s">
        <v>20</v>
      </c>
      <c r="M87" s="2" t="s">
        <v>24</v>
      </c>
    </row>
    <row r="88" spans="1:13" x14ac:dyDescent="0.3">
      <c r="A88" s="2" t="s">
        <v>241</v>
      </c>
      <c r="B88" s="2" t="s">
        <v>242</v>
      </c>
      <c r="C88" s="2" t="s">
        <v>9</v>
      </c>
      <c r="D88" s="2" t="s">
        <v>243</v>
      </c>
      <c r="E88" s="2" t="s">
        <v>37</v>
      </c>
      <c r="F88" s="2"/>
      <c r="G88" s="2" t="s">
        <v>12</v>
      </c>
      <c r="H88" s="2"/>
      <c r="I88" s="2"/>
      <c r="J88" s="2" t="s">
        <v>192</v>
      </c>
      <c r="K88" s="2" t="s">
        <v>19</v>
      </c>
      <c r="L88" s="2" t="s">
        <v>20</v>
      </c>
      <c r="M88" s="2" t="s">
        <v>24</v>
      </c>
    </row>
    <row r="89" spans="1:13" x14ac:dyDescent="0.3">
      <c r="A89" s="2" t="s">
        <v>244</v>
      </c>
      <c r="B89" s="2" t="s">
        <v>245</v>
      </c>
      <c r="C89" s="2" t="s">
        <v>9</v>
      </c>
      <c r="D89" s="2" t="s">
        <v>246</v>
      </c>
      <c r="E89" s="2" t="s">
        <v>37</v>
      </c>
      <c r="F89" s="2"/>
      <c r="G89" s="2" t="s">
        <v>12</v>
      </c>
      <c r="H89" s="2"/>
      <c r="I89" s="2"/>
      <c r="J89" s="2" t="s">
        <v>192</v>
      </c>
      <c r="K89" s="2" t="s">
        <v>19</v>
      </c>
      <c r="L89" s="2" t="s">
        <v>20</v>
      </c>
      <c r="M89" s="2" t="s">
        <v>24</v>
      </c>
    </row>
    <row r="90" spans="1:13" x14ac:dyDescent="0.3">
      <c r="A90" s="2" t="s">
        <v>247</v>
      </c>
      <c r="B90" s="2" t="s">
        <v>248</v>
      </c>
      <c r="C90" s="2" t="s">
        <v>9</v>
      </c>
      <c r="D90" s="2" t="s">
        <v>249</v>
      </c>
      <c r="E90" s="2" t="s">
        <v>11</v>
      </c>
      <c r="F90" s="2"/>
      <c r="G90" s="2" t="s">
        <v>12</v>
      </c>
      <c r="H90" s="2"/>
      <c r="I90" s="3">
        <v>44761</v>
      </c>
      <c r="J90" s="2" t="s">
        <v>192</v>
      </c>
      <c r="K90" s="2" t="s">
        <v>19</v>
      </c>
      <c r="L90" s="2" t="s">
        <v>20</v>
      </c>
      <c r="M90" s="2" t="s">
        <v>24</v>
      </c>
    </row>
    <row r="91" spans="1:13" x14ac:dyDescent="0.3">
      <c r="A91" s="2" t="s">
        <v>250</v>
      </c>
      <c r="B91" s="2" t="s">
        <v>251</v>
      </c>
      <c r="C91" s="2" t="s">
        <v>9</v>
      </c>
      <c r="D91" s="2" t="s">
        <v>252</v>
      </c>
      <c r="E91" s="2" t="s">
        <v>11</v>
      </c>
      <c r="F91" s="2"/>
      <c r="G91" s="2" t="s">
        <v>12</v>
      </c>
      <c r="H91" s="2"/>
      <c r="I91" s="3">
        <v>44761</v>
      </c>
      <c r="J91" s="2" t="s">
        <v>192</v>
      </c>
      <c r="K91" s="2" t="s">
        <v>19</v>
      </c>
      <c r="L91" s="2" t="s">
        <v>20</v>
      </c>
      <c r="M91" s="2" t="s">
        <v>21</v>
      </c>
    </row>
    <row r="92" spans="1:13" x14ac:dyDescent="0.3">
      <c r="A92" s="2" t="s">
        <v>253</v>
      </c>
      <c r="B92" s="2" t="s">
        <v>254</v>
      </c>
      <c r="C92" s="2" t="s">
        <v>9</v>
      </c>
      <c r="D92" s="2" t="s">
        <v>255</v>
      </c>
      <c r="E92" s="2" t="s">
        <v>11</v>
      </c>
      <c r="F92" s="2"/>
      <c r="G92" s="2" t="s">
        <v>12</v>
      </c>
      <c r="H92" s="2"/>
      <c r="I92" s="3">
        <v>44761</v>
      </c>
      <c r="J92" s="2" t="s">
        <v>192</v>
      </c>
      <c r="K92" s="2" t="s">
        <v>19</v>
      </c>
      <c r="L92" s="2" t="s">
        <v>20</v>
      </c>
      <c r="M92" s="2" t="s">
        <v>21</v>
      </c>
    </row>
    <row r="93" spans="1:13" x14ac:dyDescent="0.3">
      <c r="A93" s="2" t="s">
        <v>256</v>
      </c>
      <c r="B93" s="2" t="s">
        <v>257</v>
      </c>
      <c r="C93" s="2" t="s">
        <v>9</v>
      </c>
      <c r="D93" s="2" t="s">
        <v>258</v>
      </c>
      <c r="E93" s="2" t="s">
        <v>11</v>
      </c>
      <c r="F93" s="2"/>
      <c r="G93" s="2" t="s">
        <v>12</v>
      </c>
      <c r="H93" s="2"/>
      <c r="I93" s="3">
        <v>44761</v>
      </c>
      <c r="J93" s="2" t="s">
        <v>192</v>
      </c>
      <c r="K93" s="2" t="s">
        <v>19</v>
      </c>
      <c r="L93" s="2" t="s">
        <v>20</v>
      </c>
      <c r="M93" s="2" t="s">
        <v>21</v>
      </c>
    </row>
    <row r="94" spans="1:13" x14ac:dyDescent="0.3">
      <c r="A94" s="2" t="s">
        <v>259</v>
      </c>
      <c r="B94" s="2" t="s">
        <v>260</v>
      </c>
      <c r="C94" s="2" t="s">
        <v>9</v>
      </c>
      <c r="D94" s="2" t="s">
        <v>261</v>
      </c>
      <c r="E94" s="2" t="s">
        <v>11</v>
      </c>
      <c r="F94" s="2"/>
      <c r="G94" s="2" t="s">
        <v>12</v>
      </c>
      <c r="H94" s="2"/>
      <c r="I94" s="3">
        <v>44761</v>
      </c>
      <c r="J94" s="2" t="s">
        <v>13</v>
      </c>
      <c r="K94" s="2" t="s">
        <v>19</v>
      </c>
      <c r="L94" s="2" t="s">
        <v>20</v>
      </c>
      <c r="M94" s="2" t="s">
        <v>21</v>
      </c>
    </row>
    <row r="95" spans="1:13" x14ac:dyDescent="0.3">
      <c r="A95" s="2" t="s">
        <v>262</v>
      </c>
      <c r="B95" s="2" t="s">
        <v>263</v>
      </c>
      <c r="C95" s="2" t="s">
        <v>9</v>
      </c>
      <c r="D95" s="2" t="s">
        <v>264</v>
      </c>
      <c r="E95" s="2" t="s">
        <v>11</v>
      </c>
      <c r="F95" s="2"/>
      <c r="G95" s="2" t="s">
        <v>12</v>
      </c>
      <c r="H95" s="2"/>
      <c r="I95" s="4">
        <v>44757</v>
      </c>
      <c r="J95" s="2" t="s">
        <v>192</v>
      </c>
      <c r="K95" s="2" t="s">
        <v>19</v>
      </c>
      <c r="L95" s="2" t="s">
        <v>20</v>
      </c>
      <c r="M95" s="2" t="s">
        <v>16</v>
      </c>
    </row>
    <row r="96" spans="1:13" x14ac:dyDescent="0.3">
      <c r="A96" s="2" t="s">
        <v>265</v>
      </c>
      <c r="B96" s="2" t="s">
        <v>266</v>
      </c>
      <c r="C96" s="2" t="s">
        <v>9</v>
      </c>
      <c r="D96" s="2" t="s">
        <v>267</v>
      </c>
      <c r="E96" s="2" t="s">
        <v>11</v>
      </c>
      <c r="F96" s="2" t="s">
        <v>268</v>
      </c>
      <c r="G96" s="2" t="s">
        <v>12</v>
      </c>
      <c r="H96" s="2"/>
      <c r="I96" s="4">
        <v>44757</v>
      </c>
      <c r="J96" s="2" t="s">
        <v>13</v>
      </c>
      <c r="K96" s="2" t="s">
        <v>19</v>
      </c>
      <c r="L96" s="2" t="s">
        <v>20</v>
      </c>
      <c r="M96" s="2" t="s">
        <v>21</v>
      </c>
    </row>
    <row r="97" spans="1:13" x14ac:dyDescent="0.3">
      <c r="A97" s="7" t="str">
        <f>HYPERLINK("https://hsdes.intel.com/resource/14013174821","14013174821")</f>
        <v>14013174821</v>
      </c>
      <c r="B97" s="7" t="s">
        <v>269</v>
      </c>
      <c r="C97" s="2" t="s">
        <v>9</v>
      </c>
      <c r="D97" s="7" t="s">
        <v>270</v>
      </c>
      <c r="E97" s="7" t="s">
        <v>11</v>
      </c>
      <c r="F97" s="7"/>
      <c r="G97" s="7" t="s">
        <v>12</v>
      </c>
      <c r="H97" s="7"/>
      <c r="I97" s="8">
        <v>44761</v>
      </c>
      <c r="J97" s="7" t="s">
        <v>13</v>
      </c>
      <c r="K97" s="7" t="s">
        <v>33</v>
      </c>
      <c r="L97" s="7" t="s">
        <v>29</v>
      </c>
      <c r="M97" s="7" t="s">
        <v>16</v>
      </c>
    </row>
    <row r="98" spans="1:13" x14ac:dyDescent="0.3">
      <c r="A98" s="7" t="str">
        <f>HYPERLINK("https://hsdes.intel.com/resource/14013174825","14013174825")</f>
        <v>14013174825</v>
      </c>
      <c r="B98" s="7" t="s">
        <v>271</v>
      </c>
      <c r="C98" s="2" t="s">
        <v>9</v>
      </c>
      <c r="D98" s="7" t="s">
        <v>272</v>
      </c>
      <c r="E98" s="7" t="s">
        <v>11</v>
      </c>
      <c r="F98" s="7"/>
      <c r="G98" s="7" t="s">
        <v>12</v>
      </c>
      <c r="H98" s="7"/>
      <c r="I98" s="8">
        <v>44761</v>
      </c>
      <c r="J98" s="7" t="s">
        <v>13</v>
      </c>
      <c r="K98" s="7" t="s">
        <v>33</v>
      </c>
      <c r="L98" s="7" t="s">
        <v>29</v>
      </c>
      <c r="M98" s="7" t="s">
        <v>16</v>
      </c>
    </row>
    <row r="99" spans="1:13" x14ac:dyDescent="0.3">
      <c r="A99" s="7" t="str">
        <f>HYPERLINK("https://hsdes.intel.com/resource/14013174827","14013174827")</f>
        <v>14013174827</v>
      </c>
      <c r="B99" s="7" t="s">
        <v>273</v>
      </c>
      <c r="C99" s="2" t="s">
        <v>9</v>
      </c>
      <c r="D99" s="7" t="s">
        <v>274</v>
      </c>
      <c r="E99" s="7" t="s">
        <v>11</v>
      </c>
      <c r="F99" s="7"/>
      <c r="G99" s="7" t="s">
        <v>12</v>
      </c>
      <c r="H99" s="7"/>
      <c r="I99" s="8">
        <v>44761</v>
      </c>
      <c r="J99" s="7" t="s">
        <v>13</v>
      </c>
      <c r="K99" s="7" t="s">
        <v>33</v>
      </c>
      <c r="L99" s="7" t="s">
        <v>29</v>
      </c>
      <c r="M99" s="7" t="s">
        <v>16</v>
      </c>
    </row>
    <row r="100" spans="1:13" x14ac:dyDescent="0.3">
      <c r="A100" s="7" t="str">
        <f>HYPERLINK("https://hsdes.intel.com/resource/14013174829","14013174829")</f>
        <v>14013174829</v>
      </c>
      <c r="B100" s="7" t="s">
        <v>275</v>
      </c>
      <c r="C100" s="2" t="s">
        <v>9</v>
      </c>
      <c r="D100" s="7" t="s">
        <v>276</v>
      </c>
      <c r="E100" s="7" t="s">
        <v>11</v>
      </c>
      <c r="F100" s="7"/>
      <c r="G100" s="7" t="s">
        <v>12</v>
      </c>
      <c r="H100" s="7"/>
      <c r="I100" s="8">
        <v>44761</v>
      </c>
      <c r="J100" s="7" t="s">
        <v>13</v>
      </c>
      <c r="K100" s="7" t="s">
        <v>33</v>
      </c>
      <c r="L100" s="7" t="s">
        <v>29</v>
      </c>
      <c r="M100" s="7" t="s">
        <v>16</v>
      </c>
    </row>
    <row r="101" spans="1:13" x14ac:dyDescent="0.3">
      <c r="A101" s="7" t="str">
        <f>HYPERLINK("https://hsdes.intel.com/resource/14013174831","14013174831")</f>
        <v>14013174831</v>
      </c>
      <c r="B101" s="7" t="s">
        <v>277</v>
      </c>
      <c r="C101" s="2" t="s">
        <v>9</v>
      </c>
      <c r="D101" s="7" t="s">
        <v>278</v>
      </c>
      <c r="E101" s="7" t="s">
        <v>11</v>
      </c>
      <c r="F101" s="7"/>
      <c r="G101" s="7" t="s">
        <v>12</v>
      </c>
      <c r="H101" s="7"/>
      <c r="I101" s="8">
        <v>44761</v>
      </c>
      <c r="J101" s="7" t="s">
        <v>13</v>
      </c>
      <c r="K101" s="7" t="s">
        <v>33</v>
      </c>
      <c r="L101" s="7" t="s">
        <v>29</v>
      </c>
      <c r="M101" s="7" t="s">
        <v>16</v>
      </c>
    </row>
    <row r="102" spans="1:13" x14ac:dyDescent="0.3">
      <c r="A102" s="7" t="str">
        <f>HYPERLINK("https://hsdes.intel.com/resource/14013174835","14013174835")</f>
        <v>14013174835</v>
      </c>
      <c r="B102" s="7" t="s">
        <v>279</v>
      </c>
      <c r="C102" s="2" t="s">
        <v>9</v>
      </c>
      <c r="D102" s="7" t="s">
        <v>280</v>
      </c>
      <c r="E102" s="7" t="s">
        <v>11</v>
      </c>
      <c r="F102" s="7"/>
      <c r="G102" s="7" t="s">
        <v>12</v>
      </c>
      <c r="H102" s="7"/>
      <c r="I102" s="8">
        <v>44761</v>
      </c>
      <c r="J102" s="7" t="s">
        <v>13</v>
      </c>
      <c r="K102" s="7" t="s">
        <v>33</v>
      </c>
      <c r="L102" s="7" t="s">
        <v>29</v>
      </c>
      <c r="M102" s="7" t="s">
        <v>16</v>
      </c>
    </row>
    <row r="103" spans="1:13" x14ac:dyDescent="0.3">
      <c r="A103" s="7">
        <v>14013157313</v>
      </c>
      <c r="B103" s="7" t="s">
        <v>281</v>
      </c>
      <c r="C103" s="2" t="s">
        <v>9</v>
      </c>
      <c r="D103" s="7" t="s">
        <v>282</v>
      </c>
      <c r="E103" s="7" t="s">
        <v>11</v>
      </c>
      <c r="F103" s="7" t="s">
        <v>3621</v>
      </c>
      <c r="G103" s="2" t="s">
        <v>12</v>
      </c>
      <c r="H103" s="2" t="s">
        <v>3607</v>
      </c>
      <c r="I103" s="8">
        <v>44767</v>
      </c>
      <c r="J103" s="7" t="s">
        <v>13</v>
      </c>
      <c r="K103" s="7" t="s">
        <v>14</v>
      </c>
      <c r="L103" s="7" t="s">
        <v>88</v>
      </c>
      <c r="M103" s="7" t="s">
        <v>16</v>
      </c>
    </row>
    <row r="104" spans="1:13" x14ac:dyDescent="0.3">
      <c r="A104" s="7" t="s">
        <v>283</v>
      </c>
      <c r="B104" s="7" t="s">
        <v>284</v>
      </c>
      <c r="C104" s="2" t="s">
        <v>9</v>
      </c>
      <c r="D104" s="7" t="s">
        <v>285</v>
      </c>
      <c r="E104" s="7" t="s">
        <v>11</v>
      </c>
      <c r="F104" s="7"/>
      <c r="G104" s="2" t="s">
        <v>12</v>
      </c>
      <c r="H104" s="2"/>
      <c r="I104" s="8">
        <v>44763</v>
      </c>
      <c r="J104" s="7" t="s">
        <v>13</v>
      </c>
      <c r="K104" s="7" t="s">
        <v>33</v>
      </c>
      <c r="L104" s="7" t="s">
        <v>29</v>
      </c>
      <c r="M104" s="7" t="s">
        <v>24</v>
      </c>
    </row>
    <row r="105" spans="1:13" x14ac:dyDescent="0.3">
      <c r="A105" s="7" t="s">
        <v>286</v>
      </c>
      <c r="B105" s="7" t="s">
        <v>287</v>
      </c>
      <c r="C105" s="2" t="s">
        <v>9</v>
      </c>
      <c r="D105" s="7" t="s">
        <v>288</v>
      </c>
      <c r="E105" s="9" t="s">
        <v>11</v>
      </c>
      <c r="F105" s="7" t="s">
        <v>289</v>
      </c>
      <c r="G105" s="2" t="s">
        <v>12</v>
      </c>
      <c r="H105" s="2"/>
      <c r="I105" s="8">
        <v>44762</v>
      </c>
      <c r="J105" s="7" t="s">
        <v>192</v>
      </c>
      <c r="K105" s="7" t="s">
        <v>290</v>
      </c>
      <c r="L105" s="7" t="s">
        <v>291</v>
      </c>
      <c r="M105" s="7" t="s">
        <v>16</v>
      </c>
    </row>
    <row r="106" spans="1:13" x14ac:dyDescent="0.3">
      <c r="A106" s="7" t="s">
        <v>292</v>
      </c>
      <c r="B106" s="7" t="s">
        <v>293</v>
      </c>
      <c r="C106" s="2" t="s">
        <v>9</v>
      </c>
      <c r="D106" s="7" t="s">
        <v>294</v>
      </c>
      <c r="E106" s="9" t="s">
        <v>11</v>
      </c>
      <c r="F106" s="7" t="s">
        <v>295</v>
      </c>
      <c r="G106" s="2" t="s">
        <v>12</v>
      </c>
      <c r="H106" s="2"/>
      <c r="I106" s="8">
        <v>44762</v>
      </c>
      <c r="J106" s="7" t="s">
        <v>192</v>
      </c>
      <c r="K106" s="7" t="s">
        <v>296</v>
      </c>
      <c r="L106" s="7" t="s">
        <v>297</v>
      </c>
      <c r="M106" s="7" t="s">
        <v>21</v>
      </c>
    </row>
    <row r="107" spans="1:13" x14ac:dyDescent="0.3">
      <c r="A107" s="7" t="s">
        <v>298</v>
      </c>
      <c r="B107" s="7" t="s">
        <v>299</v>
      </c>
      <c r="C107" s="2" t="s">
        <v>9</v>
      </c>
      <c r="D107" s="7" t="s">
        <v>300</v>
      </c>
      <c r="E107" s="7" t="s">
        <v>11</v>
      </c>
      <c r="F107" s="7" t="s">
        <v>3622</v>
      </c>
      <c r="G107" s="2" t="s">
        <v>12</v>
      </c>
      <c r="H107" s="2" t="s">
        <v>3607</v>
      </c>
      <c r="I107" s="8">
        <v>44767</v>
      </c>
      <c r="J107" s="7" t="s">
        <v>13</v>
      </c>
      <c r="K107" s="7" t="s">
        <v>296</v>
      </c>
      <c r="L107" s="7" t="s">
        <v>297</v>
      </c>
      <c r="M107" s="7" t="s">
        <v>24</v>
      </c>
    </row>
    <row r="108" spans="1:13" x14ac:dyDescent="0.3">
      <c r="A108" s="7" t="s">
        <v>302</v>
      </c>
      <c r="B108" s="7" t="s">
        <v>303</v>
      </c>
      <c r="C108" s="2" t="s">
        <v>9</v>
      </c>
      <c r="D108" s="7" t="s">
        <v>304</v>
      </c>
      <c r="E108" s="2" t="s">
        <v>32</v>
      </c>
      <c r="F108" s="7" t="s">
        <v>3622</v>
      </c>
      <c r="G108" s="2" t="s">
        <v>12</v>
      </c>
      <c r="H108" s="2" t="s">
        <v>3607</v>
      </c>
      <c r="I108" s="8">
        <v>44767</v>
      </c>
      <c r="J108" s="7" t="s">
        <v>13</v>
      </c>
      <c r="K108" s="7" t="s">
        <v>296</v>
      </c>
      <c r="L108" s="7" t="s">
        <v>297</v>
      </c>
      <c r="M108" s="7" t="s">
        <v>24</v>
      </c>
    </row>
    <row r="109" spans="1:13" x14ac:dyDescent="0.3">
      <c r="A109" s="7" t="s">
        <v>305</v>
      </c>
      <c r="B109" s="7" t="s">
        <v>306</v>
      </c>
      <c r="C109" s="2" t="s">
        <v>9</v>
      </c>
      <c r="D109" s="7" t="s">
        <v>307</v>
      </c>
      <c r="E109" s="7" t="s">
        <v>11</v>
      </c>
      <c r="F109" s="7"/>
      <c r="G109" s="7" t="s">
        <v>12</v>
      </c>
      <c r="H109" s="7"/>
      <c r="I109" s="8">
        <v>44762</v>
      </c>
      <c r="J109" s="7" t="s">
        <v>13</v>
      </c>
      <c r="K109" s="7" t="s">
        <v>28</v>
      </c>
      <c r="L109" s="7" t="s">
        <v>29</v>
      </c>
      <c r="M109" s="7" t="s">
        <v>24</v>
      </c>
    </row>
    <row r="110" spans="1:13" x14ac:dyDescent="0.3">
      <c r="A110" s="7" t="s">
        <v>308</v>
      </c>
      <c r="B110" s="7" t="s">
        <v>309</v>
      </c>
      <c r="C110" s="2" t="s">
        <v>9</v>
      </c>
      <c r="D110" s="7" t="s">
        <v>310</v>
      </c>
      <c r="E110" s="7" t="s">
        <v>11</v>
      </c>
      <c r="F110" s="7"/>
      <c r="G110" s="7" t="s">
        <v>12</v>
      </c>
      <c r="H110" s="7"/>
      <c r="I110" s="8">
        <v>44762</v>
      </c>
      <c r="J110" s="7" t="s">
        <v>13</v>
      </c>
      <c r="K110" s="7" t="s">
        <v>33</v>
      </c>
      <c r="L110" s="7" t="s">
        <v>29</v>
      </c>
      <c r="M110" s="7" t="s">
        <v>16</v>
      </c>
    </row>
    <row r="111" spans="1:13" x14ac:dyDescent="0.3">
      <c r="A111" s="7" t="s">
        <v>311</v>
      </c>
      <c r="B111" s="7" t="s">
        <v>312</v>
      </c>
      <c r="C111" s="2" t="s">
        <v>9</v>
      </c>
      <c r="D111" s="7" t="s">
        <v>313</v>
      </c>
      <c r="E111" s="7" t="s">
        <v>37</v>
      </c>
      <c r="F111" s="7"/>
      <c r="G111" s="7" t="s">
        <v>12</v>
      </c>
      <c r="H111" s="7"/>
      <c r="I111" s="8">
        <v>44762</v>
      </c>
      <c r="J111" s="7" t="s">
        <v>13</v>
      </c>
      <c r="K111" s="7" t="s">
        <v>33</v>
      </c>
      <c r="L111" s="7" t="s">
        <v>29</v>
      </c>
      <c r="M111" s="7" t="s">
        <v>16</v>
      </c>
    </row>
    <row r="112" spans="1:13" x14ac:dyDescent="0.3">
      <c r="A112" s="7" t="s">
        <v>314</v>
      </c>
      <c r="B112" s="7" t="s">
        <v>315</v>
      </c>
      <c r="C112" s="2" t="s">
        <v>9</v>
      </c>
      <c r="D112" s="7" t="s">
        <v>316</v>
      </c>
      <c r="E112" s="7" t="s">
        <v>37</v>
      </c>
      <c r="F112" s="7"/>
      <c r="G112" s="7" t="s">
        <v>12</v>
      </c>
      <c r="H112" s="7"/>
      <c r="I112" s="8">
        <v>44762</v>
      </c>
      <c r="J112" s="7" t="s">
        <v>13</v>
      </c>
      <c r="K112" s="7" t="s">
        <v>33</v>
      </c>
      <c r="L112" s="7" t="s">
        <v>29</v>
      </c>
      <c r="M112" s="7" t="s">
        <v>16</v>
      </c>
    </row>
    <row r="113" spans="1:13" x14ac:dyDescent="0.3">
      <c r="A113" s="7" t="s">
        <v>317</v>
      </c>
      <c r="B113" s="7" t="s">
        <v>318</v>
      </c>
      <c r="C113" s="2" t="s">
        <v>9</v>
      </c>
      <c r="D113" s="7" t="s">
        <v>319</v>
      </c>
      <c r="E113" s="7" t="s">
        <v>37</v>
      </c>
      <c r="F113" s="7"/>
      <c r="G113" s="7" t="s">
        <v>12</v>
      </c>
      <c r="H113" s="7"/>
      <c r="I113" s="8">
        <v>44762</v>
      </c>
      <c r="J113" s="7" t="s">
        <v>13</v>
      </c>
      <c r="K113" s="7" t="s">
        <v>320</v>
      </c>
      <c r="L113" s="7" t="s">
        <v>29</v>
      </c>
      <c r="M113" s="7" t="s">
        <v>24</v>
      </c>
    </row>
    <row r="114" spans="1:13" x14ac:dyDescent="0.3">
      <c r="A114" s="7" t="s">
        <v>321</v>
      </c>
      <c r="B114" s="7" t="s">
        <v>322</v>
      </c>
      <c r="C114" s="2" t="s">
        <v>9</v>
      </c>
      <c r="D114" s="7" t="s">
        <v>323</v>
      </c>
      <c r="E114" s="7" t="s">
        <v>11</v>
      </c>
      <c r="F114" s="7" t="s">
        <v>324</v>
      </c>
      <c r="G114" s="7" t="s">
        <v>12</v>
      </c>
      <c r="H114" s="7"/>
      <c r="I114" s="8">
        <v>44763</v>
      </c>
      <c r="J114" s="7" t="s">
        <v>13</v>
      </c>
      <c r="K114" s="7" t="s">
        <v>28</v>
      </c>
      <c r="L114" s="7" t="s">
        <v>29</v>
      </c>
      <c r="M114" s="7" t="s">
        <v>16</v>
      </c>
    </row>
    <row r="115" spans="1:13" x14ac:dyDescent="0.3">
      <c r="A115" s="7" t="s">
        <v>325</v>
      </c>
      <c r="B115" s="7" t="s">
        <v>326</v>
      </c>
      <c r="C115" s="2" t="s">
        <v>9</v>
      </c>
      <c r="D115" s="7" t="s">
        <v>327</v>
      </c>
      <c r="E115" s="7" t="s">
        <v>37</v>
      </c>
      <c r="F115" s="7"/>
      <c r="G115" s="7" t="s">
        <v>12</v>
      </c>
      <c r="H115" s="7"/>
      <c r="I115" s="7"/>
      <c r="J115" s="7" t="s">
        <v>13</v>
      </c>
      <c r="K115" s="7" t="s">
        <v>328</v>
      </c>
      <c r="L115" s="7" t="s">
        <v>29</v>
      </c>
      <c r="M115" s="7" t="s">
        <v>16</v>
      </c>
    </row>
    <row r="116" spans="1:13" x14ac:dyDescent="0.3">
      <c r="A116" s="7" t="s">
        <v>329</v>
      </c>
      <c r="B116" s="7" t="s">
        <v>330</v>
      </c>
      <c r="C116" s="2" t="s">
        <v>9</v>
      </c>
      <c r="D116" s="7" t="s">
        <v>331</v>
      </c>
      <c r="E116" s="7" t="s">
        <v>11</v>
      </c>
      <c r="F116" s="7"/>
      <c r="G116" s="7" t="s">
        <v>12</v>
      </c>
      <c r="H116" s="7"/>
      <c r="I116" s="8">
        <v>44763</v>
      </c>
      <c r="J116" s="7" t="s">
        <v>13</v>
      </c>
      <c r="K116" s="7" t="s">
        <v>33</v>
      </c>
      <c r="L116" s="7" t="s">
        <v>29</v>
      </c>
      <c r="M116" s="7" t="s">
        <v>16</v>
      </c>
    </row>
    <row r="117" spans="1:13" x14ac:dyDescent="0.3">
      <c r="A117" s="7" t="s">
        <v>332</v>
      </c>
      <c r="B117" s="7" t="s">
        <v>333</v>
      </c>
      <c r="C117" s="2" t="s">
        <v>9</v>
      </c>
      <c r="D117" s="7" t="s">
        <v>334</v>
      </c>
      <c r="E117" s="2" t="s">
        <v>32</v>
      </c>
      <c r="F117" s="7" t="s">
        <v>3623</v>
      </c>
      <c r="G117" s="7" t="s">
        <v>12</v>
      </c>
      <c r="H117" s="2" t="s">
        <v>3607</v>
      </c>
      <c r="I117" s="8">
        <v>44768</v>
      </c>
      <c r="J117" s="7" t="s">
        <v>13</v>
      </c>
      <c r="K117" s="7" t="s">
        <v>33</v>
      </c>
      <c r="L117" s="7" t="s">
        <v>29</v>
      </c>
      <c r="M117" s="7" t="s">
        <v>16</v>
      </c>
    </row>
    <row r="118" spans="1:13" x14ac:dyDescent="0.3">
      <c r="A118" s="7" t="s">
        <v>335</v>
      </c>
      <c r="B118" s="7" t="s">
        <v>336</v>
      </c>
      <c r="C118" s="2" t="s">
        <v>9</v>
      </c>
      <c r="D118" s="7" t="s">
        <v>337</v>
      </c>
      <c r="E118" s="7" t="s">
        <v>37</v>
      </c>
      <c r="F118" s="7"/>
      <c r="G118" s="7"/>
      <c r="H118" s="7"/>
      <c r="I118" s="7"/>
      <c r="J118" s="7" t="s">
        <v>13</v>
      </c>
      <c r="K118" s="7" t="s">
        <v>33</v>
      </c>
      <c r="L118" s="7" t="s">
        <v>29</v>
      </c>
      <c r="M118" s="7" t="s">
        <v>16</v>
      </c>
    </row>
    <row r="119" spans="1:13" x14ac:dyDescent="0.3">
      <c r="A119" s="7" t="s">
        <v>338</v>
      </c>
      <c r="B119" s="7" t="s">
        <v>339</v>
      </c>
      <c r="C119" s="2" t="s">
        <v>9</v>
      </c>
      <c r="D119" s="7" t="s">
        <v>340</v>
      </c>
      <c r="E119" s="7" t="s">
        <v>11</v>
      </c>
      <c r="F119" s="7" t="s">
        <v>83</v>
      </c>
      <c r="G119" s="7" t="s">
        <v>84</v>
      </c>
      <c r="H119" s="7"/>
      <c r="I119" s="10">
        <v>44764</v>
      </c>
      <c r="J119" s="7" t="s">
        <v>13</v>
      </c>
      <c r="K119" s="7" t="s">
        <v>33</v>
      </c>
      <c r="L119" s="7" t="s">
        <v>29</v>
      </c>
      <c r="M119" s="7" t="s">
        <v>24</v>
      </c>
    </row>
    <row r="120" spans="1:13" x14ac:dyDescent="0.3">
      <c r="A120" s="2" t="str">
        <f>HYPERLINK("https://hsdes.intel.com/resource/14013114989","14013114989")</f>
        <v>14013114989</v>
      </c>
      <c r="B120" s="2" t="s">
        <v>8</v>
      </c>
      <c r="C120" s="2" t="s">
        <v>341</v>
      </c>
      <c r="D120" s="2" t="s">
        <v>10</v>
      </c>
      <c r="E120" s="2" t="s">
        <v>342</v>
      </c>
      <c r="F120" s="2"/>
      <c r="G120" s="2" t="s">
        <v>343</v>
      </c>
      <c r="H120" s="2"/>
      <c r="I120" s="4">
        <v>44756</v>
      </c>
      <c r="J120" s="2" t="s">
        <v>13</v>
      </c>
      <c r="K120" s="2" t="s">
        <v>14</v>
      </c>
      <c r="L120" s="2" t="s">
        <v>15</v>
      </c>
      <c r="M120" s="2" t="s">
        <v>16</v>
      </c>
    </row>
    <row r="121" spans="1:13" x14ac:dyDescent="0.3">
      <c r="A121" s="2" t="str">
        <f>HYPERLINK("https://hsdes.intel.com/resource/14013115011","14013115011")</f>
        <v>14013115011</v>
      </c>
      <c r="B121" s="2" t="s">
        <v>17</v>
      </c>
      <c r="C121" s="2" t="s">
        <v>341</v>
      </c>
      <c r="D121" s="2" t="s">
        <v>18</v>
      </c>
      <c r="E121" s="2" t="s">
        <v>342</v>
      </c>
      <c r="F121" s="2"/>
      <c r="G121" s="2" t="s">
        <v>343</v>
      </c>
      <c r="H121" s="2"/>
      <c r="I121" s="4">
        <v>44756</v>
      </c>
      <c r="J121" s="2" t="s">
        <v>13</v>
      </c>
      <c r="K121" s="2" t="s">
        <v>19</v>
      </c>
      <c r="L121" s="2" t="s">
        <v>20</v>
      </c>
      <c r="M121" s="2" t="s">
        <v>21</v>
      </c>
    </row>
    <row r="122" spans="1:13" x14ac:dyDescent="0.3">
      <c r="A122" s="2" t="str">
        <f>HYPERLINK("https://hsdes.intel.com/resource/14013115043","14013115043")</f>
        <v>14013115043</v>
      </c>
      <c r="B122" s="2" t="s">
        <v>22</v>
      </c>
      <c r="C122" s="2" t="s">
        <v>341</v>
      </c>
      <c r="D122" s="2" t="s">
        <v>23</v>
      </c>
      <c r="E122" s="2" t="s">
        <v>342</v>
      </c>
      <c r="F122" s="2"/>
      <c r="G122" s="2" t="s">
        <v>343</v>
      </c>
      <c r="H122" s="2"/>
      <c r="I122" s="4">
        <v>44756</v>
      </c>
      <c r="J122" s="2" t="s">
        <v>13</v>
      </c>
      <c r="K122" s="2" t="s">
        <v>14</v>
      </c>
      <c r="L122" s="2" t="s">
        <v>15</v>
      </c>
      <c r="M122" s="2" t="s">
        <v>24</v>
      </c>
    </row>
    <row r="123" spans="1:13" x14ac:dyDescent="0.3">
      <c r="A123" s="2" t="str">
        <f>HYPERLINK("https://hsdes.intel.com/resource/14013119063","14013119063")</f>
        <v>14013119063</v>
      </c>
      <c r="B123" s="2" t="s">
        <v>25</v>
      </c>
      <c r="C123" s="2" t="s">
        <v>341</v>
      </c>
      <c r="D123" s="2" t="s">
        <v>26</v>
      </c>
      <c r="E123" s="2" t="s">
        <v>37</v>
      </c>
      <c r="F123" s="2" t="s">
        <v>344</v>
      </c>
      <c r="G123" s="2" t="s">
        <v>345</v>
      </c>
      <c r="H123" s="2"/>
      <c r="I123" s="4">
        <v>44761</v>
      </c>
      <c r="J123" s="2" t="s">
        <v>13</v>
      </c>
      <c r="K123" s="2" t="s">
        <v>28</v>
      </c>
      <c r="L123" s="2" t="s">
        <v>29</v>
      </c>
      <c r="M123" s="2" t="s">
        <v>16</v>
      </c>
    </row>
    <row r="124" spans="1:13" x14ac:dyDescent="0.3">
      <c r="A124" s="2" t="str">
        <f>HYPERLINK("https://hsdes.intel.com/resource/14013119215","14013119215")</f>
        <v>14013119215</v>
      </c>
      <c r="B124" s="2" t="s">
        <v>30</v>
      </c>
      <c r="C124" s="2" t="s">
        <v>341</v>
      </c>
      <c r="D124" s="2" t="s">
        <v>31</v>
      </c>
      <c r="E124" t="s">
        <v>32</v>
      </c>
      <c r="F124" s="2" t="s">
        <v>346</v>
      </c>
      <c r="G124" s="2" t="s">
        <v>345</v>
      </c>
      <c r="H124" s="2" t="s">
        <v>345</v>
      </c>
      <c r="I124" s="4">
        <v>44767</v>
      </c>
      <c r="J124" s="2" t="s">
        <v>13</v>
      </c>
      <c r="K124" s="2" t="s">
        <v>33</v>
      </c>
      <c r="L124" s="2" t="s">
        <v>34</v>
      </c>
      <c r="M124" s="2" t="s">
        <v>16</v>
      </c>
    </row>
    <row r="125" spans="1:13" x14ac:dyDescent="0.3">
      <c r="A125" s="2" t="str">
        <f>HYPERLINK("https://hsdes.intel.com/resource/14013158232","14013158232")</f>
        <v>14013158232</v>
      </c>
      <c r="B125" s="2" t="s">
        <v>35</v>
      </c>
      <c r="C125" s="2" t="s">
        <v>341</v>
      </c>
      <c r="D125" s="2" t="s">
        <v>36</v>
      </c>
      <c r="E125" s="2" t="s">
        <v>342</v>
      </c>
      <c r="F125" s="2"/>
      <c r="G125" s="2" t="s">
        <v>347</v>
      </c>
      <c r="H125" s="2"/>
      <c r="I125" s="2"/>
      <c r="J125" s="2" t="s">
        <v>13</v>
      </c>
      <c r="K125" s="2" t="s">
        <v>33</v>
      </c>
      <c r="L125" s="2" t="s">
        <v>29</v>
      </c>
      <c r="M125" s="2" t="s">
        <v>16</v>
      </c>
    </row>
    <row r="126" spans="1:13" x14ac:dyDescent="0.3">
      <c r="A126" s="2" t="str">
        <f>HYPERLINK("https://hsdes.intel.com/resource/14013158240","14013158240")</f>
        <v>14013158240</v>
      </c>
      <c r="B126" s="2" t="s">
        <v>38</v>
      </c>
      <c r="C126" s="2" t="s">
        <v>341</v>
      </c>
      <c r="D126" s="2" t="s">
        <v>39</v>
      </c>
      <c r="E126" s="2" t="s">
        <v>342</v>
      </c>
      <c r="F126" s="2"/>
      <c r="G126" s="2" t="s">
        <v>347</v>
      </c>
      <c r="H126" s="2"/>
      <c r="I126" s="2"/>
      <c r="J126" s="2" t="s">
        <v>13</v>
      </c>
      <c r="K126" s="2" t="s">
        <v>33</v>
      </c>
      <c r="L126" s="2" t="s">
        <v>29</v>
      </c>
      <c r="M126" s="2" t="s">
        <v>16</v>
      </c>
    </row>
    <row r="127" spans="1:13" x14ac:dyDescent="0.3">
      <c r="A127" s="2" t="str">
        <f>HYPERLINK("https://hsdes.intel.com/resource/14013158295","14013158295")</f>
        <v>14013158295</v>
      </c>
      <c r="B127" s="2" t="s">
        <v>40</v>
      </c>
      <c r="C127" s="2" t="s">
        <v>341</v>
      </c>
      <c r="D127" s="2" t="s">
        <v>41</v>
      </c>
      <c r="E127" s="2" t="s">
        <v>342</v>
      </c>
      <c r="F127" s="2"/>
      <c r="G127" s="2" t="s">
        <v>343</v>
      </c>
      <c r="H127" s="2"/>
      <c r="I127" s="4">
        <v>44756</v>
      </c>
      <c r="J127" s="2" t="s">
        <v>13</v>
      </c>
      <c r="K127" s="2" t="s">
        <v>42</v>
      </c>
      <c r="L127" s="2" t="s">
        <v>15</v>
      </c>
      <c r="M127" s="2" t="s">
        <v>21</v>
      </c>
    </row>
    <row r="128" spans="1:13" x14ac:dyDescent="0.3">
      <c r="A128" s="2" t="str">
        <f>HYPERLINK("https://hsdes.intel.com/resource/14013158397","14013158397")</f>
        <v>14013158397</v>
      </c>
      <c r="B128" s="2" t="s">
        <v>43</v>
      </c>
      <c r="C128" s="2" t="s">
        <v>341</v>
      </c>
      <c r="D128" s="2" t="s">
        <v>44</v>
      </c>
      <c r="E128" s="2" t="s">
        <v>342</v>
      </c>
      <c r="F128" s="2"/>
      <c r="G128" s="2" t="s">
        <v>347</v>
      </c>
      <c r="H128" s="2"/>
      <c r="I128" s="2"/>
      <c r="J128" s="2" t="s">
        <v>13</v>
      </c>
      <c r="K128" s="2" t="s">
        <v>45</v>
      </c>
      <c r="L128" s="2" t="s">
        <v>15</v>
      </c>
      <c r="M128" s="2" t="s">
        <v>16</v>
      </c>
    </row>
    <row r="129" spans="1:13" x14ac:dyDescent="0.3">
      <c r="A129" s="2" t="str">
        <f>HYPERLINK("https://hsdes.intel.com/resource/14013158827","14013158827")</f>
        <v>14013158827</v>
      </c>
      <c r="B129" s="2" t="s">
        <v>46</v>
      </c>
      <c r="C129" s="2" t="s">
        <v>341</v>
      </c>
      <c r="D129" s="2" t="s">
        <v>47</v>
      </c>
      <c r="E129" s="2" t="s">
        <v>342</v>
      </c>
      <c r="F129" s="2"/>
      <c r="G129" s="2" t="s">
        <v>345</v>
      </c>
      <c r="H129" s="2"/>
      <c r="I129" s="4">
        <v>44762</v>
      </c>
      <c r="J129" s="2" t="s">
        <v>13</v>
      </c>
      <c r="K129" s="2" t="s">
        <v>19</v>
      </c>
      <c r="L129" s="2" t="s">
        <v>20</v>
      </c>
      <c r="M129" s="2" t="s">
        <v>21</v>
      </c>
    </row>
    <row r="130" spans="1:13" x14ac:dyDescent="0.3">
      <c r="A130" s="2" t="str">
        <f>HYPERLINK("https://hsdes.intel.com/resource/14013158828","14013158828")</f>
        <v>14013158828</v>
      </c>
      <c r="B130" s="2" t="s">
        <v>48</v>
      </c>
      <c r="C130" s="2" t="s">
        <v>341</v>
      </c>
      <c r="D130" s="2" t="s">
        <v>49</v>
      </c>
      <c r="E130" s="2" t="s">
        <v>342</v>
      </c>
      <c r="F130" s="2"/>
      <c r="G130" s="2" t="s">
        <v>348</v>
      </c>
      <c r="H130" s="2"/>
      <c r="I130" s="4">
        <v>44756</v>
      </c>
      <c r="J130" s="2" t="s">
        <v>13</v>
      </c>
      <c r="K130" s="2" t="s">
        <v>19</v>
      </c>
      <c r="L130" s="2" t="s">
        <v>20</v>
      </c>
      <c r="M130" s="2" t="s">
        <v>21</v>
      </c>
    </row>
    <row r="131" spans="1:13" x14ac:dyDescent="0.3">
      <c r="A131" s="2" t="str">
        <f>HYPERLINK("https://hsdes.intel.com/resource/14013158830","14013158830")</f>
        <v>14013158830</v>
      </c>
      <c r="B131" s="2" t="s">
        <v>50</v>
      </c>
      <c r="C131" s="2" t="s">
        <v>341</v>
      </c>
      <c r="D131" s="2" t="s">
        <v>51</v>
      </c>
      <c r="E131" s="2" t="s">
        <v>342</v>
      </c>
      <c r="F131" s="2"/>
      <c r="G131" s="2" t="s">
        <v>345</v>
      </c>
      <c r="H131" s="2"/>
      <c r="I131" s="4">
        <v>44762</v>
      </c>
      <c r="J131" s="2" t="s">
        <v>13</v>
      </c>
      <c r="K131" s="2" t="s">
        <v>19</v>
      </c>
      <c r="L131" s="2" t="s">
        <v>20</v>
      </c>
      <c r="M131" s="2" t="s">
        <v>21</v>
      </c>
    </row>
    <row r="132" spans="1:13" x14ac:dyDescent="0.3">
      <c r="A132" s="2" t="str">
        <f>HYPERLINK("https://hsdes.intel.com/resource/14013158971","14013158971")</f>
        <v>14013158971</v>
      </c>
      <c r="B132" s="2" t="s">
        <v>52</v>
      </c>
      <c r="C132" s="2" t="s">
        <v>341</v>
      </c>
      <c r="D132" s="2" t="s">
        <v>53</v>
      </c>
      <c r="E132" t="s">
        <v>32</v>
      </c>
      <c r="F132" s="2" t="s">
        <v>346</v>
      </c>
      <c r="G132" s="2" t="s">
        <v>345</v>
      </c>
      <c r="H132" s="2" t="s">
        <v>345</v>
      </c>
      <c r="I132" s="4">
        <v>44767</v>
      </c>
      <c r="J132" s="2" t="s">
        <v>13</v>
      </c>
      <c r="K132" s="2" t="s">
        <v>33</v>
      </c>
      <c r="L132" s="2" t="s">
        <v>34</v>
      </c>
      <c r="M132" s="2" t="s">
        <v>16</v>
      </c>
    </row>
    <row r="133" spans="1:13" x14ac:dyDescent="0.3">
      <c r="A133" s="2" t="str">
        <f>HYPERLINK("https://hsdes.intel.com/resource/14013159097","14013159097")</f>
        <v>14013159097</v>
      </c>
      <c r="B133" s="2" t="s">
        <v>54</v>
      </c>
      <c r="C133" s="2" t="s">
        <v>341</v>
      </c>
      <c r="D133" s="2" t="s">
        <v>55</v>
      </c>
      <c r="E133" s="2" t="s">
        <v>342</v>
      </c>
      <c r="F133" s="2"/>
      <c r="G133" s="2" t="s">
        <v>345</v>
      </c>
      <c r="H133" s="2"/>
      <c r="I133" s="4">
        <v>44763</v>
      </c>
      <c r="J133" s="2" t="s">
        <v>13</v>
      </c>
      <c r="K133" s="2" t="s">
        <v>19</v>
      </c>
      <c r="L133" s="2" t="s">
        <v>20</v>
      </c>
      <c r="M133" s="2" t="s">
        <v>24</v>
      </c>
    </row>
    <row r="134" spans="1:13" x14ac:dyDescent="0.3">
      <c r="A134" s="2" t="str">
        <f>HYPERLINK("https://hsdes.intel.com/resource/14013159119","14013159119")</f>
        <v>14013159119</v>
      </c>
      <c r="B134" s="2" t="s">
        <v>56</v>
      </c>
      <c r="C134" s="2" t="s">
        <v>341</v>
      </c>
      <c r="D134" s="2" t="s">
        <v>57</v>
      </c>
      <c r="E134" s="2" t="s">
        <v>342</v>
      </c>
      <c r="F134" s="2"/>
      <c r="G134" s="2" t="s">
        <v>349</v>
      </c>
      <c r="H134" s="2"/>
      <c r="I134" s="2"/>
      <c r="J134" s="2" t="s">
        <v>13</v>
      </c>
      <c r="K134" s="2" t="s">
        <v>19</v>
      </c>
      <c r="L134" s="2" t="s">
        <v>20</v>
      </c>
      <c r="M134" s="2" t="s">
        <v>21</v>
      </c>
    </row>
    <row r="135" spans="1:13" x14ac:dyDescent="0.3">
      <c r="A135" s="2" t="str">
        <f>HYPERLINK("https://hsdes.intel.com/resource/14013159201","14013159201")</f>
        <v>14013159201</v>
      </c>
      <c r="B135" s="2" t="s">
        <v>58</v>
      </c>
      <c r="C135" s="2" t="s">
        <v>341</v>
      </c>
      <c r="D135" s="2" t="s">
        <v>59</v>
      </c>
      <c r="E135" s="2" t="s">
        <v>342</v>
      </c>
      <c r="F135" s="2"/>
      <c r="G135" s="2" t="s">
        <v>345</v>
      </c>
      <c r="H135" s="2"/>
      <c r="I135" s="4">
        <v>44763</v>
      </c>
      <c r="J135" s="2" t="s">
        <v>13</v>
      </c>
      <c r="K135" s="2" t="s">
        <v>19</v>
      </c>
      <c r="L135" s="2" t="s">
        <v>20</v>
      </c>
      <c r="M135" s="2" t="s">
        <v>24</v>
      </c>
    </row>
    <row r="136" spans="1:13" x14ac:dyDescent="0.3">
      <c r="A136" s="2" t="str">
        <f>HYPERLINK("https://hsdes.intel.com/resource/14013159224","14013159224")</f>
        <v>14013159224</v>
      </c>
      <c r="B136" s="2" t="s">
        <v>60</v>
      </c>
      <c r="C136" s="2" t="s">
        <v>341</v>
      </c>
      <c r="D136" s="2" t="s">
        <v>61</v>
      </c>
      <c r="E136" s="2" t="s">
        <v>342</v>
      </c>
      <c r="F136" s="2"/>
      <c r="G136" s="2" t="s">
        <v>345</v>
      </c>
      <c r="H136" s="2"/>
      <c r="I136" s="4">
        <v>44763</v>
      </c>
      <c r="J136" s="2" t="s">
        <v>13</v>
      </c>
      <c r="K136" s="2" t="s">
        <v>19</v>
      </c>
      <c r="L136" s="2" t="s">
        <v>20</v>
      </c>
      <c r="M136" s="2" t="s">
        <v>24</v>
      </c>
    </row>
    <row r="137" spans="1:13" x14ac:dyDescent="0.3">
      <c r="A137" s="2" t="str">
        <f>HYPERLINK("https://hsdes.intel.com/resource/14013159287","14013159287")</f>
        <v>14013159287</v>
      </c>
      <c r="B137" s="2" t="s">
        <v>62</v>
      </c>
      <c r="C137" s="2" t="s">
        <v>341</v>
      </c>
      <c r="D137" s="2" t="s">
        <v>63</v>
      </c>
      <c r="E137" s="2" t="s">
        <v>342</v>
      </c>
      <c r="F137" s="2" t="s">
        <v>350</v>
      </c>
      <c r="G137" s="2" t="s">
        <v>345</v>
      </c>
      <c r="H137" s="2"/>
      <c r="I137" s="4">
        <v>44762</v>
      </c>
      <c r="J137" s="2" t="s">
        <v>13</v>
      </c>
      <c r="K137" s="2" t="s">
        <v>19</v>
      </c>
      <c r="L137" s="2" t="s">
        <v>20</v>
      </c>
      <c r="M137" s="2" t="s">
        <v>24</v>
      </c>
    </row>
    <row r="138" spans="1:13" x14ac:dyDescent="0.3">
      <c r="A138" s="2" t="str">
        <f>HYPERLINK("https://hsdes.intel.com/resource/14013160246","14013160246")</f>
        <v>14013160246</v>
      </c>
      <c r="B138" s="2" t="s">
        <v>64</v>
      </c>
      <c r="C138" s="2" t="s">
        <v>341</v>
      </c>
      <c r="D138" s="2" t="s">
        <v>65</v>
      </c>
      <c r="E138" s="2" t="s">
        <v>342</v>
      </c>
      <c r="F138" s="2" t="s">
        <v>296</v>
      </c>
      <c r="G138" s="2" t="s">
        <v>345</v>
      </c>
      <c r="H138" s="2"/>
      <c r="I138" s="4">
        <v>44763</v>
      </c>
      <c r="J138" s="2" t="s">
        <v>13</v>
      </c>
      <c r="K138" s="2" t="s">
        <v>67</v>
      </c>
      <c r="L138" s="2" t="s">
        <v>68</v>
      </c>
      <c r="M138" s="2" t="s">
        <v>24</v>
      </c>
    </row>
    <row r="139" spans="1:13" x14ac:dyDescent="0.3">
      <c r="A139" s="2" t="str">
        <f>HYPERLINK("https://hsdes.intel.com/resource/14013160507","14013160507")</f>
        <v>14013160507</v>
      </c>
      <c r="B139" s="2" t="s">
        <v>69</v>
      </c>
      <c r="C139" s="2" t="s">
        <v>341</v>
      </c>
      <c r="D139" s="2" t="s">
        <v>70</v>
      </c>
      <c r="E139" s="2" t="s">
        <v>37</v>
      </c>
      <c r="F139" s="2" t="s">
        <v>351</v>
      </c>
      <c r="G139" s="2" t="s">
        <v>345</v>
      </c>
      <c r="H139" s="2"/>
      <c r="I139" s="4">
        <v>44759</v>
      </c>
      <c r="J139" s="2" t="s">
        <v>13</v>
      </c>
      <c r="K139" s="2" t="s">
        <v>71</v>
      </c>
      <c r="L139" s="2" t="s">
        <v>34</v>
      </c>
      <c r="M139" s="2" t="s">
        <v>16</v>
      </c>
    </row>
    <row r="140" spans="1:13" x14ac:dyDescent="0.3">
      <c r="A140" s="2" t="str">
        <f>HYPERLINK("https://hsdes.intel.com/resource/14013160511","14013160511")</f>
        <v>14013160511</v>
      </c>
      <c r="B140" s="2" t="s">
        <v>72</v>
      </c>
      <c r="C140" s="2" t="s">
        <v>341</v>
      </c>
      <c r="D140" s="2" t="s">
        <v>73</v>
      </c>
      <c r="E140" s="2" t="s">
        <v>37</v>
      </c>
      <c r="F140" s="2" t="s">
        <v>351</v>
      </c>
      <c r="G140" s="2" t="s">
        <v>345</v>
      </c>
      <c r="H140" s="2"/>
      <c r="I140" s="4">
        <v>44759</v>
      </c>
      <c r="J140" s="2" t="s">
        <v>13</v>
      </c>
      <c r="K140" s="2" t="s">
        <v>71</v>
      </c>
      <c r="L140" s="2" t="s">
        <v>34</v>
      </c>
      <c r="M140" s="2" t="s">
        <v>16</v>
      </c>
    </row>
    <row r="141" spans="1:13" x14ac:dyDescent="0.3">
      <c r="A141" s="2" t="str">
        <f>HYPERLINK("https://hsdes.intel.com/resource/14013160517","14013160517")</f>
        <v>14013160517</v>
      </c>
      <c r="B141" s="2" t="s">
        <v>74</v>
      </c>
      <c r="C141" s="2" t="s">
        <v>341</v>
      </c>
      <c r="D141" s="2" t="s">
        <v>75</v>
      </c>
      <c r="E141" s="2" t="s">
        <v>37</v>
      </c>
      <c r="F141" s="2" t="s">
        <v>351</v>
      </c>
      <c r="G141" s="2" t="s">
        <v>345</v>
      </c>
      <c r="H141" s="2"/>
      <c r="I141" s="4">
        <v>44759</v>
      </c>
      <c r="J141" s="2" t="s">
        <v>13</v>
      </c>
      <c r="K141" s="2" t="s">
        <v>71</v>
      </c>
      <c r="L141" s="2" t="s">
        <v>34</v>
      </c>
      <c r="M141" s="2" t="s">
        <v>16</v>
      </c>
    </row>
    <row r="142" spans="1:13" x14ac:dyDescent="0.3">
      <c r="A142" s="2" t="str">
        <f>HYPERLINK("https://hsdes.intel.com/resource/14013160580","14013160580")</f>
        <v>14013160580</v>
      </c>
      <c r="B142" s="2" t="s">
        <v>76</v>
      </c>
      <c r="C142" s="2" t="s">
        <v>341</v>
      </c>
      <c r="D142" s="2" t="s">
        <v>77</v>
      </c>
      <c r="E142" s="2" t="s">
        <v>342</v>
      </c>
      <c r="F142" s="2"/>
      <c r="G142" s="2" t="s">
        <v>345</v>
      </c>
      <c r="H142" s="2"/>
      <c r="I142" s="4">
        <v>44763</v>
      </c>
      <c r="J142" s="2" t="s">
        <v>13</v>
      </c>
      <c r="K142" s="2" t="s">
        <v>14</v>
      </c>
      <c r="L142" s="2" t="s">
        <v>15</v>
      </c>
      <c r="M142" s="2" t="s">
        <v>21</v>
      </c>
    </row>
    <row r="143" spans="1:13" x14ac:dyDescent="0.3">
      <c r="A143" s="2" t="str">
        <f>HYPERLINK("https://hsdes.intel.com/resource/14013160596","14013160596")</f>
        <v>14013160596</v>
      </c>
      <c r="B143" s="2" t="s">
        <v>78</v>
      </c>
      <c r="C143" s="2" t="s">
        <v>341</v>
      </c>
      <c r="D143" s="2" t="s">
        <v>79</v>
      </c>
      <c r="E143" s="2" t="s">
        <v>405</v>
      </c>
      <c r="F143" t="s">
        <v>591</v>
      </c>
      <c r="G143" s="2" t="s">
        <v>345</v>
      </c>
      <c r="H143" s="2" t="s">
        <v>345</v>
      </c>
      <c r="I143" s="4">
        <v>44767</v>
      </c>
      <c r="J143" s="2" t="s">
        <v>13</v>
      </c>
      <c r="K143" s="2" t="s">
        <v>14</v>
      </c>
      <c r="L143" s="2" t="s">
        <v>15</v>
      </c>
      <c r="M143" s="2" t="s">
        <v>21</v>
      </c>
    </row>
    <row r="144" spans="1:13" x14ac:dyDescent="0.3">
      <c r="A144" s="2" t="str">
        <f>HYPERLINK("https://hsdes.intel.com/resource/14013160724","14013160724")</f>
        <v>14013160724</v>
      </c>
      <c r="B144" s="2" t="s">
        <v>81</v>
      </c>
      <c r="C144" s="2" t="s">
        <v>341</v>
      </c>
      <c r="D144" s="2" t="s">
        <v>82</v>
      </c>
      <c r="E144" s="2" t="s">
        <v>342</v>
      </c>
      <c r="F144" s="2"/>
      <c r="G144" s="2" t="s">
        <v>349</v>
      </c>
      <c r="H144" s="2"/>
      <c r="I144" s="4">
        <v>44759</v>
      </c>
      <c r="J144" s="2" t="s">
        <v>13</v>
      </c>
      <c r="K144" s="2" t="s">
        <v>19</v>
      </c>
      <c r="L144" s="2" t="s">
        <v>20</v>
      </c>
      <c r="M144" s="2" t="s">
        <v>16</v>
      </c>
    </row>
    <row r="145" spans="1:13" x14ac:dyDescent="0.3">
      <c r="A145" s="2" t="str">
        <f>HYPERLINK("https://hsdes.intel.com/resource/14013161451","14013161451")</f>
        <v>14013161451</v>
      </c>
      <c r="B145" s="2" t="s">
        <v>85</v>
      </c>
      <c r="C145" s="2" t="s">
        <v>341</v>
      </c>
      <c r="D145" s="2" t="s">
        <v>86</v>
      </c>
      <c r="E145" s="2" t="s">
        <v>342</v>
      </c>
      <c r="F145" s="2"/>
      <c r="G145" s="2" t="s">
        <v>345</v>
      </c>
      <c r="H145" s="2"/>
      <c r="I145" s="4">
        <v>44764</v>
      </c>
      <c r="J145" s="2" t="s">
        <v>13</v>
      </c>
      <c r="K145" s="2" t="s">
        <v>14</v>
      </c>
      <c r="L145" s="2" t="s">
        <v>88</v>
      </c>
      <c r="M145" s="2" t="s">
        <v>24</v>
      </c>
    </row>
    <row r="146" spans="1:13" x14ac:dyDescent="0.3">
      <c r="A146" s="2" t="str">
        <f>HYPERLINK("https://hsdes.intel.com/resource/14013161491","14013161491")</f>
        <v>14013161491</v>
      </c>
      <c r="B146" s="2" t="s">
        <v>89</v>
      </c>
      <c r="C146" s="2" t="s">
        <v>341</v>
      </c>
      <c r="D146" s="2" t="s">
        <v>90</v>
      </c>
      <c r="E146" t="s">
        <v>32</v>
      </c>
      <c r="F146" s="2" t="s">
        <v>346</v>
      </c>
      <c r="G146" s="2" t="s">
        <v>345</v>
      </c>
      <c r="H146" s="2" t="s">
        <v>345</v>
      </c>
      <c r="I146" s="4">
        <v>44767</v>
      </c>
      <c r="J146" s="2" t="s">
        <v>13</v>
      </c>
      <c r="K146" s="2" t="s">
        <v>33</v>
      </c>
      <c r="L146" s="2" t="s">
        <v>34</v>
      </c>
      <c r="M146" s="2" t="s">
        <v>16</v>
      </c>
    </row>
    <row r="147" spans="1:13" x14ac:dyDescent="0.3">
      <c r="A147" s="2" t="str">
        <f>HYPERLINK("https://hsdes.intel.com/resource/14013161674","14013161674")</f>
        <v>14013161674</v>
      </c>
      <c r="B147" s="2" t="s">
        <v>91</v>
      </c>
      <c r="C147" s="2" t="s">
        <v>341</v>
      </c>
      <c r="D147" s="2" t="s">
        <v>92</v>
      </c>
      <c r="E147" s="2" t="s">
        <v>342</v>
      </c>
      <c r="F147" s="2"/>
      <c r="G147" s="2" t="s">
        <v>343</v>
      </c>
      <c r="H147" s="2"/>
      <c r="I147" s="4">
        <v>44756</v>
      </c>
      <c r="J147" s="2" t="s">
        <v>13</v>
      </c>
      <c r="K147" s="2" t="s">
        <v>93</v>
      </c>
      <c r="L147" s="2" t="s">
        <v>94</v>
      </c>
      <c r="M147" s="2" t="s">
        <v>24</v>
      </c>
    </row>
    <row r="148" spans="1:13" x14ac:dyDescent="0.3">
      <c r="A148" s="2" t="str">
        <f>HYPERLINK("https://hsdes.intel.com/resource/14013162374","14013162374")</f>
        <v>14013162374</v>
      </c>
      <c r="B148" s="2" t="s">
        <v>95</v>
      </c>
      <c r="C148" s="2" t="s">
        <v>341</v>
      </c>
      <c r="D148" s="2" t="s">
        <v>96</v>
      </c>
      <c r="E148" s="2" t="s">
        <v>342</v>
      </c>
      <c r="F148" s="2"/>
      <c r="G148" s="2" t="s">
        <v>343</v>
      </c>
      <c r="H148" s="2"/>
      <c r="I148" s="4">
        <v>44756</v>
      </c>
      <c r="J148" s="2" t="s">
        <v>13</v>
      </c>
      <c r="K148" s="2" t="s">
        <v>93</v>
      </c>
      <c r="L148" s="2" t="s">
        <v>94</v>
      </c>
      <c r="M148" s="2" t="s">
        <v>16</v>
      </c>
    </row>
    <row r="149" spans="1:13" x14ac:dyDescent="0.3">
      <c r="A149" s="2" t="str">
        <f>HYPERLINK("https://hsdes.intel.com/resource/14013162379","14013162379")</f>
        <v>14013162379</v>
      </c>
      <c r="B149" s="2" t="s">
        <v>97</v>
      </c>
      <c r="C149" s="2" t="s">
        <v>341</v>
      </c>
      <c r="D149" s="2" t="s">
        <v>98</v>
      </c>
      <c r="E149" s="2" t="s">
        <v>342</v>
      </c>
      <c r="F149" s="2"/>
      <c r="G149" s="2" t="s">
        <v>343</v>
      </c>
      <c r="H149" s="2"/>
      <c r="I149" s="4">
        <v>44756</v>
      </c>
      <c r="J149" s="2" t="s">
        <v>13</v>
      </c>
      <c r="K149" s="2" t="s">
        <v>93</v>
      </c>
      <c r="L149" s="2" t="s">
        <v>94</v>
      </c>
      <c r="M149" s="2" t="s">
        <v>16</v>
      </c>
    </row>
    <row r="150" spans="1:13" x14ac:dyDescent="0.3">
      <c r="A150" s="2" t="str">
        <f>HYPERLINK("https://hsdes.intel.com/resource/14013163326","14013163326")</f>
        <v>14013163326</v>
      </c>
      <c r="B150" s="2" t="s">
        <v>99</v>
      </c>
      <c r="C150" s="2" t="s">
        <v>341</v>
      </c>
      <c r="D150" s="2" t="s">
        <v>100</v>
      </c>
      <c r="E150" s="2" t="s">
        <v>37</v>
      </c>
      <c r="F150" s="2" t="s">
        <v>352</v>
      </c>
      <c r="G150" s="2" t="s">
        <v>345</v>
      </c>
      <c r="H150" s="2"/>
      <c r="I150" s="4">
        <v>44761</v>
      </c>
      <c r="J150" s="2" t="s">
        <v>13</v>
      </c>
      <c r="K150" s="2" t="s">
        <v>19</v>
      </c>
      <c r="L150" s="2" t="s">
        <v>20</v>
      </c>
      <c r="M150" s="2" t="s">
        <v>16</v>
      </c>
    </row>
    <row r="151" spans="1:13" x14ac:dyDescent="0.3">
      <c r="A151" s="2" t="str">
        <f>HYPERLINK("https://hsdes.intel.com/resource/14013163952","14013163952")</f>
        <v>14013163952</v>
      </c>
      <c r="B151" s="2" t="s">
        <v>101</v>
      </c>
      <c r="C151" s="2" t="s">
        <v>341</v>
      </c>
      <c r="D151" s="2" t="s">
        <v>102</v>
      </c>
      <c r="E151" t="s">
        <v>32</v>
      </c>
      <c r="F151" s="2" t="s">
        <v>346</v>
      </c>
      <c r="G151" s="2" t="s">
        <v>345</v>
      </c>
      <c r="H151" s="2" t="s">
        <v>345</v>
      </c>
      <c r="I151" s="4">
        <v>44767</v>
      </c>
      <c r="J151" s="2" t="s">
        <v>13</v>
      </c>
      <c r="K151" s="2" t="s">
        <v>33</v>
      </c>
      <c r="L151" s="2" t="s">
        <v>34</v>
      </c>
      <c r="M151" s="2" t="s">
        <v>16</v>
      </c>
    </row>
    <row r="152" spans="1:13" x14ac:dyDescent="0.3">
      <c r="A152" s="2" t="str">
        <f>HYPERLINK("https://hsdes.intel.com/resource/14013168846","14013168846")</f>
        <v>14013168846</v>
      </c>
      <c r="B152" s="2" t="s">
        <v>103</v>
      </c>
      <c r="C152" s="2" t="s">
        <v>341</v>
      </c>
      <c r="D152" s="2" t="s">
        <v>104</v>
      </c>
      <c r="E152" s="2" t="s">
        <v>342</v>
      </c>
      <c r="F152" s="2"/>
      <c r="G152" s="2" t="s">
        <v>347</v>
      </c>
      <c r="H152" s="2"/>
      <c r="I152" s="2"/>
      <c r="J152" s="2" t="s">
        <v>13</v>
      </c>
      <c r="K152" s="2" t="s">
        <v>105</v>
      </c>
      <c r="L152" s="2" t="s">
        <v>106</v>
      </c>
      <c r="M152" s="2" t="s">
        <v>24</v>
      </c>
    </row>
    <row r="153" spans="1:13" x14ac:dyDescent="0.3">
      <c r="A153" s="2" t="str">
        <f>HYPERLINK("https://hsdes.intel.com/resource/14013168950","14013168950")</f>
        <v>14013168950</v>
      </c>
      <c r="B153" s="2" t="s">
        <v>107</v>
      </c>
      <c r="C153" s="2" t="s">
        <v>341</v>
      </c>
      <c r="D153" s="2" t="s">
        <v>108</v>
      </c>
      <c r="E153" s="2" t="s">
        <v>32</v>
      </c>
      <c r="F153" s="2" t="s">
        <v>353</v>
      </c>
      <c r="G153" s="2" t="s">
        <v>345</v>
      </c>
      <c r="H153" s="2" t="s">
        <v>345</v>
      </c>
      <c r="I153" s="4">
        <v>44767</v>
      </c>
      <c r="J153" s="2" t="s">
        <v>13</v>
      </c>
      <c r="K153" s="2" t="s">
        <v>105</v>
      </c>
      <c r="L153" s="2" t="s">
        <v>110</v>
      </c>
      <c r="M153" s="2" t="s">
        <v>24</v>
      </c>
    </row>
    <row r="154" spans="1:13" x14ac:dyDescent="0.3">
      <c r="A154" s="2" t="str">
        <f>HYPERLINK("https://hsdes.intel.com/resource/14013169130","14013169130")</f>
        <v>14013169130</v>
      </c>
      <c r="B154" s="2" t="s">
        <v>111</v>
      </c>
      <c r="C154" s="2" t="s">
        <v>341</v>
      </c>
      <c r="D154" s="2" t="s">
        <v>112</v>
      </c>
      <c r="E154" s="2" t="s">
        <v>32</v>
      </c>
      <c r="F154" s="2" t="s">
        <v>353</v>
      </c>
      <c r="G154" s="2" t="s">
        <v>345</v>
      </c>
      <c r="H154" s="2" t="s">
        <v>345</v>
      </c>
      <c r="I154" s="4">
        <v>44767</v>
      </c>
      <c r="J154" s="2" t="s">
        <v>13</v>
      </c>
      <c r="K154" s="2" t="s">
        <v>105</v>
      </c>
      <c r="L154" s="2" t="s">
        <v>110</v>
      </c>
      <c r="M154" s="2" t="s">
        <v>24</v>
      </c>
    </row>
    <row r="155" spans="1:13" x14ac:dyDescent="0.3">
      <c r="A155" s="2" t="str">
        <f>HYPERLINK("https://hsdes.intel.com/resource/14013173954","14013173954")</f>
        <v>14013173954</v>
      </c>
      <c r="B155" s="2" t="s">
        <v>113</v>
      </c>
      <c r="C155" s="2" t="s">
        <v>341</v>
      </c>
      <c r="D155" s="2" t="s">
        <v>114</v>
      </c>
      <c r="E155" s="2" t="s">
        <v>342</v>
      </c>
      <c r="F155" s="2"/>
      <c r="G155" s="2" t="s">
        <v>343</v>
      </c>
      <c r="H155" s="2"/>
      <c r="I155" s="4">
        <v>44756</v>
      </c>
      <c r="J155" s="2" t="s">
        <v>13</v>
      </c>
      <c r="K155" s="2" t="s">
        <v>28</v>
      </c>
      <c r="L155" s="2" t="s">
        <v>29</v>
      </c>
      <c r="M155" s="2" t="s">
        <v>16</v>
      </c>
    </row>
    <row r="156" spans="1:13" x14ac:dyDescent="0.3">
      <c r="A156" s="2" t="str">
        <f>HYPERLINK("https://hsdes.intel.com/resource/14013174002","14013174002")</f>
        <v>14013174002</v>
      </c>
      <c r="B156" s="2" t="s">
        <v>115</v>
      </c>
      <c r="C156" s="2" t="s">
        <v>341</v>
      </c>
      <c r="D156" s="2" t="s">
        <v>116</v>
      </c>
      <c r="E156" s="2" t="s">
        <v>342</v>
      </c>
      <c r="F156" s="2"/>
      <c r="G156" s="2" t="s">
        <v>347</v>
      </c>
      <c r="H156" s="2"/>
      <c r="I156" s="2"/>
      <c r="J156" s="2" t="s">
        <v>13</v>
      </c>
      <c r="K156" s="2" t="s">
        <v>33</v>
      </c>
      <c r="L156" s="2" t="s">
        <v>29</v>
      </c>
      <c r="M156" s="2" t="s">
        <v>24</v>
      </c>
    </row>
    <row r="157" spans="1:13" x14ac:dyDescent="0.3">
      <c r="A157" s="2" t="str">
        <f>HYPERLINK("https://hsdes.intel.com/resource/14013174027","14013174027")</f>
        <v>14013174027</v>
      </c>
      <c r="B157" s="2" t="s">
        <v>117</v>
      </c>
      <c r="C157" s="2" t="s">
        <v>341</v>
      </c>
      <c r="D157" s="2" t="s">
        <v>118</v>
      </c>
      <c r="E157" s="2" t="s">
        <v>342</v>
      </c>
      <c r="F157" s="2"/>
      <c r="G157" s="2" t="s">
        <v>347</v>
      </c>
      <c r="H157" s="2"/>
      <c r="I157" s="2"/>
      <c r="J157" s="2" t="s">
        <v>13</v>
      </c>
      <c r="K157" s="2" t="s">
        <v>33</v>
      </c>
      <c r="L157" s="2" t="s">
        <v>29</v>
      </c>
      <c r="M157" s="2" t="s">
        <v>16</v>
      </c>
    </row>
    <row r="158" spans="1:13" x14ac:dyDescent="0.3">
      <c r="A158" s="2" t="str">
        <f>HYPERLINK("https://hsdes.intel.com/resource/14013174046","14013174046")</f>
        <v>14013174046</v>
      </c>
      <c r="B158" s="2" t="s">
        <v>119</v>
      </c>
      <c r="C158" s="2" t="s">
        <v>341</v>
      </c>
      <c r="D158" s="2" t="s">
        <v>120</v>
      </c>
      <c r="E158" s="2" t="s">
        <v>342</v>
      </c>
      <c r="F158" s="2"/>
      <c r="G158" s="2" t="s">
        <v>347</v>
      </c>
      <c r="H158" s="2"/>
      <c r="I158" s="2"/>
      <c r="J158" s="2" t="s">
        <v>13</v>
      </c>
      <c r="K158" s="2" t="s">
        <v>33</v>
      </c>
      <c r="L158" s="2" t="s">
        <v>29</v>
      </c>
      <c r="M158" s="2" t="s">
        <v>16</v>
      </c>
    </row>
    <row r="159" spans="1:13" x14ac:dyDescent="0.3">
      <c r="A159" s="2" t="str">
        <f>HYPERLINK("https://hsdes.intel.com/resource/14013174075","14013174075")</f>
        <v>14013174075</v>
      </c>
      <c r="B159" s="2" t="s">
        <v>121</v>
      </c>
      <c r="C159" s="2" t="s">
        <v>341</v>
      </c>
      <c r="D159" s="2" t="s">
        <v>122</v>
      </c>
      <c r="E159" s="2" t="s">
        <v>37</v>
      </c>
      <c r="F159" s="2" t="s">
        <v>344</v>
      </c>
      <c r="G159" s="2" t="s">
        <v>345</v>
      </c>
      <c r="H159" s="2"/>
      <c r="I159" s="4">
        <v>44761</v>
      </c>
      <c r="J159" s="2" t="s">
        <v>13</v>
      </c>
      <c r="K159" s="2" t="s">
        <v>28</v>
      </c>
      <c r="L159" s="2" t="s">
        <v>29</v>
      </c>
      <c r="M159" s="2" t="s">
        <v>16</v>
      </c>
    </row>
    <row r="160" spans="1:13" x14ac:dyDescent="0.3">
      <c r="A160" s="2" t="str">
        <f>HYPERLINK("https://hsdes.intel.com/resource/14013174091","14013174091")</f>
        <v>14013174091</v>
      </c>
      <c r="B160" s="2" t="s">
        <v>123</v>
      </c>
      <c r="C160" s="2" t="s">
        <v>341</v>
      </c>
      <c r="D160" s="2" t="s">
        <v>124</v>
      </c>
      <c r="E160" s="2" t="s">
        <v>37</v>
      </c>
      <c r="F160" s="2" t="s">
        <v>344</v>
      </c>
      <c r="G160" s="2" t="s">
        <v>345</v>
      </c>
      <c r="H160" s="2"/>
      <c r="I160" s="4">
        <v>44761</v>
      </c>
      <c r="J160" s="2" t="s">
        <v>13</v>
      </c>
      <c r="K160" s="2" t="s">
        <v>28</v>
      </c>
      <c r="L160" s="2" t="s">
        <v>29</v>
      </c>
      <c r="M160" s="2" t="s">
        <v>16</v>
      </c>
    </row>
    <row r="161" spans="1:13" x14ac:dyDescent="0.3">
      <c r="A161" s="2" t="str">
        <f>HYPERLINK("https://hsdes.intel.com/resource/14013174100","14013174100")</f>
        <v>14013174100</v>
      </c>
      <c r="B161" s="2" t="s">
        <v>125</v>
      </c>
      <c r="C161" s="2" t="s">
        <v>341</v>
      </c>
      <c r="D161" s="2" t="s">
        <v>126</v>
      </c>
      <c r="E161" s="2" t="s">
        <v>37</v>
      </c>
      <c r="F161" s="2"/>
      <c r="G161" s="2" t="s">
        <v>354</v>
      </c>
      <c r="H161" s="2"/>
      <c r="I161" s="2"/>
      <c r="J161" s="2" t="s">
        <v>13</v>
      </c>
      <c r="K161" s="2" t="s">
        <v>28</v>
      </c>
      <c r="L161" s="2" t="s">
        <v>29</v>
      </c>
      <c r="M161" s="2" t="s">
        <v>16</v>
      </c>
    </row>
    <row r="162" spans="1:13" x14ac:dyDescent="0.3">
      <c r="A162" s="2" t="str">
        <f>HYPERLINK("https://hsdes.intel.com/resource/14013174151","14013174151")</f>
        <v>14013174151</v>
      </c>
      <c r="B162" s="2" t="s">
        <v>128</v>
      </c>
      <c r="C162" s="2" t="s">
        <v>341</v>
      </c>
      <c r="D162" s="2" t="s">
        <v>129</v>
      </c>
      <c r="E162" s="2" t="s">
        <v>37</v>
      </c>
      <c r="F162" s="2"/>
      <c r="G162" s="2" t="s">
        <v>354</v>
      </c>
      <c r="H162" s="2"/>
      <c r="I162" s="2"/>
      <c r="J162" s="2" t="s">
        <v>13</v>
      </c>
      <c r="K162" s="2" t="s">
        <v>28</v>
      </c>
      <c r="L162" s="2" t="s">
        <v>29</v>
      </c>
      <c r="M162" s="2" t="s">
        <v>24</v>
      </c>
    </row>
    <row r="163" spans="1:13" x14ac:dyDescent="0.3">
      <c r="A163" s="2" t="str">
        <f>HYPERLINK("https://hsdes.intel.com/resource/14013174153","14013174153")</f>
        <v>14013174153</v>
      </c>
      <c r="B163" s="2" t="s">
        <v>130</v>
      </c>
      <c r="C163" s="2" t="s">
        <v>341</v>
      </c>
      <c r="D163" s="2" t="s">
        <v>131</v>
      </c>
      <c r="E163" s="2" t="s">
        <v>37</v>
      </c>
      <c r="F163" s="2"/>
      <c r="G163" s="2" t="s">
        <v>354</v>
      </c>
      <c r="H163" s="2"/>
      <c r="I163" s="2"/>
      <c r="J163" s="2" t="s">
        <v>13</v>
      </c>
      <c r="K163" s="2" t="s">
        <v>28</v>
      </c>
      <c r="L163" s="2" t="s">
        <v>29</v>
      </c>
      <c r="M163" s="2" t="s">
        <v>16</v>
      </c>
    </row>
    <row r="164" spans="1:13" x14ac:dyDescent="0.3">
      <c r="A164" s="2" t="str">
        <f>HYPERLINK("https://hsdes.intel.com/resource/14013174175","14013174175")</f>
        <v>14013174175</v>
      </c>
      <c r="B164" s="2" t="s">
        <v>132</v>
      </c>
      <c r="C164" s="2" t="s">
        <v>341</v>
      </c>
      <c r="D164" s="2" t="s">
        <v>133</v>
      </c>
      <c r="E164" s="2" t="s">
        <v>37</v>
      </c>
      <c r="F164" s="2"/>
      <c r="G164" s="2" t="s">
        <v>354</v>
      </c>
      <c r="H164" s="2"/>
      <c r="I164" s="2"/>
      <c r="J164" s="2" t="s">
        <v>13</v>
      </c>
      <c r="K164" s="2" t="s">
        <v>28</v>
      </c>
      <c r="L164" s="2" t="s">
        <v>29</v>
      </c>
      <c r="M164" s="2" t="s">
        <v>16</v>
      </c>
    </row>
    <row r="165" spans="1:13" x14ac:dyDescent="0.3">
      <c r="A165" s="2" t="str">
        <f>HYPERLINK("https://hsdes.intel.com/resource/14013174180","14013174180")</f>
        <v>14013174180</v>
      </c>
      <c r="B165" s="2" t="s">
        <v>134</v>
      </c>
      <c r="C165" s="2" t="s">
        <v>341</v>
      </c>
      <c r="D165" s="2" t="s">
        <v>135</v>
      </c>
      <c r="E165" s="2" t="s">
        <v>37</v>
      </c>
      <c r="F165" s="2"/>
      <c r="G165" s="2" t="s">
        <v>354</v>
      </c>
      <c r="H165" s="2"/>
      <c r="I165" s="2"/>
      <c r="J165" s="2" t="s">
        <v>13</v>
      </c>
      <c r="K165" s="2" t="s">
        <v>28</v>
      </c>
      <c r="L165" s="2" t="s">
        <v>29</v>
      </c>
      <c r="M165" s="2" t="s">
        <v>21</v>
      </c>
    </row>
    <row r="166" spans="1:13" x14ac:dyDescent="0.3">
      <c r="A166" s="2" t="str">
        <f>HYPERLINK("https://hsdes.intel.com/resource/14013174184","14013174184")</f>
        <v>14013174184</v>
      </c>
      <c r="B166" s="2" t="s">
        <v>136</v>
      </c>
      <c r="C166" s="2" t="s">
        <v>341</v>
      </c>
      <c r="D166" s="2" t="s">
        <v>137</v>
      </c>
      <c r="E166" s="2" t="s">
        <v>37</v>
      </c>
      <c r="F166" s="2"/>
      <c r="G166" s="2" t="s">
        <v>354</v>
      </c>
      <c r="H166" s="2"/>
      <c r="I166" s="2"/>
      <c r="J166" s="2" t="s">
        <v>13</v>
      </c>
      <c r="K166" s="2" t="s">
        <v>28</v>
      </c>
      <c r="L166" s="2" t="s">
        <v>29</v>
      </c>
      <c r="M166" s="2" t="s">
        <v>16</v>
      </c>
    </row>
    <row r="167" spans="1:13" x14ac:dyDescent="0.3">
      <c r="A167" s="2" t="str">
        <f>HYPERLINK("https://hsdes.intel.com/resource/14013174240","14013174240")</f>
        <v>14013174240</v>
      </c>
      <c r="B167" s="2" t="s">
        <v>138</v>
      </c>
      <c r="C167" s="2" t="s">
        <v>341</v>
      </c>
      <c r="D167" s="2" t="s">
        <v>139</v>
      </c>
      <c r="E167" s="2" t="s">
        <v>37</v>
      </c>
      <c r="F167" s="2"/>
      <c r="G167" s="2" t="s">
        <v>354</v>
      </c>
      <c r="H167" s="2"/>
      <c r="I167" s="2"/>
      <c r="J167" s="2" t="s">
        <v>13</v>
      </c>
      <c r="K167" s="2" t="s">
        <v>28</v>
      </c>
      <c r="L167" s="2" t="s">
        <v>29</v>
      </c>
      <c r="M167" s="2" t="s">
        <v>21</v>
      </c>
    </row>
    <row r="168" spans="1:13" x14ac:dyDescent="0.3">
      <c r="A168" s="2" t="str">
        <f>HYPERLINK("https://hsdes.intel.com/resource/14013174293","14013174293")</f>
        <v>14013174293</v>
      </c>
      <c r="B168" s="2" t="s">
        <v>140</v>
      </c>
      <c r="C168" s="2" t="s">
        <v>341</v>
      </c>
      <c r="D168" s="2" t="s">
        <v>141</v>
      </c>
      <c r="E168" s="2" t="s">
        <v>37</v>
      </c>
      <c r="F168" s="2"/>
      <c r="G168" s="2" t="s">
        <v>354</v>
      </c>
      <c r="H168" s="2"/>
      <c r="I168" s="2"/>
      <c r="J168" s="2" t="s">
        <v>13</v>
      </c>
      <c r="K168" s="2" t="s">
        <v>28</v>
      </c>
      <c r="L168" s="2" t="s">
        <v>29</v>
      </c>
      <c r="M168" s="2" t="s">
        <v>21</v>
      </c>
    </row>
    <row r="169" spans="1:13" x14ac:dyDescent="0.3">
      <c r="A169" s="2" t="str">
        <f>HYPERLINK("https://hsdes.intel.com/resource/14013174301","14013174301")</f>
        <v>14013174301</v>
      </c>
      <c r="B169" s="2" t="s">
        <v>142</v>
      </c>
      <c r="C169" s="2" t="s">
        <v>341</v>
      </c>
      <c r="D169" s="2" t="s">
        <v>143</v>
      </c>
      <c r="E169" s="2" t="s">
        <v>37</v>
      </c>
      <c r="F169" s="2"/>
      <c r="G169" s="2" t="s">
        <v>354</v>
      </c>
      <c r="H169" s="2"/>
      <c r="I169" s="2"/>
      <c r="J169" s="2" t="s">
        <v>13</v>
      </c>
      <c r="K169" s="2" t="s">
        <v>28</v>
      </c>
      <c r="L169" s="2" t="s">
        <v>29</v>
      </c>
      <c r="M169" s="2" t="s">
        <v>21</v>
      </c>
    </row>
    <row r="170" spans="1:13" x14ac:dyDescent="0.3">
      <c r="A170" s="2" t="str">
        <f>HYPERLINK("https://hsdes.intel.com/resource/14013174748","14013174748")</f>
        <v>14013174748</v>
      </c>
      <c r="B170" s="2" t="s">
        <v>145</v>
      </c>
      <c r="C170" s="2" t="s">
        <v>341</v>
      </c>
      <c r="D170" s="2" t="s">
        <v>146</v>
      </c>
      <c r="E170" s="2" t="s">
        <v>342</v>
      </c>
      <c r="F170" s="2"/>
      <c r="G170" s="2" t="s">
        <v>345</v>
      </c>
      <c r="H170" s="2"/>
      <c r="I170" s="4">
        <v>44763</v>
      </c>
      <c r="J170" s="2" t="s">
        <v>13</v>
      </c>
      <c r="K170" s="2" t="s">
        <v>147</v>
      </c>
      <c r="L170" s="2" t="s">
        <v>29</v>
      </c>
      <c r="M170" s="2" t="s">
        <v>16</v>
      </c>
    </row>
    <row r="171" spans="1:13" x14ac:dyDescent="0.3">
      <c r="A171" s="2" t="str">
        <f>HYPERLINK("https://hsdes.intel.com/resource/14013174758","14013174758")</f>
        <v>14013174758</v>
      </c>
      <c r="B171" s="2" t="s">
        <v>148</v>
      </c>
      <c r="C171" s="2" t="s">
        <v>341</v>
      </c>
      <c r="D171" s="2" t="s">
        <v>149</v>
      </c>
      <c r="E171" s="2" t="s">
        <v>342</v>
      </c>
      <c r="F171" s="2"/>
      <c r="G171" s="2" t="s">
        <v>354</v>
      </c>
      <c r="H171" s="2"/>
      <c r="I171" s="4">
        <v>44757</v>
      </c>
      <c r="J171" s="2" t="s">
        <v>13</v>
      </c>
      <c r="K171" s="2" t="s">
        <v>147</v>
      </c>
      <c r="L171" s="2" t="s">
        <v>29</v>
      </c>
      <c r="M171" s="2" t="s">
        <v>16</v>
      </c>
    </row>
    <row r="172" spans="1:13" x14ac:dyDescent="0.3">
      <c r="A172" s="2" t="str">
        <f>HYPERLINK("https://hsdes.intel.com/resource/14013174959","14013174959")</f>
        <v>14013174959</v>
      </c>
      <c r="B172" s="2" t="s">
        <v>150</v>
      </c>
      <c r="C172" s="2" t="s">
        <v>341</v>
      </c>
      <c r="D172" s="2" t="s">
        <v>151</v>
      </c>
      <c r="E172" s="2" t="s">
        <v>37</v>
      </c>
      <c r="F172" s="2"/>
      <c r="G172" s="2" t="s">
        <v>354</v>
      </c>
      <c r="H172" s="2"/>
      <c r="I172" s="2"/>
      <c r="J172" s="2" t="s">
        <v>13</v>
      </c>
      <c r="K172" s="2" t="s">
        <v>28</v>
      </c>
      <c r="L172" s="2" t="s">
        <v>29</v>
      </c>
      <c r="M172" s="2" t="s">
        <v>16</v>
      </c>
    </row>
    <row r="173" spans="1:13" x14ac:dyDescent="0.3">
      <c r="A173" s="2" t="str">
        <f>HYPERLINK("https://hsdes.intel.com/resource/14013176172","14013176172")</f>
        <v>14013176172</v>
      </c>
      <c r="B173" s="2" t="s">
        <v>153</v>
      </c>
      <c r="C173" s="2" t="s">
        <v>341</v>
      </c>
      <c r="D173" s="2" t="s">
        <v>154</v>
      </c>
      <c r="E173" t="s">
        <v>32</v>
      </c>
      <c r="F173" s="2" t="s">
        <v>346</v>
      </c>
      <c r="G173" s="2" t="s">
        <v>345</v>
      </c>
      <c r="H173" s="2" t="s">
        <v>345</v>
      </c>
      <c r="I173" s="4">
        <v>44767</v>
      </c>
      <c r="J173" s="2" t="s">
        <v>13</v>
      </c>
      <c r="K173" s="2" t="s">
        <v>33</v>
      </c>
      <c r="L173" s="2" t="s">
        <v>34</v>
      </c>
      <c r="M173" s="2" t="s">
        <v>16</v>
      </c>
    </row>
    <row r="174" spans="1:13" x14ac:dyDescent="0.3">
      <c r="A174" s="2" t="str">
        <f>HYPERLINK("https://hsdes.intel.com/resource/14013177811","14013177811")</f>
        <v>14013177811</v>
      </c>
      <c r="B174" s="2" t="s">
        <v>155</v>
      </c>
      <c r="C174" s="2" t="s">
        <v>341</v>
      </c>
      <c r="D174" s="2" t="s">
        <v>156</v>
      </c>
      <c r="E174" s="2" t="s">
        <v>37</v>
      </c>
      <c r="F174" s="2" t="s">
        <v>3617</v>
      </c>
      <c r="G174" s="2" t="s">
        <v>345</v>
      </c>
      <c r="H174" s="2" t="s">
        <v>345</v>
      </c>
      <c r="I174" s="4">
        <v>44768</v>
      </c>
      <c r="J174" s="2" t="s">
        <v>13</v>
      </c>
      <c r="K174" s="2" t="s">
        <v>157</v>
      </c>
      <c r="L174" s="2" t="s">
        <v>158</v>
      </c>
      <c r="M174" s="2" t="s">
        <v>21</v>
      </c>
    </row>
    <row r="175" spans="1:13" x14ac:dyDescent="0.3">
      <c r="A175" s="2" t="str">
        <f>HYPERLINK("https://hsdes.intel.com/resource/14013178043","14013178043")</f>
        <v>14013178043</v>
      </c>
      <c r="B175" s="2" t="s">
        <v>159</v>
      </c>
      <c r="C175" s="2" t="s">
        <v>341</v>
      </c>
      <c r="D175" s="2" t="s">
        <v>160</v>
      </c>
      <c r="E175" t="s">
        <v>32</v>
      </c>
      <c r="F175" s="2" t="s">
        <v>346</v>
      </c>
      <c r="G175" s="2" t="s">
        <v>345</v>
      </c>
      <c r="H175" s="2" t="s">
        <v>345</v>
      </c>
      <c r="I175" s="4">
        <v>44767</v>
      </c>
      <c r="J175" s="2" t="s">
        <v>13</v>
      </c>
      <c r="K175" s="2" t="s">
        <v>33</v>
      </c>
      <c r="L175" s="2" t="s">
        <v>34</v>
      </c>
      <c r="M175" s="2" t="s">
        <v>24</v>
      </c>
    </row>
    <row r="176" spans="1:13" x14ac:dyDescent="0.3">
      <c r="A176" s="2" t="str">
        <f>HYPERLINK("https://hsdes.intel.com/resource/14013178933","14013178933")</f>
        <v>14013178933</v>
      </c>
      <c r="B176" s="2" t="s">
        <v>161</v>
      </c>
      <c r="C176" s="2" t="s">
        <v>341</v>
      </c>
      <c r="D176" s="2" t="s">
        <v>162</v>
      </c>
      <c r="E176" s="2" t="s">
        <v>342</v>
      </c>
      <c r="F176" s="2"/>
      <c r="G176" s="2" t="s">
        <v>349</v>
      </c>
      <c r="H176" s="2"/>
      <c r="I176" s="4">
        <v>44759</v>
      </c>
      <c r="J176" s="2" t="s">
        <v>13</v>
      </c>
      <c r="K176" s="2" t="s">
        <v>147</v>
      </c>
      <c r="L176" s="2" t="s">
        <v>29</v>
      </c>
      <c r="M176" s="2" t="s">
        <v>24</v>
      </c>
    </row>
    <row r="177" spans="1:13" x14ac:dyDescent="0.3">
      <c r="A177" s="2" t="str">
        <f>HYPERLINK("https://hsdes.intel.com/resource/14013178938","14013178938")</f>
        <v>14013178938</v>
      </c>
      <c r="B177" s="2" t="s">
        <v>163</v>
      </c>
      <c r="C177" s="2" t="s">
        <v>341</v>
      </c>
      <c r="D177" s="2" t="s">
        <v>164</v>
      </c>
      <c r="E177" s="2" t="s">
        <v>342</v>
      </c>
      <c r="F177" s="2"/>
      <c r="G177" s="2" t="s">
        <v>345</v>
      </c>
      <c r="H177" s="2"/>
      <c r="I177" s="4">
        <v>44763</v>
      </c>
      <c r="J177" s="2" t="s">
        <v>13</v>
      </c>
      <c r="K177" s="2" t="s">
        <v>147</v>
      </c>
      <c r="L177" s="2" t="s">
        <v>29</v>
      </c>
      <c r="M177" s="2" t="s">
        <v>16</v>
      </c>
    </row>
    <row r="178" spans="1:13" x14ac:dyDescent="0.3">
      <c r="A178" s="2" t="str">
        <f>HYPERLINK("https://hsdes.intel.com/resource/14013178942","14013178942")</f>
        <v>14013178942</v>
      </c>
      <c r="B178" s="2" t="s">
        <v>165</v>
      </c>
      <c r="C178" s="2" t="s">
        <v>341</v>
      </c>
      <c r="D178" s="2" t="s">
        <v>166</v>
      </c>
      <c r="E178" s="2" t="s">
        <v>342</v>
      </c>
      <c r="F178" s="2"/>
      <c r="G178" s="2" t="s">
        <v>345</v>
      </c>
      <c r="H178" s="2"/>
      <c r="I178" s="4">
        <v>44763</v>
      </c>
      <c r="J178" s="2" t="s">
        <v>13</v>
      </c>
      <c r="K178" s="2" t="s">
        <v>147</v>
      </c>
      <c r="L178" s="2" t="s">
        <v>29</v>
      </c>
      <c r="M178" s="2" t="s">
        <v>16</v>
      </c>
    </row>
    <row r="179" spans="1:13" x14ac:dyDescent="0.3">
      <c r="A179" s="2" t="str">
        <f>HYPERLINK("https://hsdes.intel.com/resource/14013179135","14013179135")</f>
        <v>14013179135</v>
      </c>
      <c r="B179" s="2" t="s">
        <v>167</v>
      </c>
      <c r="C179" s="2" t="s">
        <v>341</v>
      </c>
      <c r="D179" s="2" t="s">
        <v>168</v>
      </c>
      <c r="E179" s="2" t="s">
        <v>342</v>
      </c>
      <c r="F179" s="2"/>
      <c r="G179" s="2" t="s">
        <v>347</v>
      </c>
      <c r="H179" s="2"/>
      <c r="I179" s="2"/>
      <c r="J179" s="2" t="s">
        <v>13</v>
      </c>
      <c r="K179" s="2" t="s">
        <v>33</v>
      </c>
      <c r="L179" s="2" t="s">
        <v>29</v>
      </c>
      <c r="M179" s="2" t="s">
        <v>16</v>
      </c>
    </row>
    <row r="180" spans="1:13" x14ac:dyDescent="0.3">
      <c r="A180" s="2" t="str">
        <f>HYPERLINK("https://hsdes.intel.com/resource/14013179137","14013179137")</f>
        <v>14013179137</v>
      </c>
      <c r="B180" s="2" t="s">
        <v>170</v>
      </c>
      <c r="C180" s="2" t="s">
        <v>341</v>
      </c>
      <c r="D180" s="2" t="s">
        <v>171</v>
      </c>
      <c r="E180" s="2" t="s">
        <v>342</v>
      </c>
      <c r="F180" s="2"/>
      <c r="G180" s="2" t="s">
        <v>354</v>
      </c>
      <c r="H180" s="2"/>
      <c r="I180" s="4">
        <v>44757</v>
      </c>
      <c r="J180" s="2" t="s">
        <v>13</v>
      </c>
      <c r="K180" s="2" t="s">
        <v>147</v>
      </c>
      <c r="L180" s="2" t="s">
        <v>29</v>
      </c>
      <c r="M180" s="2" t="s">
        <v>16</v>
      </c>
    </row>
    <row r="181" spans="1:13" x14ac:dyDescent="0.3">
      <c r="A181" s="2" t="str">
        <f>HYPERLINK("https://hsdes.intel.com/resource/14013179413","14013179413")</f>
        <v>14013179413</v>
      </c>
      <c r="B181" s="2" t="s">
        <v>172</v>
      </c>
      <c r="C181" s="2" t="s">
        <v>341</v>
      </c>
      <c r="D181" s="2" t="s">
        <v>173</v>
      </c>
      <c r="E181" s="2" t="s">
        <v>342</v>
      </c>
      <c r="F181" s="2"/>
      <c r="G181" s="2" t="s">
        <v>343</v>
      </c>
      <c r="H181" s="2"/>
      <c r="I181" s="4">
        <v>44756</v>
      </c>
      <c r="J181" s="2" t="s">
        <v>13</v>
      </c>
      <c r="K181" s="2" t="s">
        <v>93</v>
      </c>
      <c r="L181" s="2" t="s">
        <v>94</v>
      </c>
      <c r="M181" s="2" t="s">
        <v>16</v>
      </c>
    </row>
    <row r="182" spans="1:13" x14ac:dyDescent="0.3">
      <c r="A182" s="2" t="str">
        <f>HYPERLINK("https://hsdes.intel.com/resource/16013826362","16013826362")</f>
        <v>16013826362</v>
      </c>
      <c r="B182" s="2" t="s">
        <v>175</v>
      </c>
      <c r="C182" s="2" t="s">
        <v>341</v>
      </c>
      <c r="D182" s="2" t="s">
        <v>176</v>
      </c>
      <c r="E182" s="2" t="s">
        <v>37</v>
      </c>
      <c r="F182" s="2"/>
      <c r="G182" s="2" t="s">
        <v>354</v>
      </c>
      <c r="H182" s="2"/>
      <c r="I182" s="2"/>
      <c r="J182" s="2" t="s">
        <v>13</v>
      </c>
      <c r="K182" s="2" t="s">
        <v>28</v>
      </c>
      <c r="L182" s="2" t="s">
        <v>29</v>
      </c>
      <c r="M182" s="2" t="s">
        <v>16</v>
      </c>
    </row>
    <row r="183" spans="1:13" x14ac:dyDescent="0.3">
      <c r="A183" s="2" t="str">
        <f>HYPERLINK("https://hsdes.intel.com/resource/16014777355","16014777355")</f>
        <v>16014777355</v>
      </c>
      <c r="B183" s="2" t="s">
        <v>177</v>
      </c>
      <c r="C183" s="2" t="s">
        <v>341</v>
      </c>
      <c r="D183" s="2" t="s">
        <v>178</v>
      </c>
      <c r="E183" s="2" t="s">
        <v>342</v>
      </c>
      <c r="F183" s="2"/>
      <c r="G183" s="2" t="s">
        <v>354</v>
      </c>
      <c r="H183" s="2"/>
      <c r="I183" s="4">
        <v>44757</v>
      </c>
      <c r="J183" s="2" t="s">
        <v>13</v>
      </c>
      <c r="K183" s="2" t="s">
        <v>147</v>
      </c>
      <c r="L183" s="2" t="s">
        <v>29</v>
      </c>
      <c r="M183" s="2" t="s">
        <v>16</v>
      </c>
    </row>
    <row r="184" spans="1:13" x14ac:dyDescent="0.3">
      <c r="A184" s="2" t="str">
        <f>HYPERLINK("https://hsdes.intel.com/resource/16014841945","16014841945")</f>
        <v>16014841945</v>
      </c>
      <c r="B184" s="2" t="s">
        <v>179</v>
      </c>
      <c r="C184" s="2" t="s">
        <v>341</v>
      </c>
      <c r="D184" s="2" t="s">
        <v>176</v>
      </c>
      <c r="E184" s="2" t="s">
        <v>37</v>
      </c>
      <c r="F184" s="2"/>
      <c r="G184" s="2" t="s">
        <v>354</v>
      </c>
      <c r="H184" s="2"/>
      <c r="I184" s="2"/>
      <c r="J184" s="2" t="s">
        <v>13</v>
      </c>
      <c r="K184" s="2" t="s">
        <v>28</v>
      </c>
      <c r="L184" s="2" t="s">
        <v>29</v>
      </c>
      <c r="M184" s="2" t="s">
        <v>16</v>
      </c>
    </row>
    <row r="185" spans="1:13" x14ac:dyDescent="0.3">
      <c r="A185" s="2" t="str">
        <f>HYPERLINK("https://hsdes.intel.com/resource/16015067899","16015067899")</f>
        <v>16015067899</v>
      </c>
      <c r="B185" s="2" t="s">
        <v>180</v>
      </c>
      <c r="C185" s="2" t="s">
        <v>341</v>
      </c>
      <c r="D185" s="2" t="s">
        <v>178</v>
      </c>
      <c r="E185" s="2" t="s">
        <v>342</v>
      </c>
      <c r="F185" s="2"/>
      <c r="G185" s="2" t="s">
        <v>354</v>
      </c>
      <c r="H185" s="2"/>
      <c r="I185" s="4">
        <v>44757</v>
      </c>
      <c r="J185" s="2" t="s">
        <v>13</v>
      </c>
      <c r="K185" s="2" t="s">
        <v>147</v>
      </c>
      <c r="L185" s="2" t="s">
        <v>29</v>
      </c>
      <c r="M185" s="2" t="s">
        <v>16</v>
      </c>
    </row>
    <row r="186" spans="1:13" x14ac:dyDescent="0.3">
      <c r="A186" s="2" t="str">
        <f>HYPERLINK("https://hsdes.intel.com/resource/16015168939","16015168939")</f>
        <v>16015168939</v>
      </c>
      <c r="B186" s="2" t="s">
        <v>181</v>
      </c>
      <c r="C186" s="2" t="s">
        <v>341</v>
      </c>
      <c r="D186" s="2" t="s">
        <v>182</v>
      </c>
      <c r="E186" s="2" t="s">
        <v>37</v>
      </c>
      <c r="F186" s="2" t="s">
        <v>355</v>
      </c>
      <c r="G186" s="2" t="s">
        <v>345</v>
      </c>
      <c r="H186" s="2"/>
      <c r="I186" s="4">
        <v>44763</v>
      </c>
      <c r="J186" s="2" t="s">
        <v>13</v>
      </c>
      <c r="K186" s="2" t="s">
        <v>183</v>
      </c>
      <c r="L186" s="2" t="s">
        <v>29</v>
      </c>
      <c r="M186" s="2" t="s">
        <v>16</v>
      </c>
    </row>
    <row r="187" spans="1:13" x14ac:dyDescent="0.3">
      <c r="A187" s="2" t="str">
        <f>HYPERLINK("https://hsdes.intel.com/resource/22011834358","22011834358")</f>
        <v>22011834358</v>
      </c>
      <c r="B187" s="2" t="s">
        <v>184</v>
      </c>
      <c r="C187" s="2" t="s">
        <v>341</v>
      </c>
      <c r="D187" s="2" t="s">
        <v>185</v>
      </c>
      <c r="E187" s="2" t="s">
        <v>342</v>
      </c>
      <c r="F187" s="2"/>
      <c r="G187" s="2" t="s">
        <v>347</v>
      </c>
      <c r="H187" s="2"/>
      <c r="I187" s="2"/>
      <c r="J187" s="2" t="s">
        <v>13</v>
      </c>
      <c r="K187" s="2" t="s">
        <v>105</v>
      </c>
      <c r="L187" s="2" t="s">
        <v>106</v>
      </c>
      <c r="M187" s="2" t="s">
        <v>24</v>
      </c>
    </row>
    <row r="188" spans="1:13" x14ac:dyDescent="0.3">
      <c r="A188" s="2" t="str">
        <f>HYPERLINK("https://hsdes.intel.com/resource/14013156721","14013156721")</f>
        <v>14013156721</v>
      </c>
      <c r="B188" t="s">
        <v>356</v>
      </c>
      <c r="C188" t="s">
        <v>357</v>
      </c>
      <c r="D188" t="s">
        <v>358</v>
      </c>
      <c r="E188" t="s">
        <v>37</v>
      </c>
      <c r="J188" t="s">
        <v>13</v>
      </c>
      <c r="K188" t="s">
        <v>67</v>
      </c>
      <c r="L188" t="s">
        <v>68</v>
      </c>
      <c r="M188" s="35" t="s">
        <v>16</v>
      </c>
    </row>
    <row r="189" spans="1:13" x14ac:dyDescent="0.3">
      <c r="A189" s="2" t="str">
        <f>HYPERLINK("https://hsdes.intel.com/resource/14013156732","14013156732")</f>
        <v>14013156732</v>
      </c>
      <c r="B189" t="s">
        <v>359</v>
      </c>
      <c r="C189" t="s">
        <v>357</v>
      </c>
      <c r="D189" t="s">
        <v>360</v>
      </c>
      <c r="E189" t="s">
        <v>37</v>
      </c>
      <c r="J189" t="s">
        <v>13</v>
      </c>
      <c r="K189" t="s">
        <v>67</v>
      </c>
      <c r="L189" t="s">
        <v>68</v>
      </c>
      <c r="M189" s="35" t="s">
        <v>24</v>
      </c>
    </row>
    <row r="190" spans="1:13" x14ac:dyDescent="0.3">
      <c r="A190" s="2" t="str">
        <f>HYPERLINK("https://hsdes.intel.com/resource/14013156734","14013156734")</f>
        <v>14013156734</v>
      </c>
      <c r="B190" t="s">
        <v>361</v>
      </c>
      <c r="C190" t="s">
        <v>357</v>
      </c>
      <c r="D190" t="s">
        <v>362</v>
      </c>
      <c r="E190" t="s">
        <v>11</v>
      </c>
      <c r="G190" t="s">
        <v>363</v>
      </c>
      <c r="I190" s="11">
        <v>44763</v>
      </c>
      <c r="J190" t="s">
        <v>13</v>
      </c>
      <c r="K190" t="s">
        <v>157</v>
      </c>
      <c r="L190" t="s">
        <v>158</v>
      </c>
      <c r="M190" s="35" t="s">
        <v>24</v>
      </c>
    </row>
    <row r="191" spans="1:13" x14ac:dyDescent="0.3">
      <c r="A191" s="2" t="str">
        <f>HYPERLINK("https://hsdes.intel.com/resource/14013156768","14013156768")</f>
        <v>14013156768</v>
      </c>
      <c r="B191" t="s">
        <v>364</v>
      </c>
      <c r="C191" t="s">
        <v>357</v>
      </c>
      <c r="D191" t="s">
        <v>365</v>
      </c>
      <c r="E191" t="s">
        <v>11</v>
      </c>
      <c r="G191" t="s">
        <v>363</v>
      </c>
      <c r="I191" s="11">
        <v>44763</v>
      </c>
      <c r="J191" t="s">
        <v>13</v>
      </c>
      <c r="K191" t="s">
        <v>157</v>
      </c>
      <c r="L191" t="s">
        <v>158</v>
      </c>
      <c r="M191" s="35" t="s">
        <v>21</v>
      </c>
    </row>
    <row r="192" spans="1:13" x14ac:dyDescent="0.3">
      <c r="A192" s="2" t="str">
        <f>HYPERLINK("https://hsdes.intel.com/resource/14013158827","14013158827")</f>
        <v>14013158827</v>
      </c>
      <c r="B192" t="s">
        <v>46</v>
      </c>
      <c r="C192" t="s">
        <v>357</v>
      </c>
      <c r="D192" t="s">
        <v>47</v>
      </c>
      <c r="E192" t="s">
        <v>11</v>
      </c>
      <c r="F192" t="s">
        <v>366</v>
      </c>
      <c r="G192" t="s">
        <v>363</v>
      </c>
      <c r="I192" s="11">
        <v>44764</v>
      </c>
      <c r="J192" t="s">
        <v>13</v>
      </c>
      <c r="K192" t="s">
        <v>19</v>
      </c>
      <c r="L192" t="s">
        <v>20</v>
      </c>
      <c r="M192" s="35" t="s">
        <v>21</v>
      </c>
    </row>
    <row r="193" spans="1:13" x14ac:dyDescent="0.3">
      <c r="A193" s="2" t="str">
        <f>HYPERLINK("https://hsdes.intel.com/resource/14013158828","14013158828")</f>
        <v>14013158828</v>
      </c>
      <c r="B193" t="s">
        <v>48</v>
      </c>
      <c r="C193" t="s">
        <v>357</v>
      </c>
      <c r="D193" t="s">
        <v>49</v>
      </c>
      <c r="E193" t="s">
        <v>11</v>
      </c>
      <c r="G193" t="s">
        <v>363</v>
      </c>
      <c r="I193" s="11">
        <v>44764</v>
      </c>
      <c r="J193" t="s">
        <v>13</v>
      </c>
      <c r="K193" t="s">
        <v>19</v>
      </c>
      <c r="L193" t="s">
        <v>20</v>
      </c>
      <c r="M193" s="35" t="s">
        <v>21</v>
      </c>
    </row>
    <row r="194" spans="1:13" x14ac:dyDescent="0.3">
      <c r="A194" s="2" t="str">
        <f>HYPERLINK("https://hsdes.intel.com/resource/14013158830","14013158830")</f>
        <v>14013158830</v>
      </c>
      <c r="B194" t="s">
        <v>50</v>
      </c>
      <c r="C194" t="s">
        <v>357</v>
      </c>
      <c r="D194" t="s">
        <v>51</v>
      </c>
      <c r="E194" t="s">
        <v>11</v>
      </c>
      <c r="G194" t="s">
        <v>363</v>
      </c>
      <c r="I194" s="11">
        <v>44764</v>
      </c>
      <c r="J194" t="s">
        <v>13</v>
      </c>
      <c r="K194" t="s">
        <v>19</v>
      </c>
      <c r="L194" t="s">
        <v>20</v>
      </c>
      <c r="M194" s="35" t="s">
        <v>21</v>
      </c>
    </row>
    <row r="195" spans="1:13" x14ac:dyDescent="0.3">
      <c r="A195" s="2" t="str">
        <f>HYPERLINK("https://hsdes.intel.com/resource/14013159287","14013159287")</f>
        <v>14013159287</v>
      </c>
      <c r="B195" t="s">
        <v>62</v>
      </c>
      <c r="C195" t="s">
        <v>357</v>
      </c>
      <c r="D195" t="s">
        <v>63</v>
      </c>
      <c r="E195" t="s">
        <v>11</v>
      </c>
      <c r="F195" t="s">
        <v>366</v>
      </c>
      <c r="G195" t="s">
        <v>363</v>
      </c>
      <c r="I195" s="11">
        <v>44764</v>
      </c>
      <c r="J195" t="s">
        <v>13</v>
      </c>
      <c r="K195" t="s">
        <v>19</v>
      </c>
      <c r="L195" t="s">
        <v>20</v>
      </c>
      <c r="M195" s="35" t="s">
        <v>24</v>
      </c>
    </row>
    <row r="196" spans="1:13" x14ac:dyDescent="0.3">
      <c r="A196" s="2" t="str">
        <f>HYPERLINK("https://hsdes.intel.com/resource/14013160917","14013160917")</f>
        <v>14013160917</v>
      </c>
      <c r="B196" t="s">
        <v>367</v>
      </c>
      <c r="C196" t="s">
        <v>357</v>
      </c>
      <c r="D196" t="s">
        <v>368</v>
      </c>
      <c r="E196" t="s">
        <v>11</v>
      </c>
      <c r="G196" t="s">
        <v>369</v>
      </c>
      <c r="I196" s="11">
        <v>44760</v>
      </c>
      <c r="J196" t="s">
        <v>13</v>
      </c>
      <c r="K196" t="s">
        <v>105</v>
      </c>
      <c r="L196" t="s">
        <v>106</v>
      </c>
      <c r="M196" s="35" t="s">
        <v>24</v>
      </c>
    </row>
    <row r="197" spans="1:13" x14ac:dyDescent="0.3">
      <c r="A197" s="2" t="str">
        <f>HYPERLINK("https://hsdes.intel.com/resource/14013163097","14013163097")</f>
        <v>14013163097</v>
      </c>
      <c r="B197" t="s">
        <v>370</v>
      </c>
      <c r="C197" t="s">
        <v>357</v>
      </c>
      <c r="D197" t="s">
        <v>371</v>
      </c>
      <c r="E197" t="s">
        <v>37</v>
      </c>
      <c r="J197" t="s">
        <v>13</v>
      </c>
      <c r="K197" t="s">
        <v>67</v>
      </c>
      <c r="L197" t="s">
        <v>68</v>
      </c>
      <c r="M197" s="35" t="s">
        <v>21</v>
      </c>
    </row>
    <row r="198" spans="1:13" x14ac:dyDescent="0.3">
      <c r="A198" s="2" t="str">
        <f>HYPERLINK("https://hsdes.intel.com/resource/14013163326","14013163326")</f>
        <v>14013163326</v>
      </c>
      <c r="B198" t="s">
        <v>99</v>
      </c>
      <c r="C198" t="s">
        <v>357</v>
      </c>
      <c r="D198" t="s">
        <v>100</v>
      </c>
      <c r="E198" t="s">
        <v>37</v>
      </c>
      <c r="G198" t="s">
        <v>369</v>
      </c>
      <c r="J198" t="s">
        <v>13</v>
      </c>
      <c r="K198" t="s">
        <v>19</v>
      </c>
      <c r="L198" t="s">
        <v>20</v>
      </c>
      <c r="M198" s="35" t="s">
        <v>16</v>
      </c>
    </row>
    <row r="199" spans="1:13" x14ac:dyDescent="0.3">
      <c r="A199" s="2" t="str">
        <f>HYPERLINK("https://hsdes.intel.com/resource/14013164455","14013164455")</f>
        <v>14013164455</v>
      </c>
      <c r="B199" t="s">
        <v>372</v>
      </c>
      <c r="C199" t="s">
        <v>357</v>
      </c>
      <c r="D199" t="s">
        <v>373</v>
      </c>
      <c r="E199" t="s">
        <v>37</v>
      </c>
      <c r="J199" t="s">
        <v>13</v>
      </c>
      <c r="K199" t="s">
        <v>67</v>
      </c>
      <c r="L199" t="s">
        <v>68</v>
      </c>
      <c r="M199" s="35" t="s">
        <v>24</v>
      </c>
    </row>
    <row r="200" spans="1:13" x14ac:dyDescent="0.3">
      <c r="A200" s="2" t="str">
        <f>HYPERLINK("https://hsdes.intel.com/resource/14013164644","14013164644")</f>
        <v>14013164644</v>
      </c>
      <c r="B200" t="s">
        <v>374</v>
      </c>
      <c r="C200" t="s">
        <v>357</v>
      </c>
      <c r="D200" t="s">
        <v>375</v>
      </c>
      <c r="E200" t="s">
        <v>37</v>
      </c>
      <c r="J200" t="s">
        <v>13</v>
      </c>
      <c r="K200" t="s">
        <v>67</v>
      </c>
      <c r="L200" t="s">
        <v>68</v>
      </c>
      <c r="M200" s="35" t="s">
        <v>24</v>
      </c>
    </row>
    <row r="201" spans="1:13" x14ac:dyDescent="0.3">
      <c r="A201" s="2" t="str">
        <f>HYPERLINK("https://hsdes.intel.com/resource/14013164649","14013164649")</f>
        <v>14013164649</v>
      </c>
      <c r="B201" t="s">
        <v>376</v>
      </c>
      <c r="C201" t="s">
        <v>357</v>
      </c>
      <c r="D201" t="s">
        <v>377</v>
      </c>
      <c r="E201" t="s">
        <v>37</v>
      </c>
      <c r="J201" t="s">
        <v>13</v>
      </c>
      <c r="K201" t="s">
        <v>67</v>
      </c>
      <c r="L201" t="s">
        <v>68</v>
      </c>
      <c r="M201" s="35" t="s">
        <v>24</v>
      </c>
    </row>
    <row r="202" spans="1:13" x14ac:dyDescent="0.3">
      <c r="A202" s="2" t="str">
        <f>HYPERLINK("https://hsdes.intel.com/resource/14013164656","14013164656")</f>
        <v>14013164656</v>
      </c>
      <c r="B202" t="s">
        <v>378</v>
      </c>
      <c r="C202" t="s">
        <v>357</v>
      </c>
      <c r="D202" t="s">
        <v>379</v>
      </c>
      <c r="E202" t="s">
        <v>37</v>
      </c>
      <c r="J202" t="s">
        <v>13</v>
      </c>
      <c r="K202" t="s">
        <v>67</v>
      </c>
      <c r="L202" t="s">
        <v>68</v>
      </c>
      <c r="M202" s="35" t="s">
        <v>24</v>
      </c>
    </row>
    <row r="203" spans="1:13" x14ac:dyDescent="0.3">
      <c r="A203" s="2" t="str">
        <f>HYPERLINK("https://hsdes.intel.com/resource/14013164661","14013164661")</f>
        <v>14013164661</v>
      </c>
      <c r="B203" t="s">
        <v>380</v>
      </c>
      <c r="C203" t="s">
        <v>357</v>
      </c>
      <c r="D203" t="s">
        <v>381</v>
      </c>
      <c r="E203" t="s">
        <v>37</v>
      </c>
      <c r="J203" t="s">
        <v>13</v>
      </c>
      <c r="K203" t="s">
        <v>67</v>
      </c>
      <c r="L203" t="s">
        <v>68</v>
      </c>
      <c r="M203" s="35" t="s">
        <v>24</v>
      </c>
    </row>
    <row r="204" spans="1:13" x14ac:dyDescent="0.3">
      <c r="A204" s="2" t="str">
        <f>HYPERLINK("https://hsdes.intel.com/resource/14013164668","14013164668")</f>
        <v>14013164668</v>
      </c>
      <c r="B204" t="s">
        <v>382</v>
      </c>
      <c r="C204" t="s">
        <v>357</v>
      </c>
      <c r="D204" t="s">
        <v>383</v>
      </c>
      <c r="E204" t="s">
        <v>37</v>
      </c>
      <c r="J204" t="s">
        <v>13</v>
      </c>
      <c r="K204" t="s">
        <v>67</v>
      </c>
      <c r="L204" t="s">
        <v>68</v>
      </c>
      <c r="M204" s="35" t="s">
        <v>24</v>
      </c>
    </row>
    <row r="205" spans="1:13" x14ac:dyDescent="0.3">
      <c r="A205" s="2" t="str">
        <f>HYPERLINK("https://hsdes.intel.com/resource/14013164670","14013164670")</f>
        <v>14013164670</v>
      </c>
      <c r="B205" t="s">
        <v>384</v>
      </c>
      <c r="C205" t="s">
        <v>357</v>
      </c>
      <c r="D205" t="s">
        <v>385</v>
      </c>
      <c r="E205" t="s">
        <v>37</v>
      </c>
      <c r="J205" t="s">
        <v>13</v>
      </c>
      <c r="K205" t="s">
        <v>67</v>
      </c>
      <c r="L205" t="s">
        <v>68</v>
      </c>
      <c r="M205" s="35" t="s">
        <v>24</v>
      </c>
    </row>
    <row r="206" spans="1:13" x14ac:dyDescent="0.3">
      <c r="A206" s="2" t="str">
        <f>HYPERLINK("https://hsdes.intel.com/resource/14013164680","14013164680")</f>
        <v>14013164680</v>
      </c>
      <c r="B206" t="s">
        <v>386</v>
      </c>
      <c r="C206" t="s">
        <v>357</v>
      </c>
      <c r="D206" t="s">
        <v>387</v>
      </c>
      <c r="E206" t="s">
        <v>37</v>
      </c>
      <c r="J206" t="s">
        <v>13</v>
      </c>
      <c r="K206" t="s">
        <v>67</v>
      </c>
      <c r="L206" t="s">
        <v>68</v>
      </c>
      <c r="M206" s="35" t="s">
        <v>21</v>
      </c>
    </row>
    <row r="207" spans="1:13" x14ac:dyDescent="0.3">
      <c r="A207" s="2" t="str">
        <f>HYPERLINK("https://hsdes.intel.com/resource/14013164684","14013164684")</f>
        <v>14013164684</v>
      </c>
      <c r="B207" t="s">
        <v>388</v>
      </c>
      <c r="C207" t="s">
        <v>357</v>
      </c>
      <c r="D207" t="s">
        <v>389</v>
      </c>
      <c r="E207" t="s">
        <v>37</v>
      </c>
      <c r="J207" t="s">
        <v>13</v>
      </c>
      <c r="K207" t="s">
        <v>67</v>
      </c>
      <c r="L207" t="s">
        <v>68</v>
      </c>
      <c r="M207" s="35" t="s">
        <v>24</v>
      </c>
    </row>
    <row r="208" spans="1:13" x14ac:dyDescent="0.3">
      <c r="A208" s="2" t="str">
        <f>HYPERLINK("https://hsdes.intel.com/resource/14013164690","14013164690")</f>
        <v>14013164690</v>
      </c>
      <c r="B208" t="s">
        <v>390</v>
      </c>
      <c r="C208" t="s">
        <v>357</v>
      </c>
      <c r="D208" t="s">
        <v>391</v>
      </c>
      <c r="E208" t="s">
        <v>37</v>
      </c>
      <c r="J208" t="s">
        <v>13</v>
      </c>
      <c r="K208" t="s">
        <v>67</v>
      </c>
      <c r="L208" t="s">
        <v>68</v>
      </c>
      <c r="M208" s="35" t="s">
        <v>24</v>
      </c>
    </row>
    <row r="209" spans="1:16" x14ac:dyDescent="0.3">
      <c r="A209" s="2" t="str">
        <f>HYPERLINK("https://hsdes.intel.com/resource/14013168276","14013168276")</f>
        <v>14013168276</v>
      </c>
      <c r="B209" t="s">
        <v>392</v>
      </c>
      <c r="C209" t="s">
        <v>357</v>
      </c>
      <c r="D209" t="s">
        <v>393</v>
      </c>
      <c r="E209" t="s">
        <v>11</v>
      </c>
      <c r="G209" t="s">
        <v>369</v>
      </c>
      <c r="I209" s="11">
        <v>44760</v>
      </c>
      <c r="J209" t="s">
        <v>394</v>
      </c>
      <c r="K209" t="s">
        <v>105</v>
      </c>
      <c r="L209" t="s">
        <v>106</v>
      </c>
      <c r="M209" s="35" t="s">
        <v>16</v>
      </c>
    </row>
    <row r="210" spans="1:16" x14ac:dyDescent="0.3">
      <c r="A210" s="2" t="str">
        <f>HYPERLINK("https://hsdes.intel.com/resource/14013168584","14013168584")</f>
        <v>14013168584</v>
      </c>
      <c r="B210" t="s">
        <v>395</v>
      </c>
      <c r="C210" t="s">
        <v>357</v>
      </c>
      <c r="D210" t="s">
        <v>396</v>
      </c>
      <c r="E210" t="s">
        <v>11</v>
      </c>
      <c r="G210" t="s">
        <v>369</v>
      </c>
      <c r="I210" s="11">
        <v>44760</v>
      </c>
      <c r="J210" t="s">
        <v>13</v>
      </c>
      <c r="K210" t="s">
        <v>105</v>
      </c>
      <c r="L210" t="s">
        <v>106</v>
      </c>
      <c r="M210" s="35" t="s">
        <v>24</v>
      </c>
    </row>
    <row r="211" spans="1:16" x14ac:dyDescent="0.3">
      <c r="A211" s="2" t="str">
        <f>HYPERLINK("https://hsdes.intel.com/resource/14013168646","14013168646")</f>
        <v>14013168646</v>
      </c>
      <c r="B211" t="s">
        <v>397</v>
      </c>
      <c r="C211" t="s">
        <v>357</v>
      </c>
      <c r="D211" t="s">
        <v>398</v>
      </c>
      <c r="E211" t="s">
        <v>11</v>
      </c>
      <c r="G211" t="s">
        <v>369</v>
      </c>
      <c r="I211" s="11">
        <v>44760</v>
      </c>
      <c r="J211" t="s">
        <v>13</v>
      </c>
      <c r="K211" t="s">
        <v>105</v>
      </c>
      <c r="L211" t="s">
        <v>106</v>
      </c>
      <c r="M211" s="35" t="s">
        <v>24</v>
      </c>
    </row>
    <row r="212" spans="1:16" x14ac:dyDescent="0.3">
      <c r="A212" s="2" t="str">
        <f>HYPERLINK("https://hsdes.intel.com/resource/14013168655","14013168655")</f>
        <v>14013168655</v>
      </c>
      <c r="B212" t="s">
        <v>399</v>
      </c>
      <c r="C212" t="s">
        <v>357</v>
      </c>
      <c r="D212" t="s">
        <v>400</v>
      </c>
      <c r="E212" t="s">
        <v>11</v>
      </c>
      <c r="G212" t="s">
        <v>369</v>
      </c>
      <c r="I212" s="11">
        <v>44760</v>
      </c>
      <c r="J212" t="s">
        <v>394</v>
      </c>
      <c r="K212" t="s">
        <v>105</v>
      </c>
      <c r="L212" t="s">
        <v>106</v>
      </c>
      <c r="M212" s="35" t="s">
        <v>16</v>
      </c>
    </row>
    <row r="213" spans="1:16" x14ac:dyDescent="0.3">
      <c r="A213" s="2" t="str">
        <f>HYPERLINK("https://hsdes.intel.com/resource/14013168671","14013168671")</f>
        <v>14013168671</v>
      </c>
      <c r="B213" t="s">
        <v>401</v>
      </c>
      <c r="C213" t="s">
        <v>357</v>
      </c>
      <c r="D213" t="s">
        <v>402</v>
      </c>
      <c r="E213" t="s">
        <v>11</v>
      </c>
      <c r="G213" t="s">
        <v>369</v>
      </c>
      <c r="I213" s="11">
        <v>44760</v>
      </c>
      <c r="J213" t="s">
        <v>394</v>
      </c>
      <c r="K213" t="s">
        <v>105</v>
      </c>
      <c r="L213" t="s">
        <v>106</v>
      </c>
      <c r="M213" s="35" t="s">
        <v>16</v>
      </c>
    </row>
    <row r="214" spans="1:16" x14ac:dyDescent="0.3">
      <c r="A214" s="2" t="str">
        <f>HYPERLINK("https://hsdes.intel.com/resource/14013176742","14013176742")</f>
        <v>14013176742</v>
      </c>
      <c r="B214" t="s">
        <v>403</v>
      </c>
      <c r="C214" t="s">
        <v>357</v>
      </c>
      <c r="D214" t="s">
        <v>404</v>
      </c>
      <c r="E214" t="s">
        <v>405</v>
      </c>
      <c r="F214" s="12" t="s">
        <v>406</v>
      </c>
      <c r="G214" t="s">
        <v>363</v>
      </c>
      <c r="I214" s="11">
        <v>44764</v>
      </c>
      <c r="J214" t="s">
        <v>13</v>
      </c>
      <c r="K214" t="s">
        <v>157</v>
      </c>
      <c r="L214" t="s">
        <v>158</v>
      </c>
      <c r="M214" s="35" t="s">
        <v>24</v>
      </c>
    </row>
    <row r="215" spans="1:16" x14ac:dyDescent="0.3">
      <c r="A215" s="2" t="str">
        <f>HYPERLINK("https://hsdes.intel.com/resource/14013177021","14013177021")</f>
        <v>14013177021</v>
      </c>
      <c r="B215" t="s">
        <v>407</v>
      </c>
      <c r="C215" t="s">
        <v>357</v>
      </c>
      <c r="D215" t="s">
        <v>408</v>
      </c>
      <c r="E215" t="s">
        <v>11</v>
      </c>
      <c r="G215" t="s">
        <v>363</v>
      </c>
      <c r="I215" s="11">
        <v>44763</v>
      </c>
      <c r="J215" t="s">
        <v>13</v>
      </c>
      <c r="K215" t="s">
        <v>157</v>
      </c>
      <c r="L215" t="s">
        <v>158</v>
      </c>
      <c r="M215" s="35" t="s">
        <v>21</v>
      </c>
    </row>
    <row r="216" spans="1:16" x14ac:dyDescent="0.3">
      <c r="A216" s="2" t="str">
        <f>HYPERLINK("https://hsdes.intel.com/resource/14013177684","14013177684")</f>
        <v>14013177684</v>
      </c>
      <c r="B216" t="s">
        <v>409</v>
      </c>
      <c r="C216" t="s">
        <v>357</v>
      </c>
      <c r="D216" t="s">
        <v>410</v>
      </c>
      <c r="E216" t="s">
        <v>11</v>
      </c>
      <c r="F216" s="13">
        <v>14013176742</v>
      </c>
      <c r="G216" t="s">
        <v>369</v>
      </c>
      <c r="I216" s="11">
        <v>44760</v>
      </c>
      <c r="J216" t="s">
        <v>13</v>
      </c>
      <c r="K216" t="s">
        <v>157</v>
      </c>
      <c r="L216" t="s">
        <v>158</v>
      </c>
      <c r="M216" s="35" t="s">
        <v>21</v>
      </c>
    </row>
    <row r="217" spans="1:16" x14ac:dyDescent="0.3">
      <c r="A217" s="2" t="str">
        <f>HYPERLINK("https://hsdes.intel.com/resource/14013177838","14013177838")</f>
        <v>14013177838</v>
      </c>
      <c r="B217" t="s">
        <v>411</v>
      </c>
      <c r="C217" t="s">
        <v>357</v>
      </c>
      <c r="D217" t="s">
        <v>412</v>
      </c>
      <c r="E217" t="s">
        <v>11</v>
      </c>
      <c r="G217" t="s">
        <v>363</v>
      </c>
      <c r="I217" s="11">
        <v>44764</v>
      </c>
      <c r="J217" t="s">
        <v>13</v>
      </c>
      <c r="K217" t="s">
        <v>157</v>
      </c>
      <c r="L217" t="s">
        <v>158</v>
      </c>
      <c r="M217" s="35" t="s">
        <v>21</v>
      </c>
    </row>
    <row r="218" spans="1:16" x14ac:dyDescent="0.3">
      <c r="A218" s="2" t="str">
        <f>HYPERLINK("https://hsdes.intel.com/resource/14013178862","14013178862")</f>
        <v>14013178862</v>
      </c>
      <c r="B218" t="s">
        <v>413</v>
      </c>
      <c r="C218" t="s">
        <v>357</v>
      </c>
      <c r="D218" t="s">
        <v>414</v>
      </c>
      <c r="E218" t="s">
        <v>37</v>
      </c>
      <c r="F218" s="14" t="s">
        <v>415</v>
      </c>
      <c r="G218" t="s">
        <v>363</v>
      </c>
      <c r="I218" s="11">
        <v>44764</v>
      </c>
      <c r="J218" t="s">
        <v>13</v>
      </c>
      <c r="K218" t="s">
        <v>157</v>
      </c>
      <c r="L218" t="s">
        <v>158</v>
      </c>
      <c r="M218" s="35" t="s">
        <v>21</v>
      </c>
    </row>
    <row r="219" spans="1:16" x14ac:dyDescent="0.3">
      <c r="A219" s="2" t="str">
        <f>HYPERLINK("https://hsdes.intel.com/resource/14013186861","14013186861")</f>
        <v>14013186861</v>
      </c>
      <c r="B219" t="s">
        <v>416</v>
      </c>
      <c r="C219" t="s">
        <v>357</v>
      </c>
      <c r="D219" t="s">
        <v>417</v>
      </c>
      <c r="E219" t="s">
        <v>37</v>
      </c>
      <c r="I219" s="11"/>
      <c r="J219" t="s">
        <v>13</v>
      </c>
      <c r="K219" t="s">
        <v>67</v>
      </c>
      <c r="L219" t="s">
        <v>68</v>
      </c>
      <c r="M219" s="35" t="s">
        <v>21</v>
      </c>
    </row>
    <row r="220" spans="1:16" x14ac:dyDescent="0.3">
      <c r="A220" s="2" t="str">
        <f>HYPERLINK("https://hsdes.intel.com/resource/14013186895","14013186895")</f>
        <v>14013186895</v>
      </c>
      <c r="B220" t="s">
        <v>418</v>
      </c>
      <c r="C220" t="s">
        <v>357</v>
      </c>
      <c r="D220" t="s">
        <v>419</v>
      </c>
      <c r="E220" t="s">
        <v>37</v>
      </c>
      <c r="J220" t="s">
        <v>13</v>
      </c>
      <c r="K220" t="s">
        <v>67</v>
      </c>
      <c r="L220" t="s">
        <v>68</v>
      </c>
      <c r="M220" s="35" t="s">
        <v>24</v>
      </c>
    </row>
    <row r="221" spans="1:16" x14ac:dyDescent="0.3">
      <c r="A221" s="2" t="str">
        <f>HYPERLINK("https://hsdes.intel.com/resource/14013186907","14013186907")</f>
        <v>14013186907</v>
      </c>
      <c r="B221" t="s">
        <v>420</v>
      </c>
      <c r="C221" t="s">
        <v>357</v>
      </c>
      <c r="D221" t="s">
        <v>421</v>
      </c>
      <c r="E221" t="s">
        <v>37</v>
      </c>
      <c r="J221" t="s">
        <v>13</v>
      </c>
      <c r="K221" t="s">
        <v>67</v>
      </c>
      <c r="L221" t="s">
        <v>68</v>
      </c>
      <c r="M221" s="35" t="s">
        <v>16</v>
      </c>
    </row>
    <row r="222" spans="1:16" x14ac:dyDescent="0.3">
      <c r="A222" s="36">
        <v>14013114989</v>
      </c>
      <c r="B222" s="37" t="s">
        <v>8</v>
      </c>
      <c r="C222" s="37" t="s">
        <v>422</v>
      </c>
      <c r="D222" s="37" t="s">
        <v>10</v>
      </c>
      <c r="E222" s="37" t="s">
        <v>11</v>
      </c>
      <c r="F222" s="37"/>
      <c r="G222" s="37" t="s">
        <v>343</v>
      </c>
      <c r="H222" s="37"/>
      <c r="I222" s="37" t="s">
        <v>423</v>
      </c>
      <c r="J222" s="37"/>
      <c r="K222" s="37" t="s">
        <v>14</v>
      </c>
      <c r="L222" s="37" t="s">
        <v>88</v>
      </c>
      <c r="M222" s="38" t="s">
        <v>16</v>
      </c>
      <c r="O222" t="s">
        <v>425</v>
      </c>
      <c r="P222" t="s">
        <v>424</v>
      </c>
    </row>
    <row r="223" spans="1:16" x14ac:dyDescent="0.3">
      <c r="A223" s="36">
        <v>14013115011</v>
      </c>
      <c r="B223" s="37" t="s">
        <v>17</v>
      </c>
      <c r="C223" s="37" t="s">
        <v>422</v>
      </c>
      <c r="D223" s="37" t="s">
        <v>18</v>
      </c>
      <c r="E223" s="37" t="s">
        <v>11</v>
      </c>
      <c r="F223" s="37" t="s">
        <v>426</v>
      </c>
      <c r="G223" s="37" t="s">
        <v>343</v>
      </c>
      <c r="H223" s="37"/>
      <c r="I223" s="37" t="s">
        <v>427</v>
      </c>
      <c r="J223" s="37"/>
      <c r="K223" s="37" t="s">
        <v>19</v>
      </c>
      <c r="L223" s="37" t="s">
        <v>20</v>
      </c>
      <c r="M223" s="38" t="s">
        <v>21</v>
      </c>
      <c r="O223" t="s">
        <v>425</v>
      </c>
      <c r="P223" t="s">
        <v>424</v>
      </c>
    </row>
    <row r="224" spans="1:16" x14ac:dyDescent="0.3">
      <c r="A224" s="36">
        <v>14013115043</v>
      </c>
      <c r="B224" s="37" t="s">
        <v>22</v>
      </c>
      <c r="C224" s="37" t="s">
        <v>422</v>
      </c>
      <c r="D224" s="37" t="s">
        <v>23</v>
      </c>
      <c r="E224" s="37" t="s">
        <v>11</v>
      </c>
      <c r="F224" s="37" t="s">
        <v>426</v>
      </c>
      <c r="G224" s="37" t="s">
        <v>343</v>
      </c>
      <c r="H224" s="37"/>
      <c r="I224" s="37" t="s">
        <v>427</v>
      </c>
      <c r="J224" s="37"/>
      <c r="K224" s="37" t="s">
        <v>14</v>
      </c>
      <c r="L224" s="37" t="s">
        <v>88</v>
      </c>
      <c r="M224" s="38" t="s">
        <v>24</v>
      </c>
      <c r="O224" t="s">
        <v>425</v>
      </c>
      <c r="P224" t="s">
        <v>424</v>
      </c>
    </row>
    <row r="225" spans="1:16" x14ac:dyDescent="0.3">
      <c r="A225" s="36">
        <v>14013119063</v>
      </c>
      <c r="B225" s="37" t="s">
        <v>25</v>
      </c>
      <c r="C225" s="37" t="s">
        <v>422</v>
      </c>
      <c r="D225" s="37" t="s">
        <v>26</v>
      </c>
      <c r="E225" s="37" t="s">
        <v>11</v>
      </c>
      <c r="F225" s="37"/>
      <c r="G225" s="37" t="s">
        <v>343</v>
      </c>
      <c r="H225" s="37"/>
      <c r="I225" s="37" t="s">
        <v>423</v>
      </c>
      <c r="J225" s="37"/>
      <c r="K225" s="37" t="s">
        <v>28</v>
      </c>
      <c r="L225" s="37" t="s">
        <v>29</v>
      </c>
      <c r="M225" s="38" t="s">
        <v>16</v>
      </c>
      <c r="O225" t="s">
        <v>429</v>
      </c>
      <c r="P225" t="s">
        <v>428</v>
      </c>
    </row>
    <row r="226" spans="1:16" x14ac:dyDescent="0.3">
      <c r="A226" s="34">
        <v>14013119215</v>
      </c>
      <c r="B226" t="s">
        <v>30</v>
      </c>
      <c r="C226" t="s">
        <v>422</v>
      </c>
      <c r="D226" t="s">
        <v>31</v>
      </c>
      <c r="E226" t="s">
        <v>37</v>
      </c>
      <c r="F226" t="s">
        <v>430</v>
      </c>
      <c r="K226" t="s">
        <v>33</v>
      </c>
      <c r="L226" t="s">
        <v>29</v>
      </c>
      <c r="M226" s="35" t="s">
        <v>16</v>
      </c>
      <c r="O226" t="s">
        <v>432</v>
      </c>
      <c r="P226" t="s">
        <v>431</v>
      </c>
    </row>
    <row r="227" spans="1:16" x14ac:dyDescent="0.3">
      <c r="A227" s="34">
        <v>14013156721</v>
      </c>
      <c r="B227" t="s">
        <v>356</v>
      </c>
      <c r="C227" t="s">
        <v>422</v>
      </c>
      <c r="D227" t="s">
        <v>358</v>
      </c>
      <c r="E227" t="s">
        <v>37</v>
      </c>
      <c r="K227" t="s">
        <v>67</v>
      </c>
      <c r="L227" t="s">
        <v>68</v>
      </c>
      <c r="M227" s="35" t="s">
        <v>16</v>
      </c>
      <c r="O227" t="s">
        <v>433</v>
      </c>
      <c r="P227" t="s">
        <v>431</v>
      </c>
    </row>
    <row r="228" spans="1:16" x14ac:dyDescent="0.3">
      <c r="A228" s="36">
        <v>14013156734</v>
      </c>
      <c r="B228" s="37" t="s">
        <v>361</v>
      </c>
      <c r="C228" s="37" t="s">
        <v>422</v>
      </c>
      <c r="D228" s="37" t="s">
        <v>362</v>
      </c>
      <c r="E228" s="37" t="s">
        <v>11</v>
      </c>
      <c r="F228" s="37"/>
      <c r="G228" s="37" t="s">
        <v>343</v>
      </c>
      <c r="H228" s="37"/>
      <c r="I228" s="37" t="s">
        <v>427</v>
      </c>
      <c r="J228" s="37"/>
      <c r="K228" s="37" t="s">
        <v>157</v>
      </c>
      <c r="L228" s="37" t="s">
        <v>158</v>
      </c>
      <c r="M228" s="38" t="s">
        <v>24</v>
      </c>
      <c r="O228" t="s">
        <v>435</v>
      </c>
      <c r="P228" t="s">
        <v>434</v>
      </c>
    </row>
    <row r="229" spans="1:16" x14ac:dyDescent="0.3">
      <c r="A229" s="36">
        <v>14013156768</v>
      </c>
      <c r="B229" s="37" t="s">
        <v>364</v>
      </c>
      <c r="C229" s="37" t="s">
        <v>422</v>
      </c>
      <c r="D229" s="37" t="s">
        <v>365</v>
      </c>
      <c r="E229" s="37" t="s">
        <v>11</v>
      </c>
      <c r="F229" s="37"/>
      <c r="G229" s="37" t="s">
        <v>343</v>
      </c>
      <c r="H229" s="37"/>
      <c r="I229" s="37" t="s">
        <v>427</v>
      </c>
      <c r="J229" s="37"/>
      <c r="K229" s="37" t="s">
        <v>157</v>
      </c>
      <c r="L229" s="37" t="s">
        <v>158</v>
      </c>
      <c r="M229" s="38" t="s">
        <v>21</v>
      </c>
      <c r="O229" t="s">
        <v>435</v>
      </c>
      <c r="P229" t="s">
        <v>434</v>
      </c>
    </row>
    <row r="230" spans="1:16" x14ac:dyDescent="0.3">
      <c r="A230" s="34">
        <v>14013158131</v>
      </c>
      <c r="B230" t="s">
        <v>436</v>
      </c>
      <c r="C230" t="s">
        <v>422</v>
      </c>
      <c r="D230" t="s">
        <v>437</v>
      </c>
      <c r="E230" t="s">
        <v>37</v>
      </c>
      <c r="K230" t="s">
        <v>439</v>
      </c>
      <c r="L230" s="2" t="s">
        <v>158</v>
      </c>
      <c r="M230" s="35" t="s">
        <v>16</v>
      </c>
      <c r="O230" t="s">
        <v>438</v>
      </c>
      <c r="P230" t="s">
        <v>434</v>
      </c>
    </row>
    <row r="231" spans="1:16" x14ac:dyDescent="0.3">
      <c r="A231" s="34">
        <v>14013158232</v>
      </c>
      <c r="B231" t="s">
        <v>35</v>
      </c>
      <c r="C231" t="s">
        <v>422</v>
      </c>
      <c r="D231" t="s">
        <v>36</v>
      </c>
      <c r="E231" t="s">
        <v>11</v>
      </c>
      <c r="G231" t="s">
        <v>440</v>
      </c>
      <c r="I231" s="11">
        <v>44760</v>
      </c>
      <c r="K231" t="s">
        <v>33</v>
      </c>
      <c r="L231" t="s">
        <v>29</v>
      </c>
      <c r="M231" s="35" t="s">
        <v>16</v>
      </c>
      <c r="O231" t="s">
        <v>441</v>
      </c>
      <c r="P231" t="s">
        <v>428</v>
      </c>
    </row>
    <row r="232" spans="1:16" x14ac:dyDescent="0.3">
      <c r="A232" s="34">
        <v>14013158240</v>
      </c>
      <c r="B232" t="s">
        <v>38</v>
      </c>
      <c r="C232" t="s">
        <v>422</v>
      </c>
      <c r="D232" t="s">
        <v>39</v>
      </c>
      <c r="E232" t="s">
        <v>11</v>
      </c>
      <c r="G232" t="s">
        <v>440</v>
      </c>
      <c r="I232" s="11">
        <v>44760</v>
      </c>
      <c r="K232" t="s">
        <v>33</v>
      </c>
      <c r="L232" t="s">
        <v>29</v>
      </c>
      <c r="M232" s="35" t="s">
        <v>16</v>
      </c>
      <c r="O232" t="s">
        <v>442</v>
      </c>
      <c r="P232" t="s">
        <v>428</v>
      </c>
    </row>
    <row r="233" spans="1:16" x14ac:dyDescent="0.3">
      <c r="A233" s="36">
        <v>14013158295</v>
      </c>
      <c r="B233" s="37" t="s">
        <v>40</v>
      </c>
      <c r="C233" s="37" t="s">
        <v>422</v>
      </c>
      <c r="D233" s="37" t="s">
        <v>41</v>
      </c>
      <c r="E233" s="37" t="s">
        <v>11</v>
      </c>
      <c r="F233" s="37"/>
      <c r="G233" s="37" t="s">
        <v>343</v>
      </c>
      <c r="H233" s="37"/>
      <c r="I233" s="37" t="s">
        <v>427</v>
      </c>
      <c r="J233" s="37"/>
      <c r="K233" s="37" t="s">
        <v>42</v>
      </c>
      <c r="L233" s="2" t="s">
        <v>15</v>
      </c>
      <c r="M233" s="38" t="s">
        <v>21</v>
      </c>
      <c r="O233" t="s">
        <v>443</v>
      </c>
      <c r="P233" t="s">
        <v>424</v>
      </c>
    </row>
    <row r="234" spans="1:16" x14ac:dyDescent="0.3">
      <c r="A234" s="36">
        <v>14013158827</v>
      </c>
      <c r="B234" s="37" t="s">
        <v>46</v>
      </c>
      <c r="C234" s="37" t="s">
        <v>422</v>
      </c>
      <c r="D234" s="37" t="s">
        <v>47</v>
      </c>
      <c r="E234" s="37" t="s">
        <v>11</v>
      </c>
      <c r="F234" s="37"/>
      <c r="G234" s="37" t="s">
        <v>343</v>
      </c>
      <c r="H234" s="37"/>
      <c r="I234" s="37" t="s">
        <v>427</v>
      </c>
      <c r="J234" s="37"/>
      <c r="K234" s="37" t="s">
        <v>19</v>
      </c>
      <c r="L234" s="39" t="s">
        <v>20</v>
      </c>
      <c r="M234" s="38" t="s">
        <v>21</v>
      </c>
      <c r="O234" t="s">
        <v>444</v>
      </c>
      <c r="P234" t="s">
        <v>424</v>
      </c>
    </row>
    <row r="235" spans="1:16" x14ac:dyDescent="0.3">
      <c r="A235" s="36">
        <v>14013158828</v>
      </c>
      <c r="B235" s="37" t="s">
        <v>48</v>
      </c>
      <c r="C235" s="37" t="s">
        <v>422</v>
      </c>
      <c r="D235" s="37" t="s">
        <v>49</v>
      </c>
      <c r="E235" s="37" t="s">
        <v>11</v>
      </c>
      <c r="F235" s="37"/>
      <c r="G235" s="37" t="s">
        <v>343</v>
      </c>
      <c r="H235" s="37"/>
      <c r="I235" s="37" t="s">
        <v>427</v>
      </c>
      <c r="J235" s="37"/>
      <c r="K235" s="37" t="s">
        <v>19</v>
      </c>
      <c r="L235" s="39" t="s">
        <v>20</v>
      </c>
      <c r="M235" s="38" t="s">
        <v>21</v>
      </c>
      <c r="O235" t="s">
        <v>445</v>
      </c>
      <c r="P235" t="s">
        <v>424</v>
      </c>
    </row>
    <row r="236" spans="1:16" x14ac:dyDescent="0.3">
      <c r="A236" s="36">
        <v>14013158830</v>
      </c>
      <c r="B236" s="37" t="s">
        <v>50</v>
      </c>
      <c r="C236" s="37" t="s">
        <v>422</v>
      </c>
      <c r="D236" s="37" t="s">
        <v>51</v>
      </c>
      <c r="E236" s="37" t="s">
        <v>11</v>
      </c>
      <c r="F236" s="37"/>
      <c r="G236" s="37" t="s">
        <v>343</v>
      </c>
      <c r="H236" s="37"/>
      <c r="I236" s="37" t="s">
        <v>427</v>
      </c>
      <c r="J236" s="37"/>
      <c r="K236" s="37" t="s">
        <v>19</v>
      </c>
      <c r="L236" s="39" t="s">
        <v>20</v>
      </c>
      <c r="M236" s="38" t="s">
        <v>21</v>
      </c>
      <c r="O236" t="s">
        <v>444</v>
      </c>
      <c r="P236" t="s">
        <v>424</v>
      </c>
    </row>
    <row r="237" spans="1:16" x14ac:dyDescent="0.3">
      <c r="A237" s="36">
        <v>14013159287</v>
      </c>
      <c r="B237" s="37" t="s">
        <v>62</v>
      </c>
      <c r="C237" s="37" t="s">
        <v>422</v>
      </c>
      <c r="D237" s="37" t="s">
        <v>63</v>
      </c>
      <c r="E237" s="37" t="s">
        <v>11</v>
      </c>
      <c r="F237" s="37"/>
      <c r="G237" s="37" t="s">
        <v>343</v>
      </c>
      <c r="H237" s="37"/>
      <c r="I237" s="37" t="s">
        <v>427</v>
      </c>
      <c r="J237" s="37"/>
      <c r="K237" s="37" t="s">
        <v>19</v>
      </c>
      <c r="L237" s="39" t="s">
        <v>20</v>
      </c>
      <c r="M237" s="38" t="s">
        <v>24</v>
      </c>
      <c r="O237" t="s">
        <v>444</v>
      </c>
      <c r="P237" t="s">
        <v>424</v>
      </c>
    </row>
    <row r="238" spans="1:16" x14ac:dyDescent="0.3">
      <c r="A238" s="36">
        <v>14013160917</v>
      </c>
      <c r="B238" s="37" t="s">
        <v>367</v>
      </c>
      <c r="C238" s="37" t="s">
        <v>422</v>
      </c>
      <c r="D238" s="37" t="s">
        <v>368</v>
      </c>
      <c r="E238" s="37" t="s">
        <v>11</v>
      </c>
      <c r="F238" s="37"/>
      <c r="G238" s="37" t="s">
        <v>343</v>
      </c>
      <c r="H238" s="37"/>
      <c r="I238" s="37" t="s">
        <v>427</v>
      </c>
      <c r="J238" s="37"/>
      <c r="K238" s="37" t="s">
        <v>105</v>
      </c>
      <c r="L238" s="39" t="s">
        <v>106</v>
      </c>
      <c r="M238" s="38" t="s">
        <v>24</v>
      </c>
      <c r="O238" t="s">
        <v>446</v>
      </c>
      <c r="P238" t="s">
        <v>434</v>
      </c>
    </row>
    <row r="239" spans="1:16" x14ac:dyDescent="0.3">
      <c r="A239" s="34">
        <v>14013161484</v>
      </c>
      <c r="B239" t="s">
        <v>447</v>
      </c>
      <c r="C239" t="s">
        <v>422</v>
      </c>
      <c r="D239" t="s">
        <v>448</v>
      </c>
      <c r="E239" t="s">
        <v>37</v>
      </c>
      <c r="F239" t="s">
        <v>430</v>
      </c>
      <c r="K239" t="s">
        <v>33</v>
      </c>
      <c r="L239" s="32" t="s">
        <v>29</v>
      </c>
      <c r="M239" s="35" t="s">
        <v>21</v>
      </c>
      <c r="O239" t="s">
        <v>449</v>
      </c>
      <c r="P239" t="s">
        <v>431</v>
      </c>
    </row>
    <row r="240" spans="1:16" x14ac:dyDescent="0.3">
      <c r="A240" s="34">
        <v>14013161491</v>
      </c>
      <c r="B240" t="s">
        <v>89</v>
      </c>
      <c r="C240" t="s">
        <v>422</v>
      </c>
      <c r="D240" t="s">
        <v>90</v>
      </c>
      <c r="E240" t="s">
        <v>37</v>
      </c>
      <c r="F240" t="s">
        <v>430</v>
      </c>
      <c r="K240" t="s">
        <v>33</v>
      </c>
      <c r="L240" s="32" t="s">
        <v>29</v>
      </c>
      <c r="M240" s="35" t="s">
        <v>16</v>
      </c>
      <c r="O240" t="s">
        <v>449</v>
      </c>
      <c r="P240" t="s">
        <v>431</v>
      </c>
    </row>
    <row r="241" spans="1:16" x14ac:dyDescent="0.3">
      <c r="A241" s="34">
        <v>14013162271</v>
      </c>
      <c r="B241" t="s">
        <v>450</v>
      </c>
      <c r="C241" t="s">
        <v>422</v>
      </c>
      <c r="D241" t="s">
        <v>451</v>
      </c>
      <c r="E241" t="s">
        <v>37</v>
      </c>
      <c r="K241" t="s">
        <v>67</v>
      </c>
      <c r="L241" s="32" t="s">
        <v>68</v>
      </c>
      <c r="M241" s="35" t="s">
        <v>21</v>
      </c>
      <c r="O241" t="s">
        <v>452</v>
      </c>
      <c r="P241" t="s">
        <v>431</v>
      </c>
    </row>
    <row r="242" spans="1:16" x14ac:dyDescent="0.3">
      <c r="A242" s="34">
        <v>14013162301</v>
      </c>
      <c r="B242" t="s">
        <v>453</v>
      </c>
      <c r="C242" t="s">
        <v>422</v>
      </c>
      <c r="D242" t="s">
        <v>454</v>
      </c>
      <c r="E242" t="s">
        <v>37</v>
      </c>
      <c r="F242" t="s">
        <v>455</v>
      </c>
      <c r="K242" t="s">
        <v>67</v>
      </c>
      <c r="L242" s="32" t="s">
        <v>68</v>
      </c>
      <c r="M242" s="35" t="s">
        <v>21</v>
      </c>
      <c r="O242" t="s">
        <v>456</v>
      </c>
      <c r="P242" t="s">
        <v>431</v>
      </c>
    </row>
    <row r="243" spans="1:16" x14ac:dyDescent="0.3">
      <c r="A243" s="36">
        <v>14013162374</v>
      </c>
      <c r="B243" s="37" t="s">
        <v>95</v>
      </c>
      <c r="C243" s="37" t="s">
        <v>422</v>
      </c>
      <c r="D243" s="37" t="s">
        <v>96</v>
      </c>
      <c r="E243" s="37" t="s">
        <v>11</v>
      </c>
      <c r="F243" s="37"/>
      <c r="G243" s="37" t="s">
        <v>343</v>
      </c>
      <c r="H243" s="37"/>
      <c r="I243" s="37" t="s">
        <v>423</v>
      </c>
      <c r="J243" s="37"/>
      <c r="K243" s="37" t="s">
        <v>93</v>
      </c>
      <c r="L243" s="39" t="s">
        <v>94</v>
      </c>
      <c r="M243" s="38" t="s">
        <v>16</v>
      </c>
      <c r="O243" t="s">
        <v>458</v>
      </c>
      <c r="P243" t="s">
        <v>457</v>
      </c>
    </row>
    <row r="244" spans="1:16" x14ac:dyDescent="0.3">
      <c r="A244" s="36">
        <v>14013162379</v>
      </c>
      <c r="B244" s="37" t="s">
        <v>97</v>
      </c>
      <c r="C244" s="37" t="s">
        <v>422</v>
      </c>
      <c r="D244" s="37" t="s">
        <v>98</v>
      </c>
      <c r="E244" s="37" t="s">
        <v>11</v>
      </c>
      <c r="F244" s="37"/>
      <c r="G244" s="37" t="s">
        <v>343</v>
      </c>
      <c r="H244" s="37"/>
      <c r="I244" s="37" t="s">
        <v>423</v>
      </c>
      <c r="J244" s="37"/>
      <c r="K244" s="37" t="s">
        <v>93</v>
      </c>
      <c r="L244" s="39" t="s">
        <v>94</v>
      </c>
      <c r="M244" s="38" t="s">
        <v>16</v>
      </c>
      <c r="O244" t="s">
        <v>458</v>
      </c>
      <c r="P244" t="s">
        <v>457</v>
      </c>
    </row>
    <row r="245" spans="1:16" x14ac:dyDescent="0.3">
      <c r="A245" s="34">
        <v>14013163326</v>
      </c>
      <c r="B245" t="s">
        <v>99</v>
      </c>
      <c r="C245" t="s">
        <v>422</v>
      </c>
      <c r="D245" t="s">
        <v>100</v>
      </c>
      <c r="E245" t="s">
        <v>37</v>
      </c>
      <c r="F245" t="s">
        <v>459</v>
      </c>
      <c r="K245" t="s">
        <v>19</v>
      </c>
      <c r="L245" s="32" t="s">
        <v>20</v>
      </c>
      <c r="M245" s="35" t="s">
        <v>16</v>
      </c>
      <c r="O245" t="s">
        <v>460</v>
      </c>
      <c r="P245" t="s">
        <v>424</v>
      </c>
    </row>
    <row r="246" spans="1:16" x14ac:dyDescent="0.3">
      <c r="A246" s="34">
        <v>14013163952</v>
      </c>
      <c r="B246" t="s">
        <v>101</v>
      </c>
      <c r="C246" t="s">
        <v>422</v>
      </c>
      <c r="D246" t="s">
        <v>102</v>
      </c>
      <c r="E246" t="s">
        <v>37</v>
      </c>
      <c r="F246" t="s">
        <v>430</v>
      </c>
      <c r="K246" t="s">
        <v>33</v>
      </c>
      <c r="L246" s="32" t="s">
        <v>29</v>
      </c>
      <c r="M246" s="35" t="s">
        <v>16</v>
      </c>
      <c r="O246" t="s">
        <v>449</v>
      </c>
      <c r="P246" t="s">
        <v>431</v>
      </c>
    </row>
    <row r="247" spans="1:16" x14ac:dyDescent="0.3">
      <c r="A247" s="34">
        <v>14013168276</v>
      </c>
      <c r="B247" t="s">
        <v>392</v>
      </c>
      <c r="C247" t="s">
        <v>422</v>
      </c>
      <c r="D247" t="s">
        <v>393</v>
      </c>
      <c r="E247" t="s">
        <v>37</v>
      </c>
      <c r="G247" t="s">
        <v>354</v>
      </c>
      <c r="K247" t="s">
        <v>105</v>
      </c>
      <c r="L247" t="s">
        <v>106</v>
      </c>
      <c r="M247" s="35" t="s">
        <v>16</v>
      </c>
      <c r="O247" t="s">
        <v>461</v>
      </c>
      <c r="P247" t="s">
        <v>434</v>
      </c>
    </row>
    <row r="248" spans="1:16" x14ac:dyDescent="0.3">
      <c r="A248" s="34">
        <v>14013168646</v>
      </c>
      <c r="B248" t="s">
        <v>397</v>
      </c>
      <c r="C248" t="s">
        <v>422</v>
      </c>
      <c r="D248" t="s">
        <v>398</v>
      </c>
      <c r="E248" t="s">
        <v>11</v>
      </c>
      <c r="G248" t="s">
        <v>354</v>
      </c>
      <c r="I248" s="11">
        <v>44762</v>
      </c>
      <c r="K248" t="s">
        <v>105</v>
      </c>
      <c r="L248" t="s">
        <v>106</v>
      </c>
      <c r="M248" s="35" t="s">
        <v>24</v>
      </c>
      <c r="O248" t="s">
        <v>462</v>
      </c>
      <c r="P248" t="s">
        <v>434</v>
      </c>
    </row>
    <row r="249" spans="1:16" x14ac:dyDescent="0.3">
      <c r="A249" s="34">
        <v>14013168655</v>
      </c>
      <c r="B249" t="s">
        <v>399</v>
      </c>
      <c r="C249" t="s">
        <v>422</v>
      </c>
      <c r="D249" t="s">
        <v>400</v>
      </c>
      <c r="E249" t="s">
        <v>37</v>
      </c>
      <c r="K249" t="s">
        <v>105</v>
      </c>
      <c r="L249" t="s">
        <v>106</v>
      </c>
      <c r="M249" s="35" t="s">
        <v>16</v>
      </c>
      <c r="O249" t="s">
        <v>446</v>
      </c>
      <c r="P249" t="s">
        <v>434</v>
      </c>
    </row>
    <row r="250" spans="1:16" x14ac:dyDescent="0.3">
      <c r="A250" s="34">
        <v>14013168671</v>
      </c>
      <c r="B250" t="s">
        <v>401</v>
      </c>
      <c r="C250" t="s">
        <v>422</v>
      </c>
      <c r="D250" t="s">
        <v>402</v>
      </c>
      <c r="E250" t="s">
        <v>37</v>
      </c>
      <c r="K250" t="s">
        <v>105</v>
      </c>
      <c r="L250" t="s">
        <v>106</v>
      </c>
      <c r="M250" s="35" t="s">
        <v>16</v>
      </c>
      <c r="O250" t="s">
        <v>463</v>
      </c>
      <c r="P250" t="s">
        <v>434</v>
      </c>
    </row>
    <row r="251" spans="1:16" x14ac:dyDescent="0.3">
      <c r="A251" s="34">
        <v>14013168846</v>
      </c>
      <c r="B251" t="s">
        <v>103</v>
      </c>
      <c r="C251" t="s">
        <v>422</v>
      </c>
      <c r="D251" t="s">
        <v>104</v>
      </c>
      <c r="E251" t="s">
        <v>11</v>
      </c>
      <c r="G251" t="s">
        <v>354</v>
      </c>
      <c r="I251" s="11">
        <v>44762</v>
      </c>
      <c r="K251" t="s">
        <v>105</v>
      </c>
      <c r="L251" t="s">
        <v>106</v>
      </c>
      <c r="M251" s="35" t="s">
        <v>24</v>
      </c>
      <c r="O251" t="s">
        <v>464</v>
      </c>
      <c r="P251" t="s">
        <v>434</v>
      </c>
    </row>
    <row r="252" spans="1:16" x14ac:dyDescent="0.3">
      <c r="A252" s="36">
        <v>14013168950</v>
      </c>
      <c r="B252" s="37" t="s">
        <v>107</v>
      </c>
      <c r="C252" s="37" t="s">
        <v>422</v>
      </c>
      <c r="D252" s="37" t="s">
        <v>108</v>
      </c>
      <c r="E252" s="37" t="s">
        <v>11</v>
      </c>
      <c r="F252" s="37" t="s">
        <v>296</v>
      </c>
      <c r="G252" s="37" t="s">
        <v>343</v>
      </c>
      <c r="H252" s="37"/>
      <c r="I252" s="37" t="s">
        <v>427</v>
      </c>
      <c r="J252" s="37"/>
      <c r="K252" s="37" t="s">
        <v>105</v>
      </c>
      <c r="L252" s="37" t="s">
        <v>106</v>
      </c>
      <c r="M252" s="38" t="s">
        <v>24</v>
      </c>
      <c r="O252" t="s">
        <v>462</v>
      </c>
      <c r="P252" t="s">
        <v>434</v>
      </c>
    </row>
    <row r="253" spans="1:16" x14ac:dyDescent="0.3">
      <c r="A253" s="36">
        <v>14013169130</v>
      </c>
      <c r="B253" s="37" t="s">
        <v>111</v>
      </c>
      <c r="C253" s="37" t="s">
        <v>422</v>
      </c>
      <c r="D253" s="37" t="s">
        <v>112</v>
      </c>
      <c r="E253" s="37" t="s">
        <v>11</v>
      </c>
      <c r="F253" s="37" t="s">
        <v>296</v>
      </c>
      <c r="G253" s="37" t="s">
        <v>343</v>
      </c>
      <c r="H253" s="37"/>
      <c r="I253" s="37" t="s">
        <v>427</v>
      </c>
      <c r="J253" s="37"/>
      <c r="K253" s="37" t="s">
        <v>105</v>
      </c>
      <c r="L253" s="37" t="s">
        <v>106</v>
      </c>
      <c r="M253" s="38" t="s">
        <v>24</v>
      </c>
      <c r="O253" t="s">
        <v>462</v>
      </c>
      <c r="P253" t="s">
        <v>434</v>
      </c>
    </row>
    <row r="254" spans="1:16" x14ac:dyDescent="0.3">
      <c r="A254" s="34">
        <v>14013173954</v>
      </c>
      <c r="B254" t="s">
        <v>113</v>
      </c>
      <c r="C254" t="s">
        <v>422</v>
      </c>
      <c r="D254" t="s">
        <v>114</v>
      </c>
      <c r="E254" t="s">
        <v>11</v>
      </c>
      <c r="F254" t="s">
        <v>465</v>
      </c>
      <c r="G254" t="s">
        <v>440</v>
      </c>
      <c r="I254" s="11">
        <v>44760</v>
      </c>
      <c r="K254" t="s">
        <v>28</v>
      </c>
      <c r="L254" s="2" t="s">
        <v>29</v>
      </c>
      <c r="M254" s="35" t="s">
        <v>16</v>
      </c>
      <c r="O254" t="s">
        <v>466</v>
      </c>
      <c r="P254" t="s">
        <v>428</v>
      </c>
    </row>
    <row r="255" spans="1:16" x14ac:dyDescent="0.3">
      <c r="A255" s="34">
        <v>14013174002</v>
      </c>
      <c r="B255" t="s">
        <v>115</v>
      </c>
      <c r="C255" t="s">
        <v>422</v>
      </c>
      <c r="D255" t="s">
        <v>116</v>
      </c>
      <c r="E255" t="s">
        <v>11</v>
      </c>
      <c r="G255" t="s">
        <v>440</v>
      </c>
      <c r="I255" s="11">
        <v>44760</v>
      </c>
      <c r="K255" t="s">
        <v>33</v>
      </c>
      <c r="L255" s="2" t="s">
        <v>29</v>
      </c>
      <c r="M255" s="35" t="s">
        <v>24</v>
      </c>
      <c r="O255" t="s">
        <v>467</v>
      </c>
      <c r="P255" t="s">
        <v>428</v>
      </c>
    </row>
    <row r="256" spans="1:16" x14ac:dyDescent="0.3">
      <c r="A256" s="34">
        <v>14013174027</v>
      </c>
      <c r="B256" t="s">
        <v>117</v>
      </c>
      <c r="C256" t="s">
        <v>422</v>
      </c>
      <c r="D256" t="s">
        <v>118</v>
      </c>
      <c r="E256" t="s">
        <v>11</v>
      </c>
      <c r="G256" t="s">
        <v>440</v>
      </c>
      <c r="I256" s="11">
        <v>44760</v>
      </c>
      <c r="K256" t="s">
        <v>33</v>
      </c>
      <c r="L256" s="2" t="s">
        <v>29</v>
      </c>
      <c r="M256" s="35" t="s">
        <v>16</v>
      </c>
      <c r="O256" t="s">
        <v>468</v>
      </c>
      <c r="P256" t="s">
        <v>428</v>
      </c>
    </row>
    <row r="257" spans="1:16" x14ac:dyDescent="0.3">
      <c r="A257" s="34">
        <v>14013174046</v>
      </c>
      <c r="B257" t="s">
        <v>119</v>
      </c>
      <c r="C257" t="s">
        <v>422</v>
      </c>
      <c r="D257" t="s">
        <v>120</v>
      </c>
      <c r="E257" t="s">
        <v>11</v>
      </c>
      <c r="G257" t="s">
        <v>440</v>
      </c>
      <c r="I257" s="11">
        <v>44760</v>
      </c>
      <c r="K257" t="s">
        <v>33</v>
      </c>
      <c r="L257" s="2" t="s">
        <v>29</v>
      </c>
      <c r="M257" s="35" t="s">
        <v>16</v>
      </c>
      <c r="O257" t="s">
        <v>469</v>
      </c>
      <c r="P257" t="s">
        <v>428</v>
      </c>
    </row>
    <row r="258" spans="1:16" x14ac:dyDescent="0.3">
      <c r="A258" s="34">
        <v>14013174100</v>
      </c>
      <c r="B258" t="s">
        <v>125</v>
      </c>
      <c r="C258" t="s">
        <v>422</v>
      </c>
      <c r="D258" t="s">
        <v>126</v>
      </c>
      <c r="E258" t="s">
        <v>342</v>
      </c>
      <c r="G258" t="s">
        <v>354</v>
      </c>
      <c r="H258" t="s">
        <v>354</v>
      </c>
      <c r="I258" s="11">
        <v>44769</v>
      </c>
      <c r="K258" t="s">
        <v>28</v>
      </c>
      <c r="L258" s="2" t="s">
        <v>29</v>
      </c>
      <c r="M258" s="35" t="s">
        <v>16</v>
      </c>
      <c r="O258" t="s">
        <v>471</v>
      </c>
      <c r="P258" t="s">
        <v>428</v>
      </c>
    </row>
    <row r="259" spans="1:16" x14ac:dyDescent="0.3">
      <c r="A259" s="34">
        <v>14013174151</v>
      </c>
      <c r="B259" t="s">
        <v>128</v>
      </c>
      <c r="C259" t="s">
        <v>422</v>
      </c>
      <c r="D259" t="s">
        <v>129</v>
      </c>
      <c r="E259" t="s">
        <v>11</v>
      </c>
      <c r="G259" t="s">
        <v>440</v>
      </c>
      <c r="I259" s="11">
        <v>44760</v>
      </c>
      <c r="K259" t="s">
        <v>28</v>
      </c>
      <c r="L259" s="2" t="s">
        <v>29</v>
      </c>
      <c r="M259" s="35" t="s">
        <v>24</v>
      </c>
      <c r="O259" t="s">
        <v>472</v>
      </c>
      <c r="P259" t="s">
        <v>428</v>
      </c>
    </row>
    <row r="260" spans="1:16" x14ac:dyDescent="0.3">
      <c r="A260" s="34">
        <v>14013174153</v>
      </c>
      <c r="B260" t="s">
        <v>130</v>
      </c>
      <c r="C260" t="s">
        <v>422</v>
      </c>
      <c r="D260" t="s">
        <v>131</v>
      </c>
      <c r="E260" t="s">
        <v>11</v>
      </c>
      <c r="G260" t="s">
        <v>440</v>
      </c>
      <c r="I260" s="11">
        <v>44760</v>
      </c>
      <c r="K260" t="s">
        <v>28</v>
      </c>
      <c r="L260" s="2" t="s">
        <v>29</v>
      </c>
      <c r="M260" s="35" t="s">
        <v>16</v>
      </c>
      <c r="O260" t="s">
        <v>473</v>
      </c>
      <c r="P260" t="s">
        <v>428</v>
      </c>
    </row>
    <row r="261" spans="1:16" x14ac:dyDescent="0.3">
      <c r="A261" s="34">
        <v>14013174175</v>
      </c>
      <c r="B261" t="s">
        <v>132</v>
      </c>
      <c r="C261" t="s">
        <v>422</v>
      </c>
      <c r="D261" t="s">
        <v>133</v>
      </c>
      <c r="E261" t="s">
        <v>11</v>
      </c>
      <c r="G261" t="s">
        <v>440</v>
      </c>
      <c r="I261" s="11">
        <v>44760</v>
      </c>
      <c r="K261" t="s">
        <v>28</v>
      </c>
      <c r="L261" s="2" t="s">
        <v>29</v>
      </c>
      <c r="M261" s="35" t="s">
        <v>16</v>
      </c>
      <c r="O261" t="s">
        <v>472</v>
      </c>
      <c r="P261" t="s">
        <v>428</v>
      </c>
    </row>
    <row r="262" spans="1:16" x14ac:dyDescent="0.3">
      <c r="A262" s="34">
        <v>14013174180</v>
      </c>
      <c r="B262" t="s">
        <v>134</v>
      </c>
      <c r="C262" t="s">
        <v>422</v>
      </c>
      <c r="D262" t="s">
        <v>135</v>
      </c>
      <c r="E262" t="s">
        <v>11</v>
      </c>
      <c r="G262" t="s">
        <v>440</v>
      </c>
      <c r="I262" s="11">
        <v>44760</v>
      </c>
      <c r="K262" t="s">
        <v>28</v>
      </c>
      <c r="L262" s="2" t="s">
        <v>29</v>
      </c>
      <c r="M262" s="35" t="s">
        <v>21</v>
      </c>
      <c r="O262" t="s">
        <v>474</v>
      </c>
      <c r="P262" t="s">
        <v>428</v>
      </c>
    </row>
    <row r="263" spans="1:16" x14ac:dyDescent="0.3">
      <c r="A263" s="36">
        <v>14013174184</v>
      </c>
      <c r="B263" s="37" t="s">
        <v>136</v>
      </c>
      <c r="C263" s="37" t="s">
        <v>422</v>
      </c>
      <c r="D263" s="37" t="s">
        <v>137</v>
      </c>
      <c r="E263" s="37" t="s">
        <v>11</v>
      </c>
      <c r="F263" s="37"/>
      <c r="G263" s="37" t="s">
        <v>343</v>
      </c>
      <c r="H263" s="37"/>
      <c r="I263" s="37" t="s">
        <v>423</v>
      </c>
      <c r="J263" s="37"/>
      <c r="K263" s="37" t="s">
        <v>28</v>
      </c>
      <c r="L263" s="2" t="s">
        <v>29</v>
      </c>
      <c r="M263" s="38" t="s">
        <v>16</v>
      </c>
      <c r="O263" t="s">
        <v>475</v>
      </c>
      <c r="P263" t="s">
        <v>428</v>
      </c>
    </row>
    <row r="264" spans="1:16" x14ac:dyDescent="0.3">
      <c r="A264" s="34">
        <v>14013174191</v>
      </c>
      <c r="B264" t="s">
        <v>476</v>
      </c>
      <c r="C264" t="s">
        <v>422</v>
      </c>
      <c r="D264" t="s">
        <v>477</v>
      </c>
      <c r="E264" t="s">
        <v>470</v>
      </c>
      <c r="F264" t="s">
        <v>3632</v>
      </c>
      <c r="G264" t="s">
        <v>354</v>
      </c>
      <c r="H264" t="s">
        <v>354</v>
      </c>
      <c r="I264" s="11">
        <v>44769</v>
      </c>
      <c r="K264" t="s">
        <v>28</v>
      </c>
      <c r="L264" s="2" t="s">
        <v>29</v>
      </c>
      <c r="M264" s="35" t="s">
        <v>16</v>
      </c>
      <c r="O264" t="s">
        <v>478</v>
      </c>
      <c r="P264" t="s">
        <v>428</v>
      </c>
    </row>
    <row r="265" spans="1:16" x14ac:dyDescent="0.3">
      <c r="A265" s="34">
        <v>14013174240</v>
      </c>
      <c r="B265" t="s">
        <v>138</v>
      </c>
      <c r="C265" t="s">
        <v>422</v>
      </c>
      <c r="D265" t="s">
        <v>139</v>
      </c>
      <c r="E265" t="s">
        <v>11</v>
      </c>
      <c r="G265" t="s">
        <v>349</v>
      </c>
      <c r="I265" s="11">
        <v>44761</v>
      </c>
      <c r="K265" t="s">
        <v>28</v>
      </c>
      <c r="L265" s="2" t="s">
        <v>29</v>
      </c>
      <c r="M265" s="35" t="s">
        <v>21</v>
      </c>
      <c r="O265" t="s">
        <v>479</v>
      </c>
      <c r="P265" t="s">
        <v>428</v>
      </c>
    </row>
    <row r="266" spans="1:16" x14ac:dyDescent="0.3">
      <c r="A266" s="34">
        <v>14013174246</v>
      </c>
      <c r="B266" t="s">
        <v>480</v>
      </c>
      <c r="C266" t="s">
        <v>422</v>
      </c>
      <c r="D266" t="s">
        <v>481</v>
      </c>
      <c r="E266" t="s">
        <v>37</v>
      </c>
      <c r="K266" t="s">
        <v>28</v>
      </c>
      <c r="L266" s="2" t="s">
        <v>29</v>
      </c>
      <c r="M266" s="35" t="s">
        <v>24</v>
      </c>
      <c r="O266" t="s">
        <v>482</v>
      </c>
      <c r="P266" t="s">
        <v>428</v>
      </c>
    </row>
    <row r="267" spans="1:16" x14ac:dyDescent="0.3">
      <c r="A267" s="34">
        <v>14013174254</v>
      </c>
      <c r="B267" t="s">
        <v>483</v>
      </c>
      <c r="C267" t="s">
        <v>422</v>
      </c>
      <c r="D267" t="s">
        <v>484</v>
      </c>
      <c r="E267" t="s">
        <v>37</v>
      </c>
      <c r="K267" t="s">
        <v>28</v>
      </c>
      <c r="L267" s="2" t="s">
        <v>29</v>
      </c>
      <c r="M267" s="35" t="s">
        <v>16</v>
      </c>
      <c r="O267" t="s">
        <v>485</v>
      </c>
      <c r="P267" t="s">
        <v>428</v>
      </c>
    </row>
    <row r="268" spans="1:16" x14ac:dyDescent="0.3">
      <c r="A268" s="34">
        <v>14013174256</v>
      </c>
      <c r="B268" t="s">
        <v>486</v>
      </c>
      <c r="C268" t="s">
        <v>422</v>
      </c>
      <c r="D268" t="s">
        <v>487</v>
      </c>
      <c r="E268" t="s">
        <v>37</v>
      </c>
      <c r="K268" t="s">
        <v>28</v>
      </c>
      <c r="L268" s="2" t="s">
        <v>29</v>
      </c>
      <c r="M268" s="35" t="s">
        <v>24</v>
      </c>
      <c r="O268" t="s">
        <v>488</v>
      </c>
      <c r="P268" t="s">
        <v>428</v>
      </c>
    </row>
    <row r="269" spans="1:16" x14ac:dyDescent="0.3">
      <c r="A269" s="36">
        <v>14013174293</v>
      </c>
      <c r="B269" s="37" t="s">
        <v>140</v>
      </c>
      <c r="C269" s="37" t="s">
        <v>422</v>
      </c>
      <c r="D269" s="37" t="s">
        <v>141</v>
      </c>
      <c r="E269" s="37" t="s">
        <v>11</v>
      </c>
      <c r="F269" s="41" t="s">
        <v>3638</v>
      </c>
      <c r="G269" s="37" t="s">
        <v>343</v>
      </c>
      <c r="H269" s="37" t="s">
        <v>354</v>
      </c>
      <c r="I269" s="40">
        <v>44770</v>
      </c>
      <c r="J269" s="37" t="s">
        <v>3613</v>
      </c>
      <c r="K269" s="37" t="s">
        <v>28</v>
      </c>
      <c r="L269" s="2" t="s">
        <v>29</v>
      </c>
      <c r="M269" s="38" t="s">
        <v>21</v>
      </c>
      <c r="O269" t="s">
        <v>489</v>
      </c>
      <c r="P269" t="s">
        <v>428</v>
      </c>
    </row>
    <row r="270" spans="1:16" x14ac:dyDescent="0.3">
      <c r="A270" s="36">
        <v>14013174301</v>
      </c>
      <c r="B270" s="37" t="s">
        <v>142</v>
      </c>
      <c r="C270" s="37" t="s">
        <v>422</v>
      </c>
      <c r="D270" s="37" t="s">
        <v>143</v>
      </c>
      <c r="E270" s="37" t="s">
        <v>11</v>
      </c>
      <c r="F270" s="37" t="s">
        <v>490</v>
      </c>
      <c r="G270" s="37" t="s">
        <v>343</v>
      </c>
      <c r="H270" s="37"/>
      <c r="I270" s="37" t="s">
        <v>427</v>
      </c>
      <c r="J270" s="37"/>
      <c r="K270" s="37" t="s">
        <v>28</v>
      </c>
      <c r="L270" s="2" t="s">
        <v>29</v>
      </c>
      <c r="M270" s="38" t="s">
        <v>21</v>
      </c>
      <c r="O270" t="s">
        <v>491</v>
      </c>
      <c r="P270" t="s">
        <v>428</v>
      </c>
    </row>
    <row r="271" spans="1:16" x14ac:dyDescent="0.3">
      <c r="A271" s="36">
        <v>14013174748</v>
      </c>
      <c r="B271" s="37" t="s">
        <v>145</v>
      </c>
      <c r="C271" s="37" t="s">
        <v>422</v>
      </c>
      <c r="D271" s="37" t="s">
        <v>146</v>
      </c>
      <c r="E271" s="37" t="s">
        <v>11</v>
      </c>
      <c r="F271" s="37"/>
      <c r="G271" s="37" t="s">
        <v>343</v>
      </c>
      <c r="H271" s="37"/>
      <c r="I271" s="37" t="s">
        <v>423</v>
      </c>
      <c r="J271" s="37"/>
      <c r="K271" s="37" t="s">
        <v>147</v>
      </c>
      <c r="L271" s="2" t="s">
        <v>29</v>
      </c>
      <c r="M271" s="38" t="s">
        <v>16</v>
      </c>
      <c r="O271" t="s">
        <v>492</v>
      </c>
      <c r="P271" t="s">
        <v>428</v>
      </c>
    </row>
    <row r="272" spans="1:16" x14ac:dyDescent="0.3">
      <c r="A272" s="36">
        <v>14013174758</v>
      </c>
      <c r="B272" s="37" t="s">
        <v>148</v>
      </c>
      <c r="C272" s="37" t="s">
        <v>422</v>
      </c>
      <c r="D272" s="37" t="s">
        <v>149</v>
      </c>
      <c r="E272" s="37" t="s">
        <v>11</v>
      </c>
      <c r="F272" s="37"/>
      <c r="G272" s="37" t="s">
        <v>343</v>
      </c>
      <c r="H272" s="37"/>
      <c r="I272" s="37" t="s">
        <v>423</v>
      </c>
      <c r="J272" s="37"/>
      <c r="K272" s="37" t="s">
        <v>147</v>
      </c>
      <c r="L272" s="2" t="s">
        <v>29</v>
      </c>
      <c r="M272" s="38" t="s">
        <v>16</v>
      </c>
      <c r="O272" t="s">
        <v>493</v>
      </c>
      <c r="P272" t="s">
        <v>428</v>
      </c>
    </row>
    <row r="273" spans="1:16" x14ac:dyDescent="0.3">
      <c r="A273" s="34">
        <v>14013175022</v>
      </c>
      <c r="B273" t="s">
        <v>494</v>
      </c>
      <c r="C273" t="s">
        <v>422</v>
      </c>
      <c r="D273" t="s">
        <v>495</v>
      </c>
      <c r="E273" t="s">
        <v>11</v>
      </c>
      <c r="F273" s="6"/>
      <c r="G273" t="s">
        <v>354</v>
      </c>
      <c r="I273" s="11">
        <v>44762</v>
      </c>
      <c r="K273" t="s">
        <v>28</v>
      </c>
      <c r="L273" s="2" t="s">
        <v>29</v>
      </c>
      <c r="M273" s="35" t="s">
        <v>21</v>
      </c>
      <c r="O273" t="s">
        <v>496</v>
      </c>
      <c r="P273" t="s">
        <v>428</v>
      </c>
    </row>
    <row r="274" spans="1:16" x14ac:dyDescent="0.3">
      <c r="A274" s="36">
        <v>14013175026</v>
      </c>
      <c r="B274" s="37" t="s">
        <v>497</v>
      </c>
      <c r="C274" s="37" t="s">
        <v>422</v>
      </c>
      <c r="D274" s="37" t="s">
        <v>498</v>
      </c>
      <c r="E274" s="37" t="s">
        <v>11</v>
      </c>
      <c r="F274" s="37"/>
      <c r="G274" s="37" t="s">
        <v>343</v>
      </c>
      <c r="H274" s="37"/>
      <c r="I274" s="37" t="s">
        <v>423</v>
      </c>
      <c r="J274" s="37"/>
      <c r="K274" s="37" t="s">
        <v>28</v>
      </c>
      <c r="L274" s="2" t="s">
        <v>29</v>
      </c>
      <c r="M274" s="38" t="s">
        <v>16</v>
      </c>
      <c r="O274" t="s">
        <v>462</v>
      </c>
      <c r="P274" t="s">
        <v>428</v>
      </c>
    </row>
    <row r="275" spans="1:16" x14ac:dyDescent="0.3">
      <c r="A275" s="34">
        <v>14013175171</v>
      </c>
      <c r="B275" t="s">
        <v>499</v>
      </c>
      <c r="C275" t="s">
        <v>422</v>
      </c>
      <c r="D275" t="s">
        <v>500</v>
      </c>
      <c r="E275" t="s">
        <v>470</v>
      </c>
      <c r="F275" s="6" t="s">
        <v>3632</v>
      </c>
      <c r="G275" t="s">
        <v>354</v>
      </c>
      <c r="H275" t="s">
        <v>354</v>
      </c>
      <c r="I275" s="11">
        <v>44769</v>
      </c>
      <c r="K275" t="s">
        <v>28</v>
      </c>
      <c r="L275" s="2" t="s">
        <v>29</v>
      </c>
      <c r="M275" s="35" t="s">
        <v>24</v>
      </c>
      <c r="O275" t="s">
        <v>501</v>
      </c>
      <c r="P275" t="s">
        <v>428</v>
      </c>
    </row>
    <row r="276" spans="1:16" x14ac:dyDescent="0.3">
      <c r="A276" s="34">
        <v>14013175174</v>
      </c>
      <c r="B276" t="s">
        <v>502</v>
      </c>
      <c r="C276" t="s">
        <v>422</v>
      </c>
      <c r="D276" t="s">
        <v>503</v>
      </c>
      <c r="E276" t="s">
        <v>470</v>
      </c>
      <c r="F276" s="6" t="s">
        <v>3632</v>
      </c>
      <c r="G276" t="s">
        <v>354</v>
      </c>
      <c r="H276" t="s">
        <v>354</v>
      </c>
      <c r="I276" s="11">
        <v>44769</v>
      </c>
      <c r="K276" t="s">
        <v>28</v>
      </c>
      <c r="L276" s="2" t="s">
        <v>29</v>
      </c>
      <c r="M276" s="35" t="s">
        <v>24</v>
      </c>
      <c r="O276" t="s">
        <v>501</v>
      </c>
      <c r="P276" t="s">
        <v>428</v>
      </c>
    </row>
    <row r="277" spans="1:16" x14ac:dyDescent="0.3">
      <c r="A277" s="34">
        <v>14013175412</v>
      </c>
      <c r="B277" t="s">
        <v>504</v>
      </c>
      <c r="C277" t="s">
        <v>422</v>
      </c>
      <c r="D277" t="s">
        <v>505</v>
      </c>
      <c r="E277" t="s">
        <v>470</v>
      </c>
      <c r="F277" s="6" t="s">
        <v>3632</v>
      </c>
      <c r="G277" t="s">
        <v>354</v>
      </c>
      <c r="H277" t="s">
        <v>354</v>
      </c>
      <c r="I277" s="11">
        <v>44769</v>
      </c>
      <c r="K277" t="s">
        <v>28</v>
      </c>
      <c r="L277" s="2" t="s">
        <v>29</v>
      </c>
      <c r="M277" s="35" t="s">
        <v>16</v>
      </c>
      <c r="O277" t="s">
        <v>506</v>
      </c>
      <c r="P277" t="s">
        <v>428</v>
      </c>
    </row>
    <row r="278" spans="1:16" x14ac:dyDescent="0.3">
      <c r="A278" s="34">
        <v>14013175491</v>
      </c>
      <c r="B278" t="s">
        <v>507</v>
      </c>
      <c r="C278" t="s">
        <v>422</v>
      </c>
      <c r="D278" t="s">
        <v>508</v>
      </c>
      <c r="E278" t="s">
        <v>470</v>
      </c>
      <c r="F278" s="6" t="s">
        <v>3632</v>
      </c>
      <c r="G278" t="s">
        <v>354</v>
      </c>
      <c r="H278" t="s">
        <v>354</v>
      </c>
      <c r="I278" s="11">
        <v>44769</v>
      </c>
      <c r="K278" t="s">
        <v>28</v>
      </c>
      <c r="L278" s="2" t="s">
        <v>29</v>
      </c>
      <c r="M278" s="35" t="s">
        <v>24</v>
      </c>
      <c r="O278" t="s">
        <v>509</v>
      </c>
      <c r="P278" t="s">
        <v>428</v>
      </c>
    </row>
    <row r="279" spans="1:16" x14ac:dyDescent="0.3">
      <c r="A279" s="34">
        <v>14013176172</v>
      </c>
      <c r="B279" t="s">
        <v>153</v>
      </c>
      <c r="C279" t="s">
        <v>422</v>
      </c>
      <c r="D279" t="s">
        <v>154</v>
      </c>
      <c r="E279" t="s">
        <v>37</v>
      </c>
      <c r="F279" s="6" t="s">
        <v>430</v>
      </c>
      <c r="K279" t="s">
        <v>33</v>
      </c>
      <c r="L279" s="2" t="s">
        <v>29</v>
      </c>
      <c r="M279" s="35" t="s">
        <v>16</v>
      </c>
      <c r="O279" t="s">
        <v>510</v>
      </c>
      <c r="P279" t="s">
        <v>431</v>
      </c>
    </row>
    <row r="280" spans="1:16" x14ac:dyDescent="0.3">
      <c r="A280" s="36">
        <v>14013176742</v>
      </c>
      <c r="B280" s="37" t="s">
        <v>403</v>
      </c>
      <c r="C280" s="37" t="s">
        <v>422</v>
      </c>
      <c r="D280" s="37" t="s">
        <v>404</v>
      </c>
      <c r="E280" s="37" t="s">
        <v>11</v>
      </c>
      <c r="F280" s="37"/>
      <c r="G280" s="37" t="s">
        <v>343</v>
      </c>
      <c r="H280" s="37"/>
      <c r="I280" s="37" t="s">
        <v>427</v>
      </c>
      <c r="J280" s="37"/>
      <c r="K280" s="37" t="s">
        <v>157</v>
      </c>
      <c r="L280" s="37" t="s">
        <v>158</v>
      </c>
      <c r="M280" s="38" t="s">
        <v>24</v>
      </c>
      <c r="O280" t="s">
        <v>511</v>
      </c>
      <c r="P280" t="s">
        <v>434</v>
      </c>
    </row>
    <row r="281" spans="1:16" x14ac:dyDescent="0.3">
      <c r="A281" s="36">
        <v>14013177021</v>
      </c>
      <c r="B281" s="37" t="s">
        <v>407</v>
      </c>
      <c r="C281" s="37" t="s">
        <v>422</v>
      </c>
      <c r="D281" s="37" t="s">
        <v>408</v>
      </c>
      <c r="E281" s="37" t="s">
        <v>11</v>
      </c>
      <c r="F281" s="37"/>
      <c r="G281" s="37" t="s">
        <v>343</v>
      </c>
      <c r="H281" s="37"/>
      <c r="I281" s="37" t="s">
        <v>427</v>
      </c>
      <c r="J281" s="37"/>
      <c r="K281" s="37" t="s">
        <v>157</v>
      </c>
      <c r="L281" s="37" t="s">
        <v>158</v>
      </c>
      <c r="M281" s="38" t="s">
        <v>21</v>
      </c>
      <c r="O281" t="s">
        <v>512</v>
      </c>
      <c r="P281" t="s">
        <v>434</v>
      </c>
    </row>
    <row r="282" spans="1:16" x14ac:dyDescent="0.3">
      <c r="A282" s="34">
        <v>14013177684</v>
      </c>
      <c r="B282" t="s">
        <v>409</v>
      </c>
      <c r="C282" t="s">
        <v>422</v>
      </c>
      <c r="D282" t="s">
        <v>410</v>
      </c>
      <c r="E282" t="s">
        <v>11</v>
      </c>
      <c r="F282" s="6"/>
      <c r="G282" t="s">
        <v>349</v>
      </c>
      <c r="I282" s="11">
        <v>44761</v>
      </c>
      <c r="K282" t="s">
        <v>157</v>
      </c>
      <c r="L282" t="s">
        <v>158</v>
      </c>
      <c r="M282" s="35" t="s">
        <v>21</v>
      </c>
      <c r="O282" t="s">
        <v>513</v>
      </c>
      <c r="P282" t="s">
        <v>434</v>
      </c>
    </row>
    <row r="283" spans="1:16" x14ac:dyDescent="0.3">
      <c r="A283" s="36">
        <v>14013177838</v>
      </c>
      <c r="B283" s="37" t="s">
        <v>411</v>
      </c>
      <c r="C283" s="37" t="s">
        <v>422</v>
      </c>
      <c r="D283" s="37" t="s">
        <v>412</v>
      </c>
      <c r="E283" s="37" t="s">
        <v>11</v>
      </c>
      <c r="F283" s="37"/>
      <c r="G283" s="37" t="s">
        <v>343</v>
      </c>
      <c r="H283" s="37"/>
      <c r="I283" s="37" t="s">
        <v>427</v>
      </c>
      <c r="J283" s="37"/>
      <c r="K283" s="37" t="s">
        <v>157</v>
      </c>
      <c r="L283" s="37" t="s">
        <v>158</v>
      </c>
      <c r="M283" s="38" t="s">
        <v>21</v>
      </c>
      <c r="O283" t="s">
        <v>514</v>
      </c>
      <c r="P283" t="s">
        <v>434</v>
      </c>
    </row>
    <row r="284" spans="1:16" x14ac:dyDescent="0.3">
      <c r="A284" s="34">
        <v>14013178043</v>
      </c>
      <c r="B284" t="s">
        <v>159</v>
      </c>
      <c r="C284" t="s">
        <v>422</v>
      </c>
      <c r="D284" t="s">
        <v>160</v>
      </c>
      <c r="E284" t="s">
        <v>37</v>
      </c>
      <c r="F284" s="6" t="s">
        <v>430</v>
      </c>
      <c r="K284" t="s">
        <v>33</v>
      </c>
      <c r="L284" s="2" t="s">
        <v>29</v>
      </c>
      <c r="M284" s="35" t="s">
        <v>24</v>
      </c>
      <c r="O284" t="s">
        <v>515</v>
      </c>
      <c r="P284" t="s">
        <v>431</v>
      </c>
    </row>
    <row r="285" spans="1:16" x14ac:dyDescent="0.3">
      <c r="A285" s="34">
        <v>14013178862</v>
      </c>
      <c r="B285" t="s">
        <v>413</v>
      </c>
      <c r="C285" t="s">
        <v>422</v>
      </c>
      <c r="D285" t="s">
        <v>414</v>
      </c>
      <c r="E285" t="s">
        <v>37</v>
      </c>
      <c r="F285" t="str">
        <f>HYPERLINK("https://hsdes.intel.com/resource/14013174254","14013174254")</f>
        <v>14013174254</v>
      </c>
      <c r="K285" t="s">
        <v>157</v>
      </c>
      <c r="L285" t="s">
        <v>158</v>
      </c>
      <c r="M285" s="35" t="s">
        <v>21</v>
      </c>
      <c r="O285" t="s">
        <v>516</v>
      </c>
      <c r="P285" t="s">
        <v>434</v>
      </c>
    </row>
    <row r="286" spans="1:16" x14ac:dyDescent="0.3">
      <c r="A286" s="34">
        <v>14013178933</v>
      </c>
      <c r="B286" t="s">
        <v>161</v>
      </c>
      <c r="C286" t="s">
        <v>422</v>
      </c>
      <c r="D286" t="s">
        <v>162</v>
      </c>
      <c r="E286" t="s">
        <v>11</v>
      </c>
      <c r="F286" s="6"/>
      <c r="G286" t="s">
        <v>349</v>
      </c>
      <c r="I286" s="11">
        <v>44761</v>
      </c>
      <c r="K286" t="s">
        <v>147</v>
      </c>
      <c r="L286" s="2" t="s">
        <v>29</v>
      </c>
      <c r="M286" s="35" t="s">
        <v>24</v>
      </c>
      <c r="O286" t="s">
        <v>517</v>
      </c>
      <c r="P286" t="s">
        <v>428</v>
      </c>
    </row>
    <row r="287" spans="1:16" x14ac:dyDescent="0.3">
      <c r="A287" s="36">
        <v>14013178938</v>
      </c>
      <c r="B287" s="37" t="s">
        <v>163</v>
      </c>
      <c r="C287" s="37" t="s">
        <v>422</v>
      </c>
      <c r="D287" s="37" t="s">
        <v>164</v>
      </c>
      <c r="E287" s="37" t="s">
        <v>11</v>
      </c>
      <c r="F287" s="37"/>
      <c r="G287" s="37" t="s">
        <v>343</v>
      </c>
      <c r="H287" s="37" t="s">
        <v>348</v>
      </c>
      <c r="I287" s="40">
        <v>44767</v>
      </c>
      <c r="J287" s="37"/>
      <c r="K287" s="37" t="s">
        <v>147</v>
      </c>
      <c r="L287" s="2" t="s">
        <v>29</v>
      </c>
      <c r="M287" s="38" t="s">
        <v>16</v>
      </c>
      <c r="O287" t="s">
        <v>518</v>
      </c>
      <c r="P287" t="s">
        <v>428</v>
      </c>
    </row>
    <row r="288" spans="1:16" x14ac:dyDescent="0.3">
      <c r="A288" s="36">
        <v>14013178942</v>
      </c>
      <c r="B288" s="37" t="s">
        <v>165</v>
      </c>
      <c r="C288" s="37" t="s">
        <v>422</v>
      </c>
      <c r="D288" s="37" t="s">
        <v>166</v>
      </c>
      <c r="E288" s="37" t="s">
        <v>11</v>
      </c>
      <c r="F288" s="37"/>
      <c r="G288" s="37" t="s">
        <v>343</v>
      </c>
      <c r="H288" s="37" t="s">
        <v>348</v>
      </c>
      <c r="I288" s="40">
        <v>44767</v>
      </c>
      <c r="J288" s="37"/>
      <c r="K288" s="37" t="s">
        <v>147</v>
      </c>
      <c r="L288" s="2" t="s">
        <v>29</v>
      </c>
      <c r="M288" s="38" t="s">
        <v>16</v>
      </c>
      <c r="O288" t="s">
        <v>518</v>
      </c>
      <c r="P288" t="s">
        <v>428</v>
      </c>
    </row>
    <row r="289" spans="1:16" x14ac:dyDescent="0.3">
      <c r="A289" s="34">
        <v>14013179099</v>
      </c>
      <c r="B289" t="s">
        <v>519</v>
      </c>
      <c r="C289" t="s">
        <v>422</v>
      </c>
      <c r="D289" t="s">
        <v>520</v>
      </c>
      <c r="E289" t="s">
        <v>37</v>
      </c>
      <c r="F289" s="6" t="s">
        <v>521</v>
      </c>
      <c r="K289" t="s">
        <v>523</v>
      </c>
      <c r="L289" s="2" t="s">
        <v>660</v>
      </c>
      <c r="M289" s="35" t="s">
        <v>16</v>
      </c>
      <c r="O289" t="s">
        <v>522</v>
      </c>
      <c r="P289" t="s">
        <v>428</v>
      </c>
    </row>
    <row r="290" spans="1:16" x14ac:dyDescent="0.3">
      <c r="A290" s="36">
        <v>14013179137</v>
      </c>
      <c r="B290" s="37" t="s">
        <v>170</v>
      </c>
      <c r="C290" s="37" t="s">
        <v>422</v>
      </c>
      <c r="D290" s="37" t="s">
        <v>171</v>
      </c>
      <c r="E290" s="37" t="s">
        <v>11</v>
      </c>
      <c r="F290" s="37"/>
      <c r="G290" s="37" t="s">
        <v>343</v>
      </c>
      <c r="H290" s="37"/>
      <c r="I290" s="37" t="s">
        <v>423</v>
      </c>
      <c r="J290" s="37"/>
      <c r="K290" s="37" t="s">
        <v>147</v>
      </c>
      <c r="L290" s="37" t="s">
        <v>29</v>
      </c>
      <c r="M290" s="38" t="s">
        <v>16</v>
      </c>
      <c r="O290" t="s">
        <v>524</v>
      </c>
      <c r="P290" t="s">
        <v>428</v>
      </c>
    </row>
    <row r="291" spans="1:16" x14ac:dyDescent="0.3">
      <c r="A291" s="34">
        <v>14013186671</v>
      </c>
      <c r="B291" t="s">
        <v>450</v>
      </c>
      <c r="C291" t="s">
        <v>422</v>
      </c>
      <c r="D291" t="s">
        <v>525</v>
      </c>
      <c r="E291" t="s">
        <v>37</v>
      </c>
      <c r="F291" s="6" t="s">
        <v>526</v>
      </c>
      <c r="K291" t="s">
        <v>67</v>
      </c>
      <c r="L291" t="s">
        <v>68</v>
      </c>
      <c r="M291" s="35" t="s">
        <v>24</v>
      </c>
      <c r="O291" t="s">
        <v>527</v>
      </c>
      <c r="P291" t="s">
        <v>431</v>
      </c>
    </row>
    <row r="292" spans="1:16" x14ac:dyDescent="0.3">
      <c r="A292" s="34">
        <v>14013186674</v>
      </c>
      <c r="B292" t="s">
        <v>528</v>
      </c>
      <c r="C292" t="s">
        <v>422</v>
      </c>
      <c r="D292" t="s">
        <v>529</v>
      </c>
      <c r="E292" t="s">
        <v>37</v>
      </c>
      <c r="F292" s="6" t="s">
        <v>526</v>
      </c>
      <c r="K292" t="s">
        <v>67</v>
      </c>
      <c r="L292" t="s">
        <v>68</v>
      </c>
      <c r="M292" s="35" t="s">
        <v>24</v>
      </c>
      <c r="O292" t="s">
        <v>527</v>
      </c>
      <c r="P292" t="s">
        <v>431</v>
      </c>
    </row>
    <row r="293" spans="1:16" x14ac:dyDescent="0.3">
      <c r="A293" s="34">
        <v>14013186676</v>
      </c>
      <c r="B293" t="s">
        <v>453</v>
      </c>
      <c r="C293" t="s">
        <v>422</v>
      </c>
      <c r="D293" t="s">
        <v>530</v>
      </c>
      <c r="E293" t="s">
        <v>37</v>
      </c>
      <c r="F293" s="6" t="s">
        <v>526</v>
      </c>
      <c r="K293" t="s">
        <v>67</v>
      </c>
      <c r="L293" t="s">
        <v>68</v>
      </c>
      <c r="M293" s="35" t="s">
        <v>16</v>
      </c>
      <c r="O293" t="s">
        <v>527</v>
      </c>
      <c r="P293" t="s">
        <v>431</v>
      </c>
    </row>
    <row r="294" spans="1:16" x14ac:dyDescent="0.3">
      <c r="A294" s="34">
        <v>16013327902</v>
      </c>
      <c r="B294" t="s">
        <v>531</v>
      </c>
      <c r="C294" t="s">
        <v>422</v>
      </c>
      <c r="D294" t="s">
        <v>532</v>
      </c>
      <c r="E294" t="s">
        <v>470</v>
      </c>
      <c r="F294" s="6" t="s">
        <v>3632</v>
      </c>
      <c r="G294" t="s">
        <v>354</v>
      </c>
      <c r="H294" t="s">
        <v>354</v>
      </c>
      <c r="I294" s="11">
        <v>44769</v>
      </c>
      <c r="K294" t="s">
        <v>28</v>
      </c>
      <c r="L294" t="s">
        <v>29</v>
      </c>
      <c r="M294" s="35" t="s">
        <v>24</v>
      </c>
      <c r="O294" t="s">
        <v>533</v>
      </c>
      <c r="P294" t="s">
        <v>428</v>
      </c>
    </row>
    <row r="295" spans="1:16" x14ac:dyDescent="0.3">
      <c r="A295" s="34">
        <v>16013328015</v>
      </c>
      <c r="B295" t="s">
        <v>534</v>
      </c>
      <c r="C295" t="s">
        <v>422</v>
      </c>
      <c r="D295" t="s">
        <v>532</v>
      </c>
      <c r="E295" t="s">
        <v>470</v>
      </c>
      <c r="F295" s="6" t="s">
        <v>3632</v>
      </c>
      <c r="G295" t="s">
        <v>354</v>
      </c>
      <c r="H295" t="s">
        <v>354</v>
      </c>
      <c r="I295" s="11">
        <v>44769</v>
      </c>
      <c r="K295" t="s">
        <v>28</v>
      </c>
      <c r="L295" t="s">
        <v>29</v>
      </c>
      <c r="M295" s="35" t="s">
        <v>24</v>
      </c>
      <c r="O295" t="s">
        <v>533</v>
      </c>
      <c r="P295" t="s">
        <v>428</v>
      </c>
    </row>
    <row r="296" spans="1:16" x14ac:dyDescent="0.3">
      <c r="A296" s="34">
        <v>16013328615</v>
      </c>
      <c r="B296" t="s">
        <v>535</v>
      </c>
      <c r="C296" t="s">
        <v>422</v>
      </c>
      <c r="D296" t="s">
        <v>532</v>
      </c>
      <c r="E296" t="s">
        <v>470</v>
      </c>
      <c r="F296" s="6" t="s">
        <v>3632</v>
      </c>
      <c r="G296" t="s">
        <v>354</v>
      </c>
      <c r="H296" t="s">
        <v>354</v>
      </c>
      <c r="I296" s="11">
        <v>44769</v>
      </c>
      <c r="K296" t="s">
        <v>28</v>
      </c>
      <c r="L296" t="s">
        <v>29</v>
      </c>
      <c r="M296" s="35" t="s">
        <v>24</v>
      </c>
      <c r="O296" t="s">
        <v>533</v>
      </c>
      <c r="P296" t="s">
        <v>428</v>
      </c>
    </row>
    <row r="297" spans="1:16" x14ac:dyDescent="0.3">
      <c r="A297" s="34">
        <v>16014036554</v>
      </c>
      <c r="B297" t="s">
        <v>536</v>
      </c>
      <c r="C297" t="s">
        <v>422</v>
      </c>
      <c r="D297" t="s">
        <v>532</v>
      </c>
      <c r="E297" t="s">
        <v>470</v>
      </c>
      <c r="F297" s="6" t="s">
        <v>3610</v>
      </c>
      <c r="G297" t="s">
        <v>354</v>
      </c>
      <c r="H297" t="s">
        <v>354</v>
      </c>
      <c r="I297" s="11">
        <v>44767</v>
      </c>
      <c r="K297" t="s">
        <v>28</v>
      </c>
      <c r="L297" t="s">
        <v>29</v>
      </c>
      <c r="M297" s="35" t="s">
        <v>24</v>
      </c>
      <c r="O297" t="s">
        <v>461</v>
      </c>
      <c r="P297" t="s">
        <v>428</v>
      </c>
    </row>
    <row r="298" spans="1:16" x14ac:dyDescent="0.3">
      <c r="A298" s="36">
        <v>16014777355</v>
      </c>
      <c r="B298" s="37" t="s">
        <v>177</v>
      </c>
      <c r="C298" s="37" t="s">
        <v>422</v>
      </c>
      <c r="D298" s="37" t="s">
        <v>178</v>
      </c>
      <c r="E298" s="37" t="s">
        <v>11</v>
      </c>
      <c r="F298" s="37"/>
      <c r="G298" s="37" t="s">
        <v>343</v>
      </c>
      <c r="H298" s="37"/>
      <c r="I298" s="37" t="s">
        <v>423</v>
      </c>
      <c r="J298" s="37"/>
      <c r="K298" s="37" t="s">
        <v>147</v>
      </c>
      <c r="L298" s="37" t="s">
        <v>29</v>
      </c>
      <c r="M298" s="38" t="s">
        <v>16</v>
      </c>
      <c r="O298" t="s">
        <v>537</v>
      </c>
      <c r="P298" t="s">
        <v>428</v>
      </c>
    </row>
    <row r="299" spans="1:16" x14ac:dyDescent="0.3">
      <c r="A299" s="36">
        <v>16015067899</v>
      </c>
      <c r="B299" s="37" t="s">
        <v>180</v>
      </c>
      <c r="C299" s="37" t="s">
        <v>422</v>
      </c>
      <c r="D299" s="37" t="s">
        <v>178</v>
      </c>
      <c r="E299" s="37" t="s">
        <v>11</v>
      </c>
      <c r="F299" s="37"/>
      <c r="G299" s="37" t="s">
        <v>343</v>
      </c>
      <c r="H299" s="37"/>
      <c r="I299" s="37" t="s">
        <v>423</v>
      </c>
      <c r="J299" s="37"/>
      <c r="K299" s="37" t="s">
        <v>147</v>
      </c>
      <c r="L299" s="37" t="s">
        <v>29</v>
      </c>
      <c r="M299" s="38" t="s">
        <v>16</v>
      </c>
      <c r="O299" t="s">
        <v>537</v>
      </c>
      <c r="P299" t="s">
        <v>428</v>
      </c>
    </row>
    <row r="300" spans="1:16" x14ac:dyDescent="0.3">
      <c r="A300" s="36">
        <v>16015168939</v>
      </c>
      <c r="B300" s="37" t="s">
        <v>181</v>
      </c>
      <c r="C300" s="37" t="s">
        <v>422</v>
      </c>
      <c r="D300" s="37" t="s">
        <v>182</v>
      </c>
      <c r="E300" s="37" t="s">
        <v>37</v>
      </c>
      <c r="F300" s="37" t="s">
        <v>3618</v>
      </c>
      <c r="G300" s="37" t="s">
        <v>343</v>
      </c>
      <c r="H300" s="37" t="s">
        <v>354</v>
      </c>
      <c r="I300" s="40">
        <v>44769</v>
      </c>
      <c r="J300" s="37" t="s">
        <v>3614</v>
      </c>
      <c r="K300" s="37" t="s">
        <v>183</v>
      </c>
      <c r="L300" s="2" t="s">
        <v>29</v>
      </c>
      <c r="M300" s="38" t="s">
        <v>16</v>
      </c>
      <c r="O300" t="s">
        <v>538</v>
      </c>
      <c r="P300" t="s">
        <v>428</v>
      </c>
    </row>
    <row r="301" spans="1:16" x14ac:dyDescent="0.3">
      <c r="A301" s="36">
        <v>22011834358</v>
      </c>
      <c r="B301" s="37" t="s">
        <v>184</v>
      </c>
      <c r="C301" s="37" t="s">
        <v>422</v>
      </c>
      <c r="D301" s="37" t="s">
        <v>185</v>
      </c>
      <c r="E301" s="37" t="s">
        <v>11</v>
      </c>
      <c r="F301" s="37"/>
      <c r="G301" s="37" t="s">
        <v>343</v>
      </c>
      <c r="H301" s="37"/>
      <c r="I301" s="37" t="s">
        <v>423</v>
      </c>
      <c r="J301" s="37" t="s">
        <v>434</v>
      </c>
      <c r="K301" s="37" t="s">
        <v>105</v>
      </c>
      <c r="L301" s="37" t="s">
        <v>106</v>
      </c>
      <c r="M301" s="38" t="s">
        <v>24</v>
      </c>
      <c r="O301" t="s">
        <v>539</v>
      </c>
    </row>
    <row r="302" spans="1:16" x14ac:dyDescent="0.3">
      <c r="A302" s="2" t="str">
        <f>HYPERLINK("https://hsdes.intel.com/resource/14013118973","14013118973")</f>
        <v>14013118973</v>
      </c>
      <c r="B302" s="2" t="s">
        <v>540</v>
      </c>
      <c r="C302" s="2" t="s">
        <v>541</v>
      </c>
      <c r="D302" s="2" t="s">
        <v>542</v>
      </c>
      <c r="E302" s="2" t="s">
        <v>342</v>
      </c>
      <c r="F302" s="2"/>
      <c r="G302" s="2" t="s">
        <v>543</v>
      </c>
      <c r="H302" s="2"/>
      <c r="I302" s="4">
        <v>44754</v>
      </c>
      <c r="J302" s="2" t="s">
        <v>13</v>
      </c>
      <c r="K302" s="2" t="s">
        <v>45</v>
      </c>
      <c r="L302" s="2" t="s">
        <v>544</v>
      </c>
      <c r="M302" s="2" t="s">
        <v>16</v>
      </c>
    </row>
    <row r="303" spans="1:16" x14ac:dyDescent="0.3">
      <c r="A303" s="2" t="str">
        <f>HYPERLINK("https://hsdes.intel.com/resource/14013119085","14013119085")</f>
        <v>14013119085</v>
      </c>
      <c r="B303" s="2" t="s">
        <v>545</v>
      </c>
      <c r="C303" s="2" t="s">
        <v>541</v>
      </c>
      <c r="D303" s="2" t="s">
        <v>546</v>
      </c>
      <c r="E303" s="2" t="s">
        <v>342</v>
      </c>
      <c r="F303" s="2"/>
      <c r="G303" s="2" t="s">
        <v>543</v>
      </c>
      <c r="H303" s="2"/>
      <c r="I303" s="4">
        <v>44754</v>
      </c>
      <c r="J303" s="2" t="s">
        <v>13</v>
      </c>
      <c r="K303" s="2" t="s">
        <v>14</v>
      </c>
      <c r="L303" s="2" t="s">
        <v>88</v>
      </c>
      <c r="M303" s="2" t="s">
        <v>16</v>
      </c>
    </row>
    <row r="304" spans="1:16" x14ac:dyDescent="0.3">
      <c r="A304" s="2" t="str">
        <f>HYPERLINK("https://hsdes.intel.com/resource/14013119215","14013119215")</f>
        <v>14013119215</v>
      </c>
      <c r="B304" s="2" t="s">
        <v>30</v>
      </c>
      <c r="C304" s="2" t="s">
        <v>541</v>
      </c>
      <c r="D304" s="2" t="s">
        <v>31</v>
      </c>
      <c r="E304" s="2" t="s">
        <v>342</v>
      </c>
      <c r="F304" s="2" t="s">
        <v>547</v>
      </c>
      <c r="G304" s="2" t="s">
        <v>345</v>
      </c>
      <c r="H304" s="2"/>
      <c r="I304" s="4">
        <v>44762</v>
      </c>
      <c r="J304" s="2" t="s">
        <v>13</v>
      </c>
      <c r="K304" s="2" t="s">
        <v>33</v>
      </c>
      <c r="L304" s="2" t="s">
        <v>34</v>
      </c>
      <c r="M304" s="2" t="s">
        <v>16</v>
      </c>
    </row>
    <row r="305" spans="1:13" x14ac:dyDescent="0.3">
      <c r="A305" s="2" t="str">
        <f>HYPERLINK("https://hsdes.intel.com/resource/14013120134","14013120134")</f>
        <v>14013120134</v>
      </c>
      <c r="B305" s="2" t="s">
        <v>548</v>
      </c>
      <c r="C305" s="2" t="s">
        <v>541</v>
      </c>
      <c r="D305" s="2" t="s">
        <v>549</v>
      </c>
      <c r="E305" s="2" t="s">
        <v>32</v>
      </c>
      <c r="F305" s="48" t="s">
        <v>3640</v>
      </c>
      <c r="G305" s="2" t="s">
        <v>345</v>
      </c>
      <c r="H305" s="2" t="s">
        <v>345</v>
      </c>
      <c r="I305" s="4">
        <v>44762</v>
      </c>
      <c r="J305" s="2" t="s">
        <v>13</v>
      </c>
      <c r="K305" s="2" t="s">
        <v>45</v>
      </c>
      <c r="L305" s="2" t="s">
        <v>544</v>
      </c>
      <c r="M305" s="2" t="s">
        <v>21</v>
      </c>
    </row>
    <row r="306" spans="1:13" x14ac:dyDescent="0.3">
      <c r="A306" s="2" t="str">
        <f>HYPERLINK("https://hsdes.intel.com/resource/14013156768","14013156768")</f>
        <v>14013156768</v>
      </c>
      <c r="B306" s="2" t="s">
        <v>364</v>
      </c>
      <c r="C306" s="2" t="s">
        <v>541</v>
      </c>
      <c r="D306" s="2" t="s">
        <v>365</v>
      </c>
      <c r="E306" s="2" t="s">
        <v>342</v>
      </c>
      <c r="F306" s="2" t="s">
        <v>550</v>
      </c>
      <c r="G306" s="2" t="s">
        <v>349</v>
      </c>
      <c r="H306" s="2"/>
      <c r="I306" s="4">
        <v>44756</v>
      </c>
      <c r="J306" s="2" t="s">
        <v>13</v>
      </c>
      <c r="K306" s="2" t="s">
        <v>157</v>
      </c>
      <c r="L306" s="2" t="s">
        <v>158</v>
      </c>
      <c r="M306" s="2" t="s">
        <v>21</v>
      </c>
    </row>
    <row r="307" spans="1:13" x14ac:dyDescent="0.3">
      <c r="A307" s="2" t="str">
        <f>HYPERLINK("https://hsdes.intel.com/resource/14013156843","14013156843")</f>
        <v>14013156843</v>
      </c>
      <c r="B307" s="2" t="s">
        <v>551</v>
      </c>
      <c r="C307" s="2" t="s">
        <v>541</v>
      </c>
      <c r="D307" s="2" t="s">
        <v>552</v>
      </c>
      <c r="E307" s="2" t="s">
        <v>342</v>
      </c>
      <c r="F307" s="2"/>
      <c r="G307" s="2" t="s">
        <v>543</v>
      </c>
      <c r="H307" s="2"/>
      <c r="I307" s="4">
        <v>44754</v>
      </c>
      <c r="J307" s="2" t="s">
        <v>13</v>
      </c>
      <c r="K307" s="2" t="s">
        <v>553</v>
      </c>
      <c r="L307" s="2" t="s">
        <v>544</v>
      </c>
      <c r="M307" s="2" t="s">
        <v>16</v>
      </c>
    </row>
    <row r="308" spans="1:13" x14ac:dyDescent="0.3">
      <c r="A308" s="2" t="str">
        <f>HYPERLINK("https://hsdes.intel.com/resource/14013156857","14013156857")</f>
        <v>14013156857</v>
      </c>
      <c r="B308" s="2" t="s">
        <v>554</v>
      </c>
      <c r="C308" s="2" t="s">
        <v>541</v>
      </c>
      <c r="D308" s="2" t="s">
        <v>555</v>
      </c>
      <c r="E308" s="2" t="s">
        <v>342</v>
      </c>
      <c r="F308" s="2"/>
      <c r="G308" s="2" t="s">
        <v>543</v>
      </c>
      <c r="H308" s="2"/>
      <c r="I308" s="4">
        <v>44754</v>
      </c>
      <c r="J308" s="2" t="s">
        <v>13</v>
      </c>
      <c r="K308" s="2" t="s">
        <v>553</v>
      </c>
      <c r="L308" s="2" t="s">
        <v>544</v>
      </c>
      <c r="M308" s="2" t="s">
        <v>16</v>
      </c>
    </row>
    <row r="309" spans="1:13" x14ac:dyDescent="0.3">
      <c r="A309" s="2" t="str">
        <f>HYPERLINK("https://hsdes.intel.com/resource/14013157081","14013157081")</f>
        <v>14013157081</v>
      </c>
      <c r="B309" s="2" t="s">
        <v>556</v>
      </c>
      <c r="C309" s="2" t="s">
        <v>541</v>
      </c>
      <c r="D309" s="2" t="s">
        <v>557</v>
      </c>
      <c r="E309" s="2" t="s">
        <v>342</v>
      </c>
      <c r="F309" s="2" t="s">
        <v>558</v>
      </c>
      <c r="G309" s="2" t="s">
        <v>543</v>
      </c>
      <c r="H309" s="2"/>
      <c r="I309" s="4">
        <v>44754</v>
      </c>
      <c r="J309" s="2" t="s">
        <v>13</v>
      </c>
      <c r="K309" s="2" t="s">
        <v>553</v>
      </c>
      <c r="L309" s="2" t="s">
        <v>544</v>
      </c>
      <c r="M309" s="2" t="s">
        <v>16</v>
      </c>
    </row>
    <row r="310" spans="1:13" x14ac:dyDescent="0.3">
      <c r="A310" s="2" t="str">
        <f>HYPERLINK("https://hsdes.intel.com/resource/14013157188","14013157188")</f>
        <v>14013157188</v>
      </c>
      <c r="B310" s="2" t="s">
        <v>559</v>
      </c>
      <c r="C310" s="2" t="s">
        <v>541</v>
      </c>
      <c r="D310" s="2" t="s">
        <v>560</v>
      </c>
      <c r="E310" s="2" t="s">
        <v>342</v>
      </c>
      <c r="F310" s="2" t="s">
        <v>561</v>
      </c>
      <c r="G310" s="2" t="s">
        <v>543</v>
      </c>
      <c r="H310" s="2"/>
      <c r="I310" s="4">
        <v>44754</v>
      </c>
      <c r="J310" s="2" t="s">
        <v>13</v>
      </c>
      <c r="K310" s="2" t="s">
        <v>562</v>
      </c>
      <c r="L310" s="2" t="s">
        <v>94</v>
      </c>
      <c r="M310" s="2" t="s">
        <v>16</v>
      </c>
    </row>
    <row r="311" spans="1:13" x14ac:dyDescent="0.3">
      <c r="A311" s="2" t="str">
        <f>HYPERLINK("https://hsdes.intel.com/resource/14013157767","14013157767")</f>
        <v>14013157767</v>
      </c>
      <c r="B311" s="2" t="s">
        <v>563</v>
      </c>
      <c r="C311" s="2" t="s">
        <v>541</v>
      </c>
      <c r="D311" s="2" t="s">
        <v>564</v>
      </c>
      <c r="E311" s="2" t="s">
        <v>342</v>
      </c>
      <c r="F311" s="2"/>
      <c r="G311" s="2" t="s">
        <v>543</v>
      </c>
      <c r="H311" s="2"/>
      <c r="I311" s="4">
        <v>44755</v>
      </c>
      <c r="J311" s="2" t="s">
        <v>13</v>
      </c>
      <c r="K311" s="2" t="s">
        <v>296</v>
      </c>
      <c r="L311" s="2" t="s">
        <v>297</v>
      </c>
      <c r="M311" s="2" t="s">
        <v>16</v>
      </c>
    </row>
    <row r="312" spans="1:13" x14ac:dyDescent="0.3">
      <c r="A312" s="2" t="str">
        <f>HYPERLINK("https://hsdes.intel.com/resource/14013157781","14013157781")</f>
        <v>14013157781</v>
      </c>
      <c r="B312" s="2" t="s">
        <v>565</v>
      </c>
      <c r="C312" s="2" t="s">
        <v>541</v>
      </c>
      <c r="D312" s="2" t="s">
        <v>566</v>
      </c>
      <c r="E312" s="2" t="s">
        <v>342</v>
      </c>
      <c r="F312" s="2"/>
      <c r="G312" s="2" t="s">
        <v>543</v>
      </c>
      <c r="H312" s="2"/>
      <c r="I312" s="4">
        <v>44754</v>
      </c>
      <c r="J312" s="2" t="s">
        <v>13</v>
      </c>
      <c r="K312" s="2" t="s">
        <v>562</v>
      </c>
      <c r="L312" s="2" t="s">
        <v>94</v>
      </c>
      <c r="M312" s="2" t="s">
        <v>16</v>
      </c>
    </row>
    <row r="313" spans="1:13" x14ac:dyDescent="0.3">
      <c r="A313" s="2" t="str">
        <f>HYPERLINK("https://hsdes.intel.com/resource/14013158122","14013158122")</f>
        <v>14013158122</v>
      </c>
      <c r="B313" s="2" t="s">
        <v>567</v>
      </c>
      <c r="C313" s="2" t="s">
        <v>541</v>
      </c>
      <c r="D313" s="2" t="s">
        <v>568</v>
      </c>
      <c r="E313" s="2" t="s">
        <v>342</v>
      </c>
      <c r="F313" s="2"/>
      <c r="G313" s="2" t="s">
        <v>349</v>
      </c>
      <c r="H313" s="2"/>
      <c r="I313" s="4">
        <v>44756</v>
      </c>
      <c r="J313" s="2" t="s">
        <v>13</v>
      </c>
      <c r="K313" s="2" t="s">
        <v>45</v>
      </c>
      <c r="L313" s="2" t="s">
        <v>544</v>
      </c>
      <c r="M313" s="2" t="s">
        <v>16</v>
      </c>
    </row>
    <row r="314" spans="1:13" x14ac:dyDescent="0.3">
      <c r="A314" s="2" t="str">
        <f>HYPERLINK("https://hsdes.intel.com/resource/14013158193","14013158193")</f>
        <v>14013158193</v>
      </c>
      <c r="B314" s="2" t="s">
        <v>569</v>
      </c>
      <c r="C314" s="2" t="s">
        <v>541</v>
      </c>
      <c r="D314" s="2" t="s">
        <v>570</v>
      </c>
      <c r="E314" s="2" t="s">
        <v>342</v>
      </c>
      <c r="F314" s="2"/>
      <c r="G314" s="2" t="s">
        <v>543</v>
      </c>
      <c r="H314" s="2"/>
      <c r="I314" s="4">
        <v>44756</v>
      </c>
      <c r="J314" s="2" t="s">
        <v>13</v>
      </c>
      <c r="K314" s="2" t="s">
        <v>571</v>
      </c>
      <c r="L314" s="2" t="s">
        <v>94</v>
      </c>
      <c r="M314" s="2" t="s">
        <v>16</v>
      </c>
    </row>
    <row r="315" spans="1:13" x14ac:dyDescent="0.3">
      <c r="A315" s="2" t="str">
        <f>HYPERLINK("https://hsdes.intel.com/resource/14013158200","14013158200")</f>
        <v>14013158200</v>
      </c>
      <c r="B315" s="2" t="s">
        <v>572</v>
      </c>
      <c r="C315" s="2" t="s">
        <v>541</v>
      </c>
      <c r="D315" s="2" t="s">
        <v>573</v>
      </c>
      <c r="E315" s="2" t="s">
        <v>342</v>
      </c>
      <c r="F315" s="2"/>
      <c r="G315" s="2" t="s">
        <v>84</v>
      </c>
      <c r="H315" s="2"/>
      <c r="I315" s="2"/>
      <c r="J315" s="2" t="s">
        <v>13</v>
      </c>
      <c r="K315" s="2" t="s">
        <v>553</v>
      </c>
      <c r="L315" s="2" t="s">
        <v>544</v>
      </c>
      <c r="M315" s="2" t="s">
        <v>16</v>
      </c>
    </row>
    <row r="316" spans="1:13" x14ac:dyDescent="0.3">
      <c r="A316" s="2" t="str">
        <f>HYPERLINK("https://hsdes.intel.com/resource/14013158232","14013158232")</f>
        <v>14013158232</v>
      </c>
      <c r="B316" s="2" t="s">
        <v>35</v>
      </c>
      <c r="C316" s="2" t="s">
        <v>541</v>
      </c>
      <c r="D316" s="2" t="s">
        <v>36</v>
      </c>
      <c r="E316" s="2" t="s">
        <v>342</v>
      </c>
      <c r="F316" s="2"/>
      <c r="G316" s="2" t="s">
        <v>349</v>
      </c>
      <c r="H316" s="2"/>
      <c r="I316" s="4">
        <v>44755</v>
      </c>
      <c r="J316" s="2" t="s">
        <v>13</v>
      </c>
      <c r="K316" s="2" t="s">
        <v>33</v>
      </c>
      <c r="L316" s="2" t="s">
        <v>29</v>
      </c>
      <c r="M316" s="2" t="s">
        <v>16</v>
      </c>
    </row>
    <row r="317" spans="1:13" x14ac:dyDescent="0.3">
      <c r="A317" s="2" t="str">
        <f>HYPERLINK("https://hsdes.intel.com/resource/14013158240","14013158240")</f>
        <v>14013158240</v>
      </c>
      <c r="B317" s="2" t="s">
        <v>38</v>
      </c>
      <c r="C317" s="2" t="s">
        <v>541</v>
      </c>
      <c r="D317" s="2" t="s">
        <v>39</v>
      </c>
      <c r="E317" s="2" t="s">
        <v>342</v>
      </c>
      <c r="F317" s="2"/>
      <c r="G317" s="2" t="s">
        <v>349</v>
      </c>
      <c r="H317" s="2"/>
      <c r="I317" s="4">
        <v>44756</v>
      </c>
      <c r="J317" s="2" t="s">
        <v>13</v>
      </c>
      <c r="K317" s="2" t="s">
        <v>33</v>
      </c>
      <c r="L317" s="2" t="s">
        <v>29</v>
      </c>
      <c r="M317" s="2" t="s">
        <v>16</v>
      </c>
    </row>
    <row r="318" spans="1:13" x14ac:dyDescent="0.3">
      <c r="A318" s="2" t="str">
        <f>HYPERLINK("https://hsdes.intel.com/resource/14013158384","14013158384")</f>
        <v>14013158384</v>
      </c>
      <c r="B318" s="2" t="s">
        <v>574</v>
      </c>
      <c r="C318" s="2" t="s">
        <v>541</v>
      </c>
      <c r="D318" s="2" t="s">
        <v>575</v>
      </c>
      <c r="E318" s="2" t="s">
        <v>342</v>
      </c>
      <c r="F318" s="2"/>
      <c r="G318" s="2" t="s">
        <v>349</v>
      </c>
      <c r="H318" s="2"/>
      <c r="I318" s="4">
        <v>44756</v>
      </c>
      <c r="J318" s="2" t="s">
        <v>13</v>
      </c>
      <c r="K318" s="2" t="s">
        <v>553</v>
      </c>
      <c r="L318" s="2" t="s">
        <v>544</v>
      </c>
      <c r="M318" s="2" t="s">
        <v>16</v>
      </c>
    </row>
    <row r="319" spans="1:13" x14ac:dyDescent="0.3">
      <c r="A319" s="2" t="str">
        <f>HYPERLINK("https://hsdes.intel.com/resource/14013158414","14013158414")</f>
        <v>14013158414</v>
      </c>
      <c r="B319" s="2" t="s">
        <v>576</v>
      </c>
      <c r="C319" s="2" t="s">
        <v>541</v>
      </c>
      <c r="D319" s="2" t="s">
        <v>577</v>
      </c>
      <c r="E319" s="2" t="s">
        <v>342</v>
      </c>
      <c r="F319" s="2"/>
      <c r="G319" s="2" t="s">
        <v>578</v>
      </c>
      <c r="H319" s="2"/>
      <c r="I319" s="4">
        <v>44764</v>
      </c>
      <c r="J319" s="2" t="s">
        <v>13</v>
      </c>
      <c r="K319" s="2" t="s">
        <v>93</v>
      </c>
      <c r="L319" s="2" t="s">
        <v>94</v>
      </c>
      <c r="M319" s="2" t="s">
        <v>16</v>
      </c>
    </row>
    <row r="320" spans="1:13" x14ac:dyDescent="0.3">
      <c r="A320" s="2" t="str">
        <f>HYPERLINK("https://hsdes.intel.com/resource/14013158498","14013158498")</f>
        <v>14013158498</v>
      </c>
      <c r="B320" s="2" t="s">
        <v>579</v>
      </c>
      <c r="C320" s="2" t="s">
        <v>541</v>
      </c>
      <c r="D320" s="2" t="s">
        <v>580</v>
      </c>
      <c r="E320" s="2" t="s">
        <v>342</v>
      </c>
      <c r="F320" s="2"/>
      <c r="G320" s="2" t="s">
        <v>349</v>
      </c>
      <c r="H320" s="2"/>
      <c r="I320" s="4">
        <v>44756</v>
      </c>
      <c r="J320" s="2" t="s">
        <v>13</v>
      </c>
      <c r="K320" s="2" t="s">
        <v>553</v>
      </c>
      <c r="L320" s="2" t="s">
        <v>581</v>
      </c>
      <c r="M320" s="2" t="s">
        <v>16</v>
      </c>
    </row>
    <row r="321" spans="1:13" x14ac:dyDescent="0.3">
      <c r="A321" s="2" t="str">
        <f>HYPERLINK("https://hsdes.intel.com/resource/14013158827","14013158827")</f>
        <v>14013158827</v>
      </c>
      <c r="B321" s="2" t="s">
        <v>46</v>
      </c>
      <c r="C321" s="2" t="s">
        <v>541</v>
      </c>
      <c r="D321" s="2" t="s">
        <v>47</v>
      </c>
      <c r="E321" s="2" t="s">
        <v>342</v>
      </c>
      <c r="F321" s="2" t="s">
        <v>582</v>
      </c>
      <c r="G321" s="2" t="s">
        <v>84</v>
      </c>
      <c r="H321" s="2"/>
      <c r="I321" s="4">
        <v>44755</v>
      </c>
      <c r="J321" s="2" t="s">
        <v>13</v>
      </c>
      <c r="K321" s="2" t="s">
        <v>19</v>
      </c>
      <c r="L321" s="2" t="s">
        <v>20</v>
      </c>
      <c r="M321" s="2" t="s">
        <v>21</v>
      </c>
    </row>
    <row r="322" spans="1:13" x14ac:dyDescent="0.3">
      <c r="A322" s="2" t="str">
        <f>HYPERLINK("https://hsdes.intel.com/resource/14013158828","14013158828")</f>
        <v>14013158828</v>
      </c>
      <c r="B322" s="2" t="s">
        <v>48</v>
      </c>
      <c r="C322" s="2" t="s">
        <v>541</v>
      </c>
      <c r="D322" s="2" t="s">
        <v>49</v>
      </c>
      <c r="E322" s="2" t="s">
        <v>342</v>
      </c>
      <c r="F322" s="2"/>
      <c r="G322" s="2" t="s">
        <v>84</v>
      </c>
      <c r="H322" s="2"/>
      <c r="I322" s="4">
        <v>44755</v>
      </c>
      <c r="J322" s="2" t="s">
        <v>13</v>
      </c>
      <c r="K322" s="2" t="s">
        <v>19</v>
      </c>
      <c r="L322" s="2" t="s">
        <v>20</v>
      </c>
      <c r="M322" s="2" t="s">
        <v>21</v>
      </c>
    </row>
    <row r="323" spans="1:13" x14ac:dyDescent="0.3">
      <c r="A323" s="2" t="str">
        <f>HYPERLINK("https://hsdes.intel.com/resource/14013158830","14013158830")</f>
        <v>14013158830</v>
      </c>
      <c r="B323" s="2" t="s">
        <v>50</v>
      </c>
      <c r="C323" s="2" t="s">
        <v>541</v>
      </c>
      <c r="D323" s="2" t="s">
        <v>51</v>
      </c>
      <c r="E323" s="2" t="s">
        <v>342</v>
      </c>
      <c r="F323" s="2"/>
      <c r="G323" s="2" t="s">
        <v>84</v>
      </c>
      <c r="H323" s="2"/>
      <c r="I323" s="4">
        <v>44755</v>
      </c>
      <c r="J323" s="2" t="s">
        <v>13</v>
      </c>
      <c r="K323" s="2" t="s">
        <v>19</v>
      </c>
      <c r="L323" s="2" t="s">
        <v>20</v>
      </c>
      <c r="M323" s="2" t="s">
        <v>21</v>
      </c>
    </row>
    <row r="324" spans="1:13" x14ac:dyDescent="0.3">
      <c r="A324" s="2" t="str">
        <f>HYPERLINK("https://hsdes.intel.com/resource/14013158985","14013158985")</f>
        <v>14013158985</v>
      </c>
      <c r="B324" s="2" t="s">
        <v>583</v>
      </c>
      <c r="C324" s="2" t="s">
        <v>541</v>
      </c>
      <c r="D324" s="2" t="s">
        <v>584</v>
      </c>
      <c r="E324" s="2" t="s">
        <v>342</v>
      </c>
      <c r="F324" s="15" t="s">
        <v>585</v>
      </c>
      <c r="G324" s="2" t="s">
        <v>84</v>
      </c>
      <c r="H324" s="2"/>
      <c r="I324" s="4">
        <v>44755</v>
      </c>
      <c r="J324" s="2" t="s">
        <v>13</v>
      </c>
      <c r="K324" s="2" t="s">
        <v>71</v>
      </c>
      <c r="L324" s="2" t="s">
        <v>34</v>
      </c>
      <c r="M324" s="2" t="s">
        <v>16</v>
      </c>
    </row>
    <row r="325" spans="1:13" x14ac:dyDescent="0.3">
      <c r="A325" s="2" t="str">
        <f>HYPERLINK("https://hsdes.intel.com/resource/14013159097","14013159097")</f>
        <v>14013159097</v>
      </c>
      <c r="B325" s="2" t="s">
        <v>54</v>
      </c>
      <c r="C325" s="2" t="s">
        <v>541</v>
      </c>
      <c r="D325" s="2" t="s">
        <v>55</v>
      </c>
      <c r="E325" s="2" t="s">
        <v>342</v>
      </c>
      <c r="F325" s="2"/>
      <c r="G325" s="2" t="s">
        <v>349</v>
      </c>
      <c r="H325" s="2"/>
      <c r="I325" s="4">
        <v>44755</v>
      </c>
      <c r="J325" s="2" t="s">
        <v>13</v>
      </c>
      <c r="K325" s="2" t="s">
        <v>19</v>
      </c>
      <c r="L325" s="2" t="s">
        <v>20</v>
      </c>
      <c r="M325" s="2" t="s">
        <v>24</v>
      </c>
    </row>
    <row r="326" spans="1:13" x14ac:dyDescent="0.3">
      <c r="A326" s="2" t="str">
        <f>HYPERLINK("https://hsdes.intel.com/resource/14013159287","14013159287")</f>
        <v>14013159287</v>
      </c>
      <c r="B326" s="2" t="s">
        <v>62</v>
      </c>
      <c r="C326" s="2" t="s">
        <v>541</v>
      </c>
      <c r="D326" s="2" t="s">
        <v>63</v>
      </c>
      <c r="E326" s="2" t="s">
        <v>342</v>
      </c>
      <c r="F326" s="2" t="s">
        <v>350</v>
      </c>
      <c r="G326" s="2" t="s">
        <v>345</v>
      </c>
      <c r="H326" s="2"/>
      <c r="I326" s="4">
        <v>44762</v>
      </c>
      <c r="J326" s="2" t="s">
        <v>13</v>
      </c>
      <c r="K326" s="2" t="s">
        <v>19</v>
      </c>
      <c r="L326" s="2" t="s">
        <v>20</v>
      </c>
      <c r="M326" s="2" t="s">
        <v>24</v>
      </c>
    </row>
    <row r="327" spans="1:13" x14ac:dyDescent="0.3">
      <c r="A327" s="2" t="str">
        <f>HYPERLINK("https://hsdes.intel.com/resource/14013159682","14013159682")</f>
        <v>14013159682</v>
      </c>
      <c r="B327" s="2" t="s">
        <v>586</v>
      </c>
      <c r="C327" s="2" t="s">
        <v>541</v>
      </c>
      <c r="D327" s="2" t="s">
        <v>587</v>
      </c>
      <c r="E327" s="2" t="s">
        <v>342</v>
      </c>
      <c r="F327" s="2"/>
      <c r="G327" s="2" t="s">
        <v>543</v>
      </c>
      <c r="H327" s="2"/>
      <c r="I327" s="4">
        <v>44754</v>
      </c>
      <c r="J327" s="2" t="s">
        <v>13</v>
      </c>
      <c r="K327" s="2" t="s">
        <v>93</v>
      </c>
      <c r="L327" s="2" t="s">
        <v>94</v>
      </c>
      <c r="M327" s="2" t="s">
        <v>24</v>
      </c>
    </row>
    <row r="328" spans="1:13" x14ac:dyDescent="0.3">
      <c r="A328" s="2" t="str">
        <f>HYPERLINK("https://hsdes.intel.com/resource/14013159726","14013159726")</f>
        <v>14013159726</v>
      </c>
      <c r="B328" s="2" t="s">
        <v>588</v>
      </c>
      <c r="C328" s="2" t="s">
        <v>541</v>
      </c>
      <c r="D328" s="2" t="s">
        <v>589</v>
      </c>
      <c r="E328" s="2" t="s">
        <v>342</v>
      </c>
      <c r="F328" s="2"/>
      <c r="G328" s="2" t="s">
        <v>543</v>
      </c>
      <c r="H328" s="2"/>
      <c r="I328" s="4">
        <v>44754</v>
      </c>
      <c r="J328" s="2" t="s">
        <v>13</v>
      </c>
      <c r="K328" s="2" t="s">
        <v>93</v>
      </c>
      <c r="L328" s="2" t="s">
        <v>94</v>
      </c>
      <c r="M328" s="2" t="s">
        <v>16</v>
      </c>
    </row>
    <row r="329" spans="1:13" x14ac:dyDescent="0.3">
      <c r="A329" s="2" t="str">
        <f>HYPERLINK("https://hsdes.intel.com/resource/14013160507","14013160507")</f>
        <v>14013160507</v>
      </c>
      <c r="B329" s="2" t="s">
        <v>69</v>
      </c>
      <c r="C329" s="2" t="s">
        <v>541</v>
      </c>
      <c r="D329" s="2" t="s">
        <v>70</v>
      </c>
      <c r="E329" s="2" t="s">
        <v>37</v>
      </c>
      <c r="F329" s="2" t="s">
        <v>590</v>
      </c>
      <c r="G329" s="2" t="s">
        <v>84</v>
      </c>
      <c r="H329" s="2"/>
      <c r="I329" s="4">
        <v>44755</v>
      </c>
      <c r="J329" s="2" t="s">
        <v>13</v>
      </c>
      <c r="K329" s="2" t="s">
        <v>71</v>
      </c>
      <c r="L329" s="2" t="s">
        <v>34</v>
      </c>
      <c r="M329" s="2" t="s">
        <v>16</v>
      </c>
    </row>
    <row r="330" spans="1:13" x14ac:dyDescent="0.3">
      <c r="A330" s="2" t="str">
        <f>HYPERLINK("https://hsdes.intel.com/resource/14013160511","14013160511")</f>
        <v>14013160511</v>
      </c>
      <c r="B330" s="2" t="s">
        <v>72</v>
      </c>
      <c r="C330" s="2" t="s">
        <v>541</v>
      </c>
      <c r="D330" s="2" t="s">
        <v>73</v>
      </c>
      <c r="E330" s="2" t="s">
        <v>37</v>
      </c>
      <c r="F330" s="2" t="s">
        <v>590</v>
      </c>
      <c r="G330" s="2" t="s">
        <v>84</v>
      </c>
      <c r="H330" s="2"/>
      <c r="I330" s="4">
        <v>44755</v>
      </c>
      <c r="J330" s="2" t="s">
        <v>13</v>
      </c>
      <c r="K330" s="2" t="s">
        <v>71</v>
      </c>
      <c r="L330" s="2" t="s">
        <v>34</v>
      </c>
      <c r="M330" s="2" t="s">
        <v>16</v>
      </c>
    </row>
    <row r="331" spans="1:13" x14ac:dyDescent="0.3">
      <c r="A331" s="2" t="str">
        <f>HYPERLINK("https://hsdes.intel.com/resource/14013160517","14013160517")</f>
        <v>14013160517</v>
      </c>
      <c r="B331" s="2" t="s">
        <v>74</v>
      </c>
      <c r="C331" s="2" t="s">
        <v>541</v>
      </c>
      <c r="D331" s="2" t="s">
        <v>75</v>
      </c>
      <c r="E331" s="2" t="s">
        <v>37</v>
      </c>
      <c r="F331" s="2" t="s">
        <v>590</v>
      </c>
      <c r="G331" s="2" t="s">
        <v>84</v>
      </c>
      <c r="H331" s="2"/>
      <c r="I331" s="4">
        <v>44755</v>
      </c>
      <c r="J331" s="2" t="s">
        <v>13</v>
      </c>
      <c r="K331" s="2" t="s">
        <v>71</v>
      </c>
      <c r="L331" s="2" t="s">
        <v>34</v>
      </c>
      <c r="M331" s="2" t="s">
        <v>16</v>
      </c>
    </row>
    <row r="332" spans="1:13" x14ac:dyDescent="0.3">
      <c r="A332" s="2" t="str">
        <f>HYPERLINK("https://hsdes.intel.com/resource/14013160596","14013160596")</f>
        <v>14013160596</v>
      </c>
      <c r="B332" s="2" t="s">
        <v>78</v>
      </c>
      <c r="C332" s="2" t="s">
        <v>541</v>
      </c>
      <c r="D332" s="2" t="s">
        <v>79</v>
      </c>
      <c r="E332" s="2" t="s">
        <v>405</v>
      </c>
      <c r="F332" s="6" t="s">
        <v>591</v>
      </c>
      <c r="G332" s="2" t="s">
        <v>349</v>
      </c>
      <c r="H332" s="2"/>
      <c r="I332" s="4">
        <v>44756</v>
      </c>
      <c r="J332" s="2" t="s">
        <v>13</v>
      </c>
      <c r="K332" s="2" t="s">
        <v>14</v>
      </c>
      <c r="L332" s="2" t="s">
        <v>15</v>
      </c>
      <c r="M332" s="2" t="s">
        <v>21</v>
      </c>
    </row>
    <row r="333" spans="1:13" x14ac:dyDescent="0.3">
      <c r="A333" s="2" t="str">
        <f>HYPERLINK("https://hsdes.intel.com/resource/14013160618","14013160618")</f>
        <v>14013160618</v>
      </c>
      <c r="B333" s="2" t="s">
        <v>592</v>
      </c>
      <c r="C333" s="2" t="s">
        <v>541</v>
      </c>
      <c r="D333" s="2" t="s">
        <v>593</v>
      </c>
      <c r="E333" s="2" t="s">
        <v>342</v>
      </c>
      <c r="F333" s="2"/>
      <c r="G333" s="2" t="s">
        <v>543</v>
      </c>
      <c r="H333" s="2"/>
      <c r="I333" s="4">
        <v>44754</v>
      </c>
      <c r="J333" s="2" t="s">
        <v>13</v>
      </c>
      <c r="K333" s="2" t="s">
        <v>93</v>
      </c>
      <c r="L333" s="2" t="s">
        <v>94</v>
      </c>
      <c r="M333" s="2" t="s">
        <v>16</v>
      </c>
    </row>
    <row r="334" spans="1:13" x14ac:dyDescent="0.3">
      <c r="A334" s="2" t="str">
        <f>HYPERLINK("https://hsdes.intel.com/resource/14013160687","14013160687")</f>
        <v>14013160687</v>
      </c>
      <c r="B334" s="2" t="s">
        <v>594</v>
      </c>
      <c r="C334" s="2" t="s">
        <v>541</v>
      </c>
      <c r="D334" s="2" t="s">
        <v>595</v>
      </c>
      <c r="E334" s="2" t="s">
        <v>342</v>
      </c>
      <c r="F334" s="2"/>
      <c r="G334" s="2" t="s">
        <v>543</v>
      </c>
      <c r="H334" s="2"/>
      <c r="I334" s="4">
        <v>44754</v>
      </c>
      <c r="J334" s="2" t="s">
        <v>13</v>
      </c>
      <c r="K334" s="2" t="s">
        <v>93</v>
      </c>
      <c r="L334" s="2" t="s">
        <v>94</v>
      </c>
      <c r="M334" s="2" t="s">
        <v>24</v>
      </c>
    </row>
    <row r="335" spans="1:13" x14ac:dyDescent="0.3">
      <c r="A335" s="2" t="str">
        <f>HYPERLINK("https://hsdes.intel.com/resource/14013160724","14013160724")</f>
        <v>14013160724</v>
      </c>
      <c r="B335" s="2" t="s">
        <v>81</v>
      </c>
      <c r="C335" s="2" t="s">
        <v>541</v>
      </c>
      <c r="D335" s="2" t="s">
        <v>82</v>
      </c>
      <c r="E335" s="2" t="s">
        <v>342</v>
      </c>
      <c r="F335" s="2"/>
      <c r="G335" s="2" t="s">
        <v>349</v>
      </c>
      <c r="H335" s="2"/>
      <c r="I335" s="4">
        <v>44756</v>
      </c>
      <c r="J335" s="2" t="s">
        <v>13</v>
      </c>
      <c r="K335" s="2" t="s">
        <v>19</v>
      </c>
      <c r="L335" s="2" t="s">
        <v>20</v>
      </c>
      <c r="M335" s="2" t="s">
        <v>16</v>
      </c>
    </row>
    <row r="336" spans="1:13" x14ac:dyDescent="0.3">
      <c r="A336" s="2" t="str">
        <f>HYPERLINK("https://hsdes.intel.com/resource/14013160828","14013160828")</f>
        <v>14013160828</v>
      </c>
      <c r="B336" s="2" t="s">
        <v>596</v>
      </c>
      <c r="C336" s="2" t="s">
        <v>541</v>
      </c>
      <c r="D336" s="2" t="s">
        <v>597</v>
      </c>
      <c r="E336" s="2" t="s">
        <v>342</v>
      </c>
      <c r="F336" s="2"/>
      <c r="G336" s="2" t="s">
        <v>543</v>
      </c>
      <c r="H336" s="2"/>
      <c r="I336" s="4">
        <v>44755</v>
      </c>
      <c r="J336" s="2" t="s">
        <v>13</v>
      </c>
      <c r="K336" s="2" t="s">
        <v>93</v>
      </c>
      <c r="L336" s="2" t="s">
        <v>94</v>
      </c>
      <c r="M336" s="2" t="s">
        <v>16</v>
      </c>
    </row>
    <row r="337" spans="1:13" x14ac:dyDescent="0.3">
      <c r="A337" s="2" t="str">
        <f>HYPERLINK("https://hsdes.intel.com/resource/14013161173","14013161173")</f>
        <v>14013161173</v>
      </c>
      <c r="B337" s="2" t="s">
        <v>598</v>
      </c>
      <c r="C337" s="2" t="s">
        <v>541</v>
      </c>
      <c r="D337" s="2" t="s">
        <v>599</v>
      </c>
      <c r="E337" s="2" t="s">
        <v>342</v>
      </c>
      <c r="F337" s="2"/>
      <c r="G337" s="2" t="s">
        <v>543</v>
      </c>
      <c r="H337" s="2"/>
      <c r="I337" s="4">
        <v>44755</v>
      </c>
      <c r="J337" s="2" t="s">
        <v>13</v>
      </c>
      <c r="K337" s="2" t="s">
        <v>93</v>
      </c>
      <c r="L337" s="2" t="s">
        <v>94</v>
      </c>
      <c r="M337" s="2" t="s">
        <v>24</v>
      </c>
    </row>
    <row r="338" spans="1:13" x14ac:dyDescent="0.3">
      <c r="A338" s="2" t="str">
        <f>HYPERLINK("https://hsdes.intel.com/resource/14013161283","14013161283")</f>
        <v>14013161283</v>
      </c>
      <c r="B338" s="2" t="s">
        <v>600</v>
      </c>
      <c r="C338" s="2" t="s">
        <v>541</v>
      </c>
      <c r="D338" s="2" t="s">
        <v>601</v>
      </c>
      <c r="E338" s="2" t="s">
        <v>470</v>
      </c>
      <c r="F338" s="2" t="s">
        <v>602</v>
      </c>
      <c r="G338" s="2" t="s">
        <v>578</v>
      </c>
      <c r="H338" s="2" t="s">
        <v>841</v>
      </c>
      <c r="I338" s="4">
        <v>44767</v>
      </c>
      <c r="J338" s="2" t="s">
        <v>13</v>
      </c>
      <c r="K338" s="2" t="s">
        <v>93</v>
      </c>
      <c r="L338" s="2" t="s">
        <v>94</v>
      </c>
      <c r="M338" s="2" t="s">
        <v>16</v>
      </c>
    </row>
    <row r="339" spans="1:13" x14ac:dyDescent="0.3">
      <c r="A339" s="2" t="str">
        <f>HYPERLINK("https://hsdes.intel.com/resource/14013161451","14013161451")</f>
        <v>14013161451</v>
      </c>
      <c r="B339" s="2" t="s">
        <v>85</v>
      </c>
      <c r="C339" s="2" t="s">
        <v>541</v>
      </c>
      <c r="D339" s="2" t="s">
        <v>86</v>
      </c>
      <c r="E339" s="2" t="s">
        <v>342</v>
      </c>
      <c r="F339" s="2"/>
      <c r="G339" s="2" t="s">
        <v>543</v>
      </c>
      <c r="H339" s="2"/>
      <c r="I339" s="4">
        <v>44757</v>
      </c>
      <c r="J339" s="2" t="s">
        <v>13</v>
      </c>
      <c r="K339" s="2" t="s">
        <v>14</v>
      </c>
      <c r="L339" s="2" t="s">
        <v>88</v>
      </c>
      <c r="M339" s="2" t="s">
        <v>24</v>
      </c>
    </row>
    <row r="340" spans="1:13" x14ac:dyDescent="0.3">
      <c r="A340" s="2" t="str">
        <f>HYPERLINK("https://hsdes.intel.com/resource/14013161624","14013161624")</f>
        <v>14013161624</v>
      </c>
      <c r="B340" s="2" t="s">
        <v>603</v>
      </c>
      <c r="C340" s="2" t="s">
        <v>541</v>
      </c>
      <c r="D340" s="2" t="s">
        <v>604</v>
      </c>
      <c r="E340" s="2" t="s">
        <v>342</v>
      </c>
      <c r="F340" s="2"/>
      <c r="G340" s="2" t="s">
        <v>543</v>
      </c>
      <c r="H340" s="2"/>
      <c r="I340" s="4">
        <v>44754</v>
      </c>
      <c r="J340" s="2" t="s">
        <v>13</v>
      </c>
      <c r="K340" s="2" t="s">
        <v>562</v>
      </c>
      <c r="L340" s="2" t="s">
        <v>94</v>
      </c>
      <c r="M340" s="2" t="s">
        <v>16</v>
      </c>
    </row>
    <row r="341" spans="1:13" x14ac:dyDescent="0.3">
      <c r="A341" s="2" t="str">
        <f>HYPERLINK("https://hsdes.intel.com/resource/14013161628","14013161628")</f>
        <v>14013161628</v>
      </c>
      <c r="B341" s="2" t="s">
        <v>605</v>
      </c>
      <c r="C341" s="2" t="s">
        <v>541</v>
      </c>
      <c r="D341" s="2" t="s">
        <v>606</v>
      </c>
      <c r="E341" s="2" t="s">
        <v>342</v>
      </c>
      <c r="F341" s="2"/>
      <c r="G341" s="2" t="s">
        <v>543</v>
      </c>
      <c r="H341" s="2"/>
      <c r="I341" s="4">
        <v>44754</v>
      </c>
      <c r="J341" s="2" t="s">
        <v>13</v>
      </c>
      <c r="K341" s="2" t="s">
        <v>93</v>
      </c>
      <c r="L341" s="2" t="s">
        <v>94</v>
      </c>
      <c r="M341" s="2" t="s">
        <v>16</v>
      </c>
    </row>
    <row r="342" spans="1:13" x14ac:dyDescent="0.3">
      <c r="A342" s="2" t="str">
        <f>HYPERLINK("https://hsdes.intel.com/resource/14013161635","14013161635")</f>
        <v>14013161635</v>
      </c>
      <c r="B342" s="2" t="s">
        <v>607</v>
      </c>
      <c r="C342" s="2" t="s">
        <v>541</v>
      </c>
      <c r="D342" s="2" t="s">
        <v>608</v>
      </c>
      <c r="E342" s="2" t="s">
        <v>342</v>
      </c>
      <c r="F342" s="2"/>
      <c r="G342" s="2" t="s">
        <v>543</v>
      </c>
      <c r="H342" s="2"/>
      <c r="I342" s="4">
        <v>44755</v>
      </c>
      <c r="J342" s="2" t="s">
        <v>13</v>
      </c>
      <c r="K342" s="2" t="s">
        <v>93</v>
      </c>
      <c r="L342" s="2" t="s">
        <v>94</v>
      </c>
      <c r="M342" s="2" t="s">
        <v>16</v>
      </c>
    </row>
    <row r="343" spans="1:13" x14ac:dyDescent="0.3">
      <c r="A343" s="2" t="str">
        <f>HYPERLINK("https://hsdes.intel.com/resource/14013161657","14013161657")</f>
        <v>14013161657</v>
      </c>
      <c r="B343" s="2" t="s">
        <v>609</v>
      </c>
      <c r="C343" s="2" t="s">
        <v>541</v>
      </c>
      <c r="D343" s="2" t="s">
        <v>610</v>
      </c>
      <c r="E343" s="2" t="s">
        <v>342</v>
      </c>
      <c r="F343" s="2"/>
      <c r="G343" s="2" t="s">
        <v>543</v>
      </c>
      <c r="H343" s="2"/>
      <c r="I343" s="4">
        <v>44755</v>
      </c>
      <c r="J343" s="2" t="s">
        <v>13</v>
      </c>
      <c r="K343" s="2" t="s">
        <v>93</v>
      </c>
      <c r="L343" s="2" t="s">
        <v>94</v>
      </c>
      <c r="M343" s="2" t="s">
        <v>24</v>
      </c>
    </row>
    <row r="344" spans="1:13" x14ac:dyDescent="0.3">
      <c r="A344" s="2" t="str">
        <f>HYPERLINK("https://hsdes.intel.com/resource/14013161663","14013161663")</f>
        <v>14013161663</v>
      </c>
      <c r="B344" s="2" t="s">
        <v>611</v>
      </c>
      <c r="C344" s="2" t="s">
        <v>541</v>
      </c>
      <c r="D344" s="2" t="s">
        <v>612</v>
      </c>
      <c r="E344" s="2" t="s">
        <v>342</v>
      </c>
      <c r="F344" s="2"/>
      <c r="G344" s="2" t="s">
        <v>543</v>
      </c>
      <c r="H344" s="2"/>
      <c r="I344" s="4">
        <v>44755</v>
      </c>
      <c r="J344" s="2" t="s">
        <v>13</v>
      </c>
      <c r="K344" s="2" t="s">
        <v>93</v>
      </c>
      <c r="L344" s="2" t="s">
        <v>94</v>
      </c>
      <c r="M344" s="2" t="s">
        <v>24</v>
      </c>
    </row>
    <row r="345" spans="1:13" x14ac:dyDescent="0.3">
      <c r="A345" s="2" t="str">
        <f>HYPERLINK("https://hsdes.intel.com/resource/14013162078","14013162078")</f>
        <v>14013162078</v>
      </c>
      <c r="B345" s="2" t="s">
        <v>613</v>
      </c>
      <c r="C345" s="2" t="s">
        <v>541</v>
      </c>
      <c r="D345" s="2" t="s">
        <v>614</v>
      </c>
      <c r="E345" s="2" t="s">
        <v>342</v>
      </c>
      <c r="F345" s="2"/>
      <c r="G345" s="2" t="s">
        <v>543</v>
      </c>
      <c r="H345" s="2"/>
      <c r="I345" s="4">
        <v>44755</v>
      </c>
      <c r="J345" s="2" t="s">
        <v>13</v>
      </c>
      <c r="K345" s="2" t="s">
        <v>93</v>
      </c>
      <c r="L345" s="2" t="s">
        <v>94</v>
      </c>
      <c r="M345" s="2" t="s">
        <v>16</v>
      </c>
    </row>
    <row r="346" spans="1:13" x14ac:dyDescent="0.3">
      <c r="A346" s="2" t="str">
        <f>HYPERLINK("https://hsdes.intel.com/resource/14013162374","14013162374")</f>
        <v>14013162374</v>
      </c>
      <c r="B346" s="2" t="s">
        <v>95</v>
      </c>
      <c r="C346" s="2" t="s">
        <v>541</v>
      </c>
      <c r="D346" s="2" t="s">
        <v>96</v>
      </c>
      <c r="E346" s="2" t="s">
        <v>342</v>
      </c>
      <c r="F346" s="2" t="s">
        <v>615</v>
      </c>
      <c r="G346" s="2" t="s">
        <v>543</v>
      </c>
      <c r="H346" s="2"/>
      <c r="I346" s="4">
        <v>44755</v>
      </c>
      <c r="J346" s="2" t="s">
        <v>13</v>
      </c>
      <c r="K346" s="2" t="s">
        <v>93</v>
      </c>
      <c r="L346" s="2" t="s">
        <v>94</v>
      </c>
      <c r="M346" s="2" t="s">
        <v>16</v>
      </c>
    </row>
    <row r="347" spans="1:13" x14ac:dyDescent="0.3">
      <c r="A347" s="2" t="str">
        <f>HYPERLINK("https://hsdes.intel.com/resource/14013162379","14013162379")</f>
        <v>14013162379</v>
      </c>
      <c r="B347" s="2" t="s">
        <v>97</v>
      </c>
      <c r="C347" s="2" t="s">
        <v>541</v>
      </c>
      <c r="D347" s="2" t="s">
        <v>98</v>
      </c>
      <c r="E347" s="2" t="s">
        <v>342</v>
      </c>
      <c r="F347" s="2" t="s">
        <v>615</v>
      </c>
      <c r="G347" s="2" t="s">
        <v>543</v>
      </c>
      <c r="H347" s="2"/>
      <c r="I347" s="4">
        <v>44755</v>
      </c>
      <c r="J347" s="2" t="s">
        <v>13</v>
      </c>
      <c r="K347" s="2" t="s">
        <v>93</v>
      </c>
      <c r="L347" s="2" t="s">
        <v>94</v>
      </c>
      <c r="M347" s="2" t="s">
        <v>16</v>
      </c>
    </row>
    <row r="348" spans="1:13" x14ac:dyDescent="0.3">
      <c r="A348" s="2" t="str">
        <f>HYPERLINK("https://hsdes.intel.com/resource/14013162425","14013162425")</f>
        <v>14013162425</v>
      </c>
      <c r="B348" s="2" t="s">
        <v>616</v>
      </c>
      <c r="C348" s="2" t="s">
        <v>541</v>
      </c>
      <c r="D348" s="2" t="s">
        <v>617</v>
      </c>
      <c r="E348" s="2" t="s">
        <v>342</v>
      </c>
      <c r="F348" s="2"/>
      <c r="G348" s="2" t="s">
        <v>543</v>
      </c>
      <c r="H348" s="2"/>
      <c r="I348" s="4">
        <v>44755</v>
      </c>
      <c r="J348" s="2" t="s">
        <v>13</v>
      </c>
      <c r="K348" s="2" t="s">
        <v>93</v>
      </c>
      <c r="L348" s="2" t="s">
        <v>94</v>
      </c>
      <c r="M348" s="2" t="s">
        <v>21</v>
      </c>
    </row>
    <row r="349" spans="1:13" x14ac:dyDescent="0.3">
      <c r="A349" s="2" t="str">
        <f>HYPERLINK("https://hsdes.intel.com/resource/14013162427","14013162427")</f>
        <v>14013162427</v>
      </c>
      <c r="B349" s="2" t="s">
        <v>618</v>
      </c>
      <c r="C349" s="2" t="s">
        <v>541</v>
      </c>
      <c r="D349" s="2" t="s">
        <v>619</v>
      </c>
      <c r="E349" s="2" t="s">
        <v>342</v>
      </c>
      <c r="F349" s="2"/>
      <c r="G349" s="2" t="s">
        <v>543</v>
      </c>
      <c r="H349" s="2"/>
      <c r="I349" s="4">
        <v>44755</v>
      </c>
      <c r="J349" s="2" t="s">
        <v>13</v>
      </c>
      <c r="K349" s="2" t="s">
        <v>93</v>
      </c>
      <c r="L349" s="2" t="s">
        <v>94</v>
      </c>
      <c r="M349" s="2" t="s">
        <v>24</v>
      </c>
    </row>
    <row r="350" spans="1:13" x14ac:dyDescent="0.3">
      <c r="A350" s="2" t="str">
        <f>HYPERLINK("https://hsdes.intel.com/resource/14013162436","14013162436")</f>
        <v>14013162436</v>
      </c>
      <c r="B350" s="2" t="s">
        <v>620</v>
      </c>
      <c r="C350" s="2" t="s">
        <v>541</v>
      </c>
      <c r="D350" s="2" t="s">
        <v>621</v>
      </c>
      <c r="E350" s="2" t="s">
        <v>342</v>
      </c>
      <c r="F350" s="2"/>
      <c r="G350" s="2" t="s">
        <v>543</v>
      </c>
      <c r="H350" s="2"/>
      <c r="I350" s="4">
        <v>44755</v>
      </c>
      <c r="J350" s="2" t="s">
        <v>13</v>
      </c>
      <c r="K350" s="2" t="s">
        <v>93</v>
      </c>
      <c r="L350" s="2" t="s">
        <v>94</v>
      </c>
      <c r="M350" s="2" t="s">
        <v>21</v>
      </c>
    </row>
    <row r="351" spans="1:13" x14ac:dyDescent="0.3">
      <c r="A351" s="2" t="str">
        <f>HYPERLINK("https://hsdes.intel.com/resource/14013162443","14013162443")</f>
        <v>14013162443</v>
      </c>
      <c r="B351" s="2" t="s">
        <v>622</v>
      </c>
      <c r="C351" s="2" t="s">
        <v>541</v>
      </c>
      <c r="D351" s="2" t="s">
        <v>623</v>
      </c>
      <c r="E351" s="2" t="s">
        <v>342</v>
      </c>
      <c r="F351" s="2"/>
      <c r="G351" s="2" t="s">
        <v>543</v>
      </c>
      <c r="H351" s="2"/>
      <c r="I351" s="4">
        <v>44755</v>
      </c>
      <c r="J351" s="2" t="s">
        <v>13</v>
      </c>
      <c r="K351" s="2" t="s">
        <v>93</v>
      </c>
      <c r="L351" s="2" t="s">
        <v>94</v>
      </c>
      <c r="M351" s="2" t="s">
        <v>24</v>
      </c>
    </row>
    <row r="352" spans="1:13" x14ac:dyDescent="0.3">
      <c r="A352" s="2" t="str">
        <f>HYPERLINK("https://hsdes.intel.com/resource/14013162897","14013162897")</f>
        <v>14013162897</v>
      </c>
      <c r="B352" s="2" t="s">
        <v>624</v>
      </c>
      <c r="C352" s="2" t="s">
        <v>541</v>
      </c>
      <c r="D352" s="2" t="s">
        <v>625</v>
      </c>
      <c r="E352" s="2" t="s">
        <v>342</v>
      </c>
      <c r="F352" s="2"/>
      <c r="G352" s="2" t="s">
        <v>543</v>
      </c>
      <c r="H352" s="2"/>
      <c r="I352" s="4">
        <v>44755</v>
      </c>
      <c r="J352" s="2" t="s">
        <v>13</v>
      </c>
      <c r="K352" s="2" t="s">
        <v>93</v>
      </c>
      <c r="L352" s="2" t="s">
        <v>94</v>
      </c>
      <c r="M352" s="2" t="s">
        <v>24</v>
      </c>
    </row>
    <row r="353" spans="1:13" x14ac:dyDescent="0.3">
      <c r="A353" s="2" t="str">
        <f>HYPERLINK("https://hsdes.intel.com/resource/14013163811","14013163811")</f>
        <v>14013163811</v>
      </c>
      <c r="B353" s="2" t="s">
        <v>626</v>
      </c>
      <c r="C353" s="2" t="s">
        <v>541</v>
      </c>
      <c r="D353" s="2" t="s">
        <v>627</v>
      </c>
      <c r="E353" s="2" t="s">
        <v>342</v>
      </c>
      <c r="F353" s="2"/>
      <c r="G353" s="2" t="s">
        <v>543</v>
      </c>
      <c r="H353" s="2"/>
      <c r="I353" s="4">
        <v>44755</v>
      </c>
      <c r="J353" s="2" t="s">
        <v>13</v>
      </c>
      <c r="K353" s="2" t="s">
        <v>93</v>
      </c>
      <c r="L353" s="2" t="s">
        <v>94</v>
      </c>
      <c r="M353" s="2" t="s">
        <v>16</v>
      </c>
    </row>
    <row r="354" spans="1:13" x14ac:dyDescent="0.3">
      <c r="A354" s="2" t="str">
        <f>HYPERLINK("https://hsdes.intel.com/resource/14013163952","14013163952")</f>
        <v>14013163952</v>
      </c>
      <c r="B354" s="2" t="s">
        <v>101</v>
      </c>
      <c r="C354" s="2" t="s">
        <v>541</v>
      </c>
      <c r="D354" s="2" t="s">
        <v>102</v>
      </c>
      <c r="E354" s="2" t="s">
        <v>470</v>
      </c>
      <c r="F354" s="2" t="s">
        <v>628</v>
      </c>
      <c r="G354" s="2" t="s">
        <v>345</v>
      </c>
      <c r="H354" s="2" t="s">
        <v>3609</v>
      </c>
      <c r="I354" s="4">
        <v>44764</v>
      </c>
      <c r="J354" s="2" t="s">
        <v>13</v>
      </c>
      <c r="K354" s="2" t="s">
        <v>33</v>
      </c>
      <c r="L354" s="2" t="s">
        <v>34</v>
      </c>
      <c r="M354" s="2" t="s">
        <v>16</v>
      </c>
    </row>
    <row r="355" spans="1:13" x14ac:dyDescent="0.3">
      <c r="A355" s="2" t="str">
        <f>HYPERLINK("https://hsdes.intel.com/resource/14013164076","14013164076")</f>
        <v>14013164076</v>
      </c>
      <c r="B355" s="2" t="s">
        <v>629</v>
      </c>
      <c r="C355" s="2" t="s">
        <v>541</v>
      </c>
      <c r="D355" s="2" t="s">
        <v>630</v>
      </c>
      <c r="E355" s="2" t="s">
        <v>342</v>
      </c>
      <c r="F355" s="2"/>
      <c r="G355" s="2" t="s">
        <v>543</v>
      </c>
      <c r="H355" s="2"/>
      <c r="I355" s="4">
        <v>44755</v>
      </c>
      <c r="J355" s="2" t="s">
        <v>13</v>
      </c>
      <c r="K355" s="2" t="s">
        <v>93</v>
      </c>
      <c r="L355" s="2" t="s">
        <v>94</v>
      </c>
      <c r="M355" s="2" t="s">
        <v>16</v>
      </c>
    </row>
    <row r="356" spans="1:13" x14ac:dyDescent="0.3">
      <c r="A356" s="2" t="str">
        <f>HYPERLINK("https://hsdes.intel.com/resource/14013164275","14013164275")</f>
        <v>14013164275</v>
      </c>
      <c r="B356" s="2" t="s">
        <v>631</v>
      </c>
      <c r="C356" s="2" t="s">
        <v>541</v>
      </c>
      <c r="D356" s="2" t="s">
        <v>632</v>
      </c>
      <c r="E356" s="2" t="s">
        <v>342</v>
      </c>
      <c r="F356" s="2"/>
      <c r="G356" s="2" t="s">
        <v>543</v>
      </c>
      <c r="H356" s="2"/>
      <c r="I356" s="4">
        <v>44756</v>
      </c>
      <c r="J356" s="2" t="s">
        <v>13</v>
      </c>
      <c r="K356" s="2" t="s">
        <v>93</v>
      </c>
      <c r="L356" s="2" t="s">
        <v>94</v>
      </c>
      <c r="M356" s="2" t="s">
        <v>16</v>
      </c>
    </row>
    <row r="357" spans="1:13" x14ac:dyDescent="0.3">
      <c r="A357" s="2" t="str">
        <f>HYPERLINK("https://hsdes.intel.com/resource/14013164390","14013164390")</f>
        <v>14013164390</v>
      </c>
      <c r="B357" s="2" t="s">
        <v>633</v>
      </c>
      <c r="C357" s="2" t="s">
        <v>541</v>
      </c>
      <c r="D357" s="2" t="s">
        <v>634</v>
      </c>
      <c r="E357" s="2" t="s">
        <v>342</v>
      </c>
      <c r="F357" s="2"/>
      <c r="G357" s="2" t="s">
        <v>543</v>
      </c>
      <c r="H357" s="2"/>
      <c r="I357" s="4">
        <v>44755</v>
      </c>
      <c r="J357" s="2" t="s">
        <v>13</v>
      </c>
      <c r="K357" s="2" t="s">
        <v>93</v>
      </c>
      <c r="L357" s="2" t="s">
        <v>94</v>
      </c>
      <c r="M357" s="2" t="s">
        <v>24</v>
      </c>
    </row>
    <row r="358" spans="1:13" x14ac:dyDescent="0.3">
      <c r="A358" s="2" t="str">
        <f>HYPERLINK("https://hsdes.intel.com/resource/14013165066","14013165066")</f>
        <v>14013165066</v>
      </c>
      <c r="B358" s="2" t="s">
        <v>635</v>
      </c>
      <c r="C358" s="2" t="s">
        <v>541</v>
      </c>
      <c r="D358" s="2" t="s">
        <v>636</v>
      </c>
      <c r="E358" s="2" t="s">
        <v>342</v>
      </c>
      <c r="F358" s="2"/>
      <c r="G358" s="2" t="s">
        <v>543</v>
      </c>
      <c r="H358" s="2"/>
      <c r="I358" s="4">
        <v>44755</v>
      </c>
      <c r="J358" s="2" t="s">
        <v>13</v>
      </c>
      <c r="K358" s="2" t="s">
        <v>93</v>
      </c>
      <c r="L358" s="2" t="s">
        <v>94</v>
      </c>
      <c r="M358" s="2" t="s">
        <v>16</v>
      </c>
    </row>
    <row r="359" spans="1:13" x14ac:dyDescent="0.3">
      <c r="A359" s="2" t="str">
        <f>HYPERLINK("https://hsdes.intel.com/resource/14013167005","14013167005")</f>
        <v>14013167005</v>
      </c>
      <c r="B359" s="2" t="s">
        <v>637</v>
      </c>
      <c r="C359" s="2" t="s">
        <v>541</v>
      </c>
      <c r="D359" s="2" t="s">
        <v>638</v>
      </c>
      <c r="E359" s="2" t="s">
        <v>342</v>
      </c>
      <c r="F359" s="2" t="s">
        <v>66</v>
      </c>
      <c r="G359" s="2" t="s">
        <v>349</v>
      </c>
      <c r="H359" s="2"/>
      <c r="I359" s="4">
        <v>44756</v>
      </c>
      <c r="J359" s="2" t="s">
        <v>13</v>
      </c>
      <c r="K359" s="2" t="s">
        <v>639</v>
      </c>
      <c r="L359" s="2" t="s">
        <v>110</v>
      </c>
      <c r="M359" s="2" t="s">
        <v>16</v>
      </c>
    </row>
    <row r="360" spans="1:13" x14ac:dyDescent="0.3">
      <c r="A360" s="2" t="str">
        <f>HYPERLINK("https://hsdes.intel.com/resource/14013167036","14013167036")</f>
        <v>14013167036</v>
      </c>
      <c r="B360" s="2" t="s">
        <v>640</v>
      </c>
      <c r="C360" s="2" t="s">
        <v>541</v>
      </c>
      <c r="D360" s="2" t="s">
        <v>641</v>
      </c>
      <c r="E360" s="2" t="s">
        <v>37</v>
      </c>
      <c r="F360" s="2" t="s">
        <v>642</v>
      </c>
      <c r="G360" s="2" t="s">
        <v>349</v>
      </c>
      <c r="H360" s="2"/>
      <c r="I360" s="4">
        <v>44756</v>
      </c>
      <c r="J360" s="2" t="s">
        <v>13</v>
      </c>
      <c r="K360" s="2" t="s">
        <v>639</v>
      </c>
      <c r="L360" s="2" t="s">
        <v>110</v>
      </c>
      <c r="M360" s="2" t="s">
        <v>16</v>
      </c>
    </row>
    <row r="361" spans="1:13" x14ac:dyDescent="0.3">
      <c r="A361" s="5" t="str">
        <f>HYPERLINK("https://hsdes.intel.com/resource/14013167072","14013167072")</f>
        <v>14013167072</v>
      </c>
      <c r="B361" s="2" t="s">
        <v>643</v>
      </c>
      <c r="C361" s="2" t="s">
        <v>541</v>
      </c>
      <c r="D361" s="2" t="s">
        <v>644</v>
      </c>
      <c r="E361" s="2" t="s">
        <v>342</v>
      </c>
      <c r="F361" s="2"/>
      <c r="G361" s="2" t="s">
        <v>543</v>
      </c>
      <c r="H361" s="2"/>
      <c r="I361" s="4">
        <v>44757</v>
      </c>
      <c r="J361" s="2" t="s">
        <v>13</v>
      </c>
      <c r="K361" s="2" t="s">
        <v>639</v>
      </c>
      <c r="L361" s="2" t="s">
        <v>110</v>
      </c>
      <c r="M361" s="2" t="s">
        <v>16</v>
      </c>
    </row>
    <row r="362" spans="1:13" x14ac:dyDescent="0.3">
      <c r="A362" s="5" t="str">
        <f>HYPERLINK("https://hsdes.intel.com/resource/14013167109","14013167109")</f>
        <v>14013167109</v>
      </c>
      <c r="B362" s="2" t="s">
        <v>645</v>
      </c>
      <c r="C362" s="2" t="s">
        <v>541</v>
      </c>
      <c r="D362" s="2" t="s">
        <v>646</v>
      </c>
      <c r="E362" s="2" t="s">
        <v>37</v>
      </c>
      <c r="F362" s="2" t="s">
        <v>642</v>
      </c>
      <c r="G362" s="2"/>
      <c r="H362" s="2"/>
      <c r="I362" s="2"/>
      <c r="J362" s="2" t="s">
        <v>13</v>
      </c>
      <c r="K362" s="2" t="s">
        <v>639</v>
      </c>
      <c r="L362" s="2" t="s">
        <v>110</v>
      </c>
      <c r="M362" s="2" t="s">
        <v>21</v>
      </c>
    </row>
    <row r="363" spans="1:13" x14ac:dyDescent="0.3">
      <c r="A363" s="2" t="str">
        <f>HYPERLINK("https://hsdes.intel.com/resource/14013167560","14013167560")</f>
        <v>14013167560</v>
      </c>
      <c r="B363" s="2" t="s">
        <v>647</v>
      </c>
      <c r="C363" s="2" t="s">
        <v>541</v>
      </c>
      <c r="D363" s="2" t="s">
        <v>648</v>
      </c>
      <c r="E363" s="2" t="s">
        <v>342</v>
      </c>
      <c r="F363" s="2"/>
      <c r="G363" s="2" t="s">
        <v>543</v>
      </c>
      <c r="H363" s="2"/>
      <c r="I363" s="4">
        <v>44757</v>
      </c>
      <c r="J363" s="2" t="s">
        <v>13</v>
      </c>
      <c r="K363" s="2" t="s">
        <v>639</v>
      </c>
      <c r="L363" s="2" t="s">
        <v>110</v>
      </c>
      <c r="M363" s="2" t="s">
        <v>21</v>
      </c>
    </row>
    <row r="364" spans="1:13" x14ac:dyDescent="0.3">
      <c r="A364" s="2" t="str">
        <f>HYPERLINK("https://hsdes.intel.com/resource/14013168340","14013168340")</f>
        <v>14013168340</v>
      </c>
      <c r="B364" s="2" t="s">
        <v>649</v>
      </c>
      <c r="C364" s="2" t="s">
        <v>541</v>
      </c>
      <c r="D364" s="2" t="s">
        <v>650</v>
      </c>
      <c r="E364" s="2" t="s">
        <v>342</v>
      </c>
      <c r="F364" s="2"/>
      <c r="G364" s="2" t="s">
        <v>651</v>
      </c>
      <c r="H364" s="2"/>
      <c r="I364" s="4">
        <v>44755</v>
      </c>
      <c r="J364" s="2" t="s">
        <v>13</v>
      </c>
      <c r="K364" s="2" t="s">
        <v>45</v>
      </c>
      <c r="L364" s="2" t="s">
        <v>110</v>
      </c>
      <c r="M364" s="2" t="s">
        <v>16</v>
      </c>
    </row>
    <row r="365" spans="1:13" x14ac:dyDescent="0.3">
      <c r="A365" s="2" t="str">
        <f>HYPERLINK("https://hsdes.intel.com/resource/14013168846","14013168846")</f>
        <v>14013168846</v>
      </c>
      <c r="B365" s="2" t="s">
        <v>103</v>
      </c>
      <c r="C365" s="2" t="s">
        <v>541</v>
      </c>
      <c r="D365" s="2" t="s">
        <v>104</v>
      </c>
      <c r="E365" s="2" t="s">
        <v>342</v>
      </c>
      <c r="F365" s="2"/>
      <c r="G365" s="2" t="s">
        <v>651</v>
      </c>
      <c r="H365" s="2"/>
      <c r="I365" s="4">
        <v>44755</v>
      </c>
      <c r="J365" s="2" t="s">
        <v>13</v>
      </c>
      <c r="K365" s="2" t="s">
        <v>105</v>
      </c>
      <c r="L365" s="2" t="s">
        <v>106</v>
      </c>
      <c r="M365" s="2" t="s">
        <v>24</v>
      </c>
    </row>
    <row r="366" spans="1:13" x14ac:dyDescent="0.3">
      <c r="A366" s="2" t="str">
        <f>HYPERLINK("https://hsdes.intel.com/resource/14013168950","14013168950")</f>
        <v>14013168950</v>
      </c>
      <c r="B366" s="2" t="s">
        <v>107</v>
      </c>
      <c r="C366" s="2" t="s">
        <v>541</v>
      </c>
      <c r="D366" s="2" t="s">
        <v>108</v>
      </c>
      <c r="E366" s="2" t="s">
        <v>342</v>
      </c>
      <c r="F366" s="2"/>
      <c r="G366" s="2" t="s">
        <v>543</v>
      </c>
      <c r="H366" s="2"/>
      <c r="I366" s="4">
        <v>44764</v>
      </c>
      <c r="J366" s="2" t="s">
        <v>13</v>
      </c>
      <c r="K366" s="2" t="s">
        <v>105</v>
      </c>
      <c r="L366" s="2" t="s">
        <v>110</v>
      </c>
      <c r="M366" s="2" t="s">
        <v>24</v>
      </c>
    </row>
    <row r="367" spans="1:13" x14ac:dyDescent="0.3">
      <c r="A367" s="2" t="str">
        <f>HYPERLINK("https://hsdes.intel.com/resource/14013169130","14013169130")</f>
        <v>14013169130</v>
      </c>
      <c r="B367" s="2" t="s">
        <v>111</v>
      </c>
      <c r="C367" s="2" t="s">
        <v>541</v>
      </c>
      <c r="D367" s="2" t="s">
        <v>112</v>
      </c>
      <c r="E367" s="2" t="s">
        <v>342</v>
      </c>
      <c r="F367" s="2"/>
      <c r="G367" s="2" t="s">
        <v>543</v>
      </c>
      <c r="H367" s="2"/>
      <c r="I367" s="4">
        <v>44764</v>
      </c>
      <c r="J367" s="2" t="s">
        <v>13</v>
      </c>
      <c r="K367" s="2" t="s">
        <v>105</v>
      </c>
      <c r="L367" s="2" t="s">
        <v>110</v>
      </c>
      <c r="M367" s="2" t="s">
        <v>24</v>
      </c>
    </row>
    <row r="368" spans="1:13" x14ac:dyDescent="0.3">
      <c r="A368" s="2" t="str">
        <f>HYPERLINK("https://hsdes.intel.com/resource/14013173139","14013173139")</f>
        <v>14013173139</v>
      </c>
      <c r="B368" s="2" t="s">
        <v>652</v>
      </c>
      <c r="C368" s="2" t="s">
        <v>541</v>
      </c>
      <c r="D368" s="2" t="s">
        <v>653</v>
      </c>
      <c r="E368" s="2" t="s">
        <v>342</v>
      </c>
      <c r="F368" s="2" t="s">
        <v>654</v>
      </c>
      <c r="G368" s="2" t="s">
        <v>651</v>
      </c>
      <c r="H368" s="2"/>
      <c r="I368" s="4">
        <v>44755</v>
      </c>
      <c r="J368" s="2" t="s">
        <v>13</v>
      </c>
      <c r="K368" s="2" t="s">
        <v>45</v>
      </c>
      <c r="L368" s="2" t="s">
        <v>291</v>
      </c>
      <c r="M368" s="2" t="s">
        <v>16</v>
      </c>
    </row>
    <row r="369" spans="1:13" x14ac:dyDescent="0.3">
      <c r="A369" s="2" t="str">
        <f>HYPERLINK("https://hsdes.intel.com/resource/14013173153","14013173153")</f>
        <v>14013173153</v>
      </c>
      <c r="B369" s="2" t="s">
        <v>655</v>
      </c>
      <c r="C369" s="2" t="s">
        <v>541</v>
      </c>
      <c r="D369" s="2" t="s">
        <v>656</v>
      </c>
      <c r="E369" s="2" t="s">
        <v>342</v>
      </c>
      <c r="F369" s="2"/>
      <c r="G369" s="2" t="s">
        <v>84</v>
      </c>
      <c r="H369" s="2"/>
      <c r="I369" s="4">
        <v>44755</v>
      </c>
      <c r="J369" s="2" t="s">
        <v>13</v>
      </c>
      <c r="K369" s="2" t="s">
        <v>45</v>
      </c>
      <c r="L369" s="2" t="s">
        <v>581</v>
      </c>
      <c r="M369" s="2" t="s">
        <v>16</v>
      </c>
    </row>
    <row r="370" spans="1:13" x14ac:dyDescent="0.3">
      <c r="A370" s="2" t="str">
        <f>HYPERLINK("https://hsdes.intel.com/resource/14013173298","14013173298")</f>
        <v>14013173298</v>
      </c>
      <c r="B370" s="2" t="s">
        <v>657</v>
      </c>
      <c r="C370" s="2" t="s">
        <v>541</v>
      </c>
      <c r="D370" s="2" t="s">
        <v>658</v>
      </c>
      <c r="E370" s="2" t="s">
        <v>342</v>
      </c>
      <c r="F370" s="2" t="s">
        <v>659</v>
      </c>
      <c r="G370" s="2" t="s">
        <v>543</v>
      </c>
      <c r="H370" s="2"/>
      <c r="I370" s="4">
        <v>44757</v>
      </c>
      <c r="J370" s="2" t="s">
        <v>13</v>
      </c>
      <c r="K370" s="2" t="s">
        <v>523</v>
      </c>
      <c r="L370" s="2" t="s">
        <v>660</v>
      </c>
      <c r="M370" s="2" t="s">
        <v>24</v>
      </c>
    </row>
    <row r="371" spans="1:13" x14ac:dyDescent="0.3">
      <c r="A371" s="2" t="str">
        <f>HYPERLINK("https://hsdes.intel.com/resource/14013174002","14013174002")</f>
        <v>14013174002</v>
      </c>
      <c r="B371" s="2" t="s">
        <v>115</v>
      </c>
      <c r="C371" s="2" t="s">
        <v>541</v>
      </c>
      <c r="D371" s="2" t="s">
        <v>116</v>
      </c>
      <c r="E371" s="2" t="s">
        <v>342</v>
      </c>
      <c r="F371" s="2"/>
      <c r="G371" s="2" t="s">
        <v>543</v>
      </c>
      <c r="H371" s="2"/>
      <c r="I371" s="4">
        <v>44757</v>
      </c>
      <c r="J371" s="2" t="s">
        <v>13</v>
      </c>
      <c r="K371" s="2" t="s">
        <v>33</v>
      </c>
      <c r="L371" s="2" t="s">
        <v>29</v>
      </c>
      <c r="M371" s="2" t="s">
        <v>24</v>
      </c>
    </row>
    <row r="372" spans="1:13" x14ac:dyDescent="0.3">
      <c r="A372" s="2" t="str">
        <f>HYPERLINK("https://hsdes.intel.com/resource/14013174027","14013174027")</f>
        <v>14013174027</v>
      </c>
      <c r="B372" s="2" t="s">
        <v>117</v>
      </c>
      <c r="C372" s="2" t="s">
        <v>541</v>
      </c>
      <c r="D372" s="2" t="s">
        <v>118</v>
      </c>
      <c r="E372" s="2" t="s">
        <v>342</v>
      </c>
      <c r="F372" s="2"/>
      <c r="G372" s="2" t="s">
        <v>543</v>
      </c>
      <c r="H372" s="2"/>
      <c r="I372" s="4">
        <v>44757</v>
      </c>
      <c r="J372" s="2" t="s">
        <v>13</v>
      </c>
      <c r="K372" s="2" t="s">
        <v>33</v>
      </c>
      <c r="L372" s="2" t="s">
        <v>29</v>
      </c>
      <c r="M372" s="2" t="s">
        <v>16</v>
      </c>
    </row>
    <row r="373" spans="1:13" x14ac:dyDescent="0.3">
      <c r="A373" s="2" t="str">
        <f>HYPERLINK("https://hsdes.intel.com/resource/14013174046","14013174046")</f>
        <v>14013174046</v>
      </c>
      <c r="B373" s="2" t="s">
        <v>119</v>
      </c>
      <c r="C373" s="2" t="s">
        <v>541</v>
      </c>
      <c r="D373" s="2" t="s">
        <v>120</v>
      </c>
      <c r="E373" t="s">
        <v>342</v>
      </c>
      <c r="F373" s="2"/>
      <c r="G373" s="2" t="s">
        <v>363</v>
      </c>
      <c r="H373" s="2"/>
      <c r="I373" s="4">
        <v>44762</v>
      </c>
      <c r="J373" s="2" t="s">
        <v>13</v>
      </c>
      <c r="K373" s="2" t="s">
        <v>33</v>
      </c>
      <c r="L373" s="2" t="s">
        <v>29</v>
      </c>
      <c r="M373" s="2" t="s">
        <v>16</v>
      </c>
    </row>
    <row r="374" spans="1:13" ht="16.8" x14ac:dyDescent="0.4">
      <c r="A374" s="2" t="str">
        <f>HYPERLINK("https://hsdes.intel.com/resource/14013174100","14013174100")</f>
        <v>14013174100</v>
      </c>
      <c r="B374" s="2" t="s">
        <v>125</v>
      </c>
      <c r="C374" s="2" t="s">
        <v>541</v>
      </c>
      <c r="D374" s="2" t="s">
        <v>126</v>
      </c>
      <c r="E374" s="2" t="s">
        <v>405</v>
      </c>
      <c r="F374" s="16" t="s">
        <v>661</v>
      </c>
      <c r="G374" s="2" t="s">
        <v>363</v>
      </c>
      <c r="H374" s="2"/>
      <c r="I374" s="4">
        <v>44762</v>
      </c>
      <c r="J374" s="2" t="s">
        <v>13</v>
      </c>
      <c r="K374" s="2" t="s">
        <v>28</v>
      </c>
      <c r="L374" s="2" t="s">
        <v>29</v>
      </c>
      <c r="M374" s="2" t="s">
        <v>16</v>
      </c>
    </row>
    <row r="375" spans="1:13" x14ac:dyDescent="0.3">
      <c r="A375" s="2" t="str">
        <f>HYPERLINK("https://hsdes.intel.com/resource/14013174151","14013174151")</f>
        <v>14013174151</v>
      </c>
      <c r="B375" s="2" t="s">
        <v>128</v>
      </c>
      <c r="C375" s="2" t="s">
        <v>541</v>
      </c>
      <c r="D375" s="2" t="s">
        <v>129</v>
      </c>
      <c r="E375" s="2" t="s">
        <v>405</v>
      </c>
      <c r="F375" s="2" t="s">
        <v>661</v>
      </c>
      <c r="G375" s="2" t="s">
        <v>662</v>
      </c>
      <c r="H375" s="2"/>
      <c r="I375" s="4">
        <v>44756</v>
      </c>
      <c r="J375" s="2" t="s">
        <v>13</v>
      </c>
      <c r="K375" s="2" t="s">
        <v>28</v>
      </c>
      <c r="L375" s="2" t="s">
        <v>29</v>
      </c>
      <c r="M375" s="2" t="s">
        <v>24</v>
      </c>
    </row>
    <row r="376" spans="1:13" x14ac:dyDescent="0.3">
      <c r="A376" s="2" t="str">
        <f>HYPERLINK("https://hsdes.intel.com/resource/14013174153","14013174153")</f>
        <v>14013174153</v>
      </c>
      <c r="B376" s="2" t="s">
        <v>130</v>
      </c>
      <c r="C376" s="2" t="s">
        <v>541</v>
      </c>
      <c r="D376" s="2" t="s">
        <v>131</v>
      </c>
      <c r="E376" s="2" t="s">
        <v>405</v>
      </c>
      <c r="F376" s="2" t="s">
        <v>661</v>
      </c>
      <c r="G376" s="2" t="s">
        <v>662</v>
      </c>
      <c r="H376" s="2"/>
      <c r="I376" s="4">
        <v>44756</v>
      </c>
      <c r="J376" s="2" t="s">
        <v>13</v>
      </c>
      <c r="K376" s="2" t="s">
        <v>28</v>
      </c>
      <c r="L376" s="2" t="s">
        <v>29</v>
      </c>
      <c r="M376" s="2" t="s">
        <v>16</v>
      </c>
    </row>
    <row r="377" spans="1:13" x14ac:dyDescent="0.3">
      <c r="A377" s="2" t="str">
        <f>HYPERLINK("https://hsdes.intel.com/resource/14013176172","14013176172")</f>
        <v>14013176172</v>
      </c>
      <c r="B377" s="2" t="s">
        <v>153</v>
      </c>
      <c r="C377" s="2" t="s">
        <v>541</v>
      </c>
      <c r="D377" s="2" t="s">
        <v>154</v>
      </c>
      <c r="E377" s="2" t="s">
        <v>342</v>
      </c>
      <c r="F377" s="2"/>
      <c r="G377" s="2" t="s">
        <v>345</v>
      </c>
      <c r="H377" s="2"/>
      <c r="I377" s="4">
        <v>44762</v>
      </c>
      <c r="J377" s="2" t="s">
        <v>13</v>
      </c>
      <c r="K377" s="2" t="s">
        <v>33</v>
      </c>
      <c r="L377" s="2" t="s">
        <v>34</v>
      </c>
      <c r="M377" s="2" t="s">
        <v>16</v>
      </c>
    </row>
    <row r="378" spans="1:13" x14ac:dyDescent="0.3">
      <c r="A378" s="2" t="str">
        <f>HYPERLINK("https://hsdes.intel.com/resource/14013176273","14013176273")</f>
        <v>14013176273</v>
      </c>
      <c r="B378" s="2" t="s">
        <v>663</v>
      </c>
      <c r="C378" s="2" t="s">
        <v>541</v>
      </c>
      <c r="D378" s="2" t="s">
        <v>664</v>
      </c>
      <c r="E378" s="2" t="s">
        <v>342</v>
      </c>
      <c r="F378" s="2"/>
      <c r="G378" s="2" t="s">
        <v>543</v>
      </c>
      <c r="H378" s="2"/>
      <c r="I378" s="4">
        <v>44756</v>
      </c>
      <c r="J378" s="2" t="s">
        <v>192</v>
      </c>
      <c r="K378" s="2" t="s">
        <v>93</v>
      </c>
      <c r="L378" s="2" t="s">
        <v>94</v>
      </c>
      <c r="M378" s="2" t="s">
        <v>16</v>
      </c>
    </row>
    <row r="379" spans="1:13" x14ac:dyDescent="0.3">
      <c r="A379" s="2" t="str">
        <f>HYPERLINK("https://hsdes.intel.com/resource/14013176478","14013176478")</f>
        <v>14013176478</v>
      </c>
      <c r="B379" s="2" t="s">
        <v>665</v>
      </c>
      <c r="C379" s="2" t="s">
        <v>541</v>
      </c>
      <c r="D379" s="2" t="s">
        <v>666</v>
      </c>
      <c r="E379" s="2" t="s">
        <v>342</v>
      </c>
      <c r="F379" s="2"/>
      <c r="G379" s="2" t="s">
        <v>543</v>
      </c>
      <c r="H379" s="2"/>
      <c r="I379" s="4">
        <v>44755</v>
      </c>
      <c r="J379" s="2" t="s">
        <v>13</v>
      </c>
      <c r="K379" s="2" t="s">
        <v>93</v>
      </c>
      <c r="L379" s="2" t="s">
        <v>94</v>
      </c>
      <c r="M379" s="2" t="s">
        <v>16</v>
      </c>
    </row>
    <row r="380" spans="1:13" x14ac:dyDescent="0.3">
      <c r="A380" s="2" t="str">
        <f>HYPERLINK("https://hsdes.intel.com/resource/14013176485","14013176485")</f>
        <v>14013176485</v>
      </c>
      <c r="B380" s="2" t="s">
        <v>667</v>
      </c>
      <c r="C380" s="2" t="s">
        <v>541</v>
      </c>
      <c r="D380" s="2" t="s">
        <v>668</v>
      </c>
      <c r="E380" s="2" t="s">
        <v>342</v>
      </c>
      <c r="F380" s="2" t="s">
        <v>669</v>
      </c>
      <c r="G380" s="2" t="s">
        <v>543</v>
      </c>
      <c r="H380" s="2"/>
      <c r="I380" s="4">
        <v>44755</v>
      </c>
      <c r="J380" s="2" t="s">
        <v>13</v>
      </c>
      <c r="K380" s="2" t="s">
        <v>157</v>
      </c>
      <c r="L380" s="2" t="s">
        <v>158</v>
      </c>
      <c r="M380" s="2" t="s">
        <v>16</v>
      </c>
    </row>
    <row r="381" spans="1:13" x14ac:dyDescent="0.3">
      <c r="A381" s="2" t="str">
        <f>HYPERLINK("https://hsdes.intel.com/resource/14013176742","14013176742")</f>
        <v>14013176742</v>
      </c>
      <c r="B381" s="2" t="s">
        <v>403</v>
      </c>
      <c r="C381" s="2" t="s">
        <v>541</v>
      </c>
      <c r="D381" s="2" t="s">
        <v>404</v>
      </c>
      <c r="E381" s="2" t="s">
        <v>342</v>
      </c>
      <c r="F381" s="2"/>
      <c r="G381" s="2" t="s">
        <v>543</v>
      </c>
      <c r="H381" s="2"/>
      <c r="I381" s="4">
        <v>44755</v>
      </c>
      <c r="J381" s="2" t="s">
        <v>13</v>
      </c>
      <c r="K381" s="2" t="s">
        <v>157</v>
      </c>
      <c r="L381" s="2" t="s">
        <v>158</v>
      </c>
      <c r="M381" s="2" t="s">
        <v>24</v>
      </c>
    </row>
    <row r="382" spans="1:13" x14ac:dyDescent="0.3">
      <c r="A382" s="2" t="str">
        <f>HYPERLINK("https://hsdes.intel.com/resource/14013177021","14013177021")</f>
        <v>14013177021</v>
      </c>
      <c r="B382" s="2" t="s">
        <v>407</v>
      </c>
      <c r="C382" s="2" t="s">
        <v>541</v>
      </c>
      <c r="D382" s="2" t="s">
        <v>408</v>
      </c>
      <c r="E382" s="2" t="s">
        <v>342</v>
      </c>
      <c r="F382" s="2"/>
      <c r="G382" s="2" t="s">
        <v>349</v>
      </c>
      <c r="H382" s="2"/>
      <c r="I382" s="4">
        <v>44755</v>
      </c>
      <c r="J382" s="2" t="s">
        <v>13</v>
      </c>
      <c r="K382" s="2" t="s">
        <v>157</v>
      </c>
      <c r="L382" s="2" t="s">
        <v>158</v>
      </c>
      <c r="M382" s="2" t="s">
        <v>21</v>
      </c>
    </row>
    <row r="383" spans="1:13" x14ac:dyDescent="0.3">
      <c r="A383" s="2" t="str">
        <f>HYPERLINK("https://hsdes.intel.com/resource/14013177245","14013177245")</f>
        <v>14013177245</v>
      </c>
      <c r="B383" s="2" t="s">
        <v>670</v>
      </c>
      <c r="C383" s="2" t="s">
        <v>541</v>
      </c>
      <c r="D383" s="2" t="s">
        <v>671</v>
      </c>
      <c r="E383" s="2" t="s">
        <v>342</v>
      </c>
      <c r="F383" s="2"/>
      <c r="G383" s="2" t="s">
        <v>349</v>
      </c>
      <c r="H383" s="2"/>
      <c r="I383" s="4">
        <v>44755</v>
      </c>
      <c r="J383" s="2" t="s">
        <v>192</v>
      </c>
      <c r="K383" s="2" t="s">
        <v>157</v>
      </c>
      <c r="L383" s="2" t="s">
        <v>158</v>
      </c>
      <c r="M383" s="2" t="s">
        <v>24</v>
      </c>
    </row>
    <row r="384" spans="1:13" x14ac:dyDescent="0.3">
      <c r="A384" s="2" t="str">
        <f>HYPERLINK("https://hsdes.intel.com/resource/14013177306","14013177306")</f>
        <v>14013177306</v>
      </c>
      <c r="B384" s="2" t="s">
        <v>672</v>
      </c>
      <c r="C384" s="2" t="s">
        <v>541</v>
      </c>
      <c r="D384" s="2" t="s">
        <v>673</v>
      </c>
      <c r="E384" s="2" t="s">
        <v>674</v>
      </c>
      <c r="F384" s="2" t="s">
        <v>675</v>
      </c>
      <c r="G384" s="2"/>
      <c r="H384" s="2"/>
      <c r="I384" s="2"/>
      <c r="J384" s="2" t="s">
        <v>13</v>
      </c>
      <c r="K384" s="2" t="s">
        <v>157</v>
      </c>
      <c r="L384" s="2" t="s">
        <v>158</v>
      </c>
      <c r="M384" s="2" t="s">
        <v>21</v>
      </c>
    </row>
    <row r="385" spans="1:13" x14ac:dyDescent="0.3">
      <c r="A385" s="2" t="str">
        <f>HYPERLINK("https://hsdes.intel.com/resource/14013177684","14013177684")</f>
        <v>14013177684</v>
      </c>
      <c r="B385" s="2" t="s">
        <v>409</v>
      </c>
      <c r="C385" s="2" t="s">
        <v>541</v>
      </c>
      <c r="D385" s="2" t="s">
        <v>410</v>
      </c>
      <c r="E385" s="2" t="s">
        <v>342</v>
      </c>
      <c r="F385" s="2"/>
      <c r="G385" s="2" t="s">
        <v>349</v>
      </c>
      <c r="H385" s="2"/>
      <c r="I385" s="4">
        <v>44755</v>
      </c>
      <c r="J385" s="2" t="s">
        <v>13</v>
      </c>
      <c r="K385" s="2" t="s">
        <v>157</v>
      </c>
      <c r="L385" s="2" t="s">
        <v>158</v>
      </c>
      <c r="M385" s="2" t="s">
        <v>21</v>
      </c>
    </row>
    <row r="386" spans="1:13" x14ac:dyDescent="0.3">
      <c r="A386" s="2" t="str">
        <f>HYPERLINK("https://hsdes.intel.com/resource/14013177820","14013177820")</f>
        <v>14013177820</v>
      </c>
      <c r="B386" s="2" t="s">
        <v>676</v>
      </c>
      <c r="C386" s="2" t="s">
        <v>541</v>
      </c>
      <c r="D386" s="2" t="s">
        <v>677</v>
      </c>
      <c r="E386" s="2" t="s">
        <v>342</v>
      </c>
      <c r="F386" s="2"/>
      <c r="G386" s="2" t="s">
        <v>349</v>
      </c>
      <c r="H386" s="2"/>
      <c r="I386" s="4">
        <v>44755</v>
      </c>
      <c r="J386" s="2" t="s">
        <v>13</v>
      </c>
      <c r="K386" s="2" t="s">
        <v>157</v>
      </c>
      <c r="L386" s="2" t="s">
        <v>158</v>
      </c>
      <c r="M386" s="2" t="s">
        <v>21</v>
      </c>
    </row>
    <row r="387" spans="1:13" x14ac:dyDescent="0.3">
      <c r="A387" s="2" t="str">
        <f>HYPERLINK("https://hsdes.intel.com/resource/14013177838","14013177838")</f>
        <v>14013177838</v>
      </c>
      <c r="B387" s="2" t="s">
        <v>411</v>
      </c>
      <c r="C387" s="2" t="s">
        <v>541</v>
      </c>
      <c r="D387" s="2" t="s">
        <v>412</v>
      </c>
      <c r="E387" s="2" t="s">
        <v>342</v>
      </c>
      <c r="F387" s="2"/>
      <c r="G387" s="2" t="s">
        <v>543</v>
      </c>
      <c r="H387" s="2"/>
      <c r="I387" s="4">
        <v>44755</v>
      </c>
      <c r="J387" s="2" t="s">
        <v>13</v>
      </c>
      <c r="K387" s="2" t="s">
        <v>157</v>
      </c>
      <c r="L387" s="2" t="s">
        <v>158</v>
      </c>
      <c r="M387" s="2" t="s">
        <v>21</v>
      </c>
    </row>
    <row r="388" spans="1:13" x14ac:dyDescent="0.3">
      <c r="A388" s="2" t="str">
        <f>HYPERLINK("https://hsdes.intel.com/resource/14013177842","14013177842")</f>
        <v>14013177842</v>
      </c>
      <c r="B388" s="2" t="s">
        <v>678</v>
      </c>
      <c r="C388" s="2" t="s">
        <v>541</v>
      </c>
      <c r="D388" s="2" t="s">
        <v>679</v>
      </c>
      <c r="E388" s="2" t="s">
        <v>37</v>
      </c>
      <c r="F388" s="2"/>
      <c r="G388" s="2"/>
      <c r="H388" s="2"/>
      <c r="I388" s="4"/>
      <c r="J388" s="2" t="s">
        <v>13</v>
      </c>
      <c r="K388" s="2" t="s">
        <v>157</v>
      </c>
      <c r="L388" s="2" t="s">
        <v>158</v>
      </c>
      <c r="M388" s="2" t="s">
        <v>21</v>
      </c>
    </row>
    <row r="389" spans="1:13" x14ac:dyDescent="0.3">
      <c r="A389" s="2" t="str">
        <f>HYPERLINK("https://hsdes.intel.com/resource/14013177887","14013177887")</f>
        <v>14013177887</v>
      </c>
      <c r="B389" s="2" t="s">
        <v>680</v>
      </c>
      <c r="C389" s="2" t="s">
        <v>541</v>
      </c>
      <c r="D389" s="2" t="s">
        <v>681</v>
      </c>
      <c r="E389" s="2" t="s">
        <v>342</v>
      </c>
      <c r="F389" s="2"/>
      <c r="G389" s="2" t="s">
        <v>662</v>
      </c>
      <c r="H389" s="2"/>
      <c r="I389" s="4">
        <v>44755</v>
      </c>
      <c r="J389" s="2" t="s">
        <v>13</v>
      </c>
      <c r="K389" s="2" t="s">
        <v>682</v>
      </c>
      <c r="L389" s="2" t="s">
        <v>29</v>
      </c>
      <c r="M389" s="2" t="s">
        <v>16</v>
      </c>
    </row>
    <row r="390" spans="1:13" x14ac:dyDescent="0.3">
      <c r="A390" s="2" t="str">
        <f>HYPERLINK("https://hsdes.intel.com/resource/14013178043","14013178043")</f>
        <v>14013178043</v>
      </c>
      <c r="B390" s="2" t="s">
        <v>159</v>
      </c>
      <c r="C390" s="2" t="s">
        <v>541</v>
      </c>
      <c r="D390" s="2" t="s">
        <v>160</v>
      </c>
      <c r="E390" s="2" t="s">
        <v>342</v>
      </c>
      <c r="F390" s="2" t="s">
        <v>547</v>
      </c>
      <c r="G390" s="2" t="s">
        <v>345</v>
      </c>
      <c r="H390" s="2"/>
      <c r="I390" s="4">
        <v>44762</v>
      </c>
      <c r="J390" s="2" t="s">
        <v>13</v>
      </c>
      <c r="K390" s="2" t="s">
        <v>33</v>
      </c>
      <c r="L390" s="2" t="s">
        <v>34</v>
      </c>
      <c r="M390" s="2" t="s">
        <v>24</v>
      </c>
    </row>
    <row r="391" spans="1:13" x14ac:dyDescent="0.3">
      <c r="A391" s="2" t="str">
        <f>HYPERLINK("https://hsdes.intel.com/resource/14013178411","14013178411")</f>
        <v>14013178411</v>
      </c>
      <c r="B391" s="2" t="s">
        <v>683</v>
      </c>
      <c r="C391" s="2" t="s">
        <v>541</v>
      </c>
      <c r="D391" s="2" t="s">
        <v>684</v>
      </c>
      <c r="E391" s="2" t="s">
        <v>37</v>
      </c>
      <c r="F391" s="2" t="s">
        <v>642</v>
      </c>
      <c r="G391" s="2"/>
      <c r="H391" s="2"/>
      <c r="I391" s="2"/>
      <c r="J391" s="2" t="s">
        <v>13</v>
      </c>
      <c r="K391" s="2" t="s">
        <v>157</v>
      </c>
      <c r="L391" s="2" t="s">
        <v>158</v>
      </c>
      <c r="M391" s="2" t="s">
        <v>16</v>
      </c>
    </row>
    <row r="392" spans="1:13" x14ac:dyDescent="0.3">
      <c r="A392" s="2" t="str">
        <f>HYPERLINK("https://hsdes.intel.com/resource/14013178862","14013178862")</f>
        <v>14013178862</v>
      </c>
      <c r="B392" s="2" t="s">
        <v>413</v>
      </c>
      <c r="C392" s="2" t="s">
        <v>541</v>
      </c>
      <c r="D392" s="2" t="s">
        <v>414</v>
      </c>
      <c r="E392" s="2" t="s">
        <v>37</v>
      </c>
      <c r="F392" s="2" t="s">
        <v>642</v>
      </c>
      <c r="G392" s="2"/>
      <c r="H392" s="2"/>
      <c r="I392" s="2"/>
      <c r="J392" s="2" t="s">
        <v>13</v>
      </c>
      <c r="K392" s="2" t="s">
        <v>157</v>
      </c>
      <c r="L392" s="2" t="s">
        <v>158</v>
      </c>
      <c r="M392" s="2" t="s">
        <v>21</v>
      </c>
    </row>
    <row r="393" spans="1:13" x14ac:dyDescent="0.3">
      <c r="A393" s="2" t="str">
        <f>HYPERLINK("https://hsdes.intel.com/resource/14013178866","14013178866")</f>
        <v>14013178866</v>
      </c>
      <c r="B393" s="2" t="s">
        <v>685</v>
      </c>
      <c r="C393" s="2" t="s">
        <v>541</v>
      </c>
      <c r="D393" s="2" t="s">
        <v>686</v>
      </c>
      <c r="E393" s="2" t="s">
        <v>37</v>
      </c>
      <c r="F393" s="2" t="s">
        <v>642</v>
      </c>
      <c r="G393" s="2"/>
      <c r="H393" s="2"/>
      <c r="I393" s="2"/>
      <c r="J393" s="2" t="s">
        <v>13</v>
      </c>
      <c r="K393" s="2" t="s">
        <v>157</v>
      </c>
      <c r="L393" s="2" t="s">
        <v>158</v>
      </c>
      <c r="M393" s="2" t="s">
        <v>21</v>
      </c>
    </row>
    <row r="394" spans="1:13" x14ac:dyDescent="0.3">
      <c r="A394" s="2" t="str">
        <f>HYPERLINK("https://hsdes.intel.com/resource/14013178908","14013178908")</f>
        <v>14013178908</v>
      </c>
      <c r="B394" s="2" t="s">
        <v>687</v>
      </c>
      <c r="C394" s="2" t="s">
        <v>541</v>
      </c>
      <c r="D394" s="2" t="s">
        <v>688</v>
      </c>
      <c r="E394" s="2" t="s">
        <v>342</v>
      </c>
      <c r="F394" s="2"/>
      <c r="G394" s="2" t="s">
        <v>543</v>
      </c>
      <c r="H394" s="2"/>
      <c r="I394" s="4">
        <v>44756</v>
      </c>
      <c r="J394" s="2" t="s">
        <v>13</v>
      </c>
      <c r="K394" s="2" t="s">
        <v>93</v>
      </c>
      <c r="L394" s="2" t="s">
        <v>94</v>
      </c>
      <c r="M394" s="2" t="s">
        <v>24</v>
      </c>
    </row>
    <row r="395" spans="1:13" x14ac:dyDescent="0.3">
      <c r="A395" s="2" t="str">
        <f>HYPERLINK("https://hsdes.intel.com/resource/14013178913","14013178913")</f>
        <v>14013178913</v>
      </c>
      <c r="B395" s="2" t="s">
        <v>689</v>
      </c>
      <c r="C395" s="2" t="s">
        <v>541</v>
      </c>
      <c r="D395" s="2" t="s">
        <v>690</v>
      </c>
      <c r="E395" s="2" t="s">
        <v>37</v>
      </c>
      <c r="F395" s="2"/>
      <c r="G395" s="2"/>
      <c r="H395" s="2"/>
      <c r="I395" s="2"/>
      <c r="J395" s="2" t="s">
        <v>13</v>
      </c>
      <c r="K395" s="2" t="s">
        <v>93</v>
      </c>
      <c r="L395" s="2" t="s">
        <v>94</v>
      </c>
      <c r="M395" s="2" t="s">
        <v>16</v>
      </c>
    </row>
    <row r="396" spans="1:13" x14ac:dyDescent="0.3">
      <c r="A396" s="2" t="str">
        <f>HYPERLINK("https://hsdes.intel.com/resource/14013178916","14013178916")</f>
        <v>14013178916</v>
      </c>
      <c r="B396" s="2" t="s">
        <v>691</v>
      </c>
      <c r="C396" s="2" t="s">
        <v>541</v>
      </c>
      <c r="D396" s="2" t="s">
        <v>692</v>
      </c>
      <c r="E396" s="2" t="s">
        <v>342</v>
      </c>
      <c r="F396" s="2"/>
      <c r="G396" s="2" t="s">
        <v>543</v>
      </c>
      <c r="H396" s="2"/>
      <c r="I396" s="4">
        <v>44755</v>
      </c>
      <c r="J396" s="2" t="s">
        <v>13</v>
      </c>
      <c r="K396" s="2" t="s">
        <v>93</v>
      </c>
      <c r="L396" s="2" t="s">
        <v>94</v>
      </c>
      <c r="M396" s="2" t="s">
        <v>16</v>
      </c>
    </row>
    <row r="397" spans="1:13" x14ac:dyDescent="0.3">
      <c r="A397" s="2" t="str">
        <f>HYPERLINK("https://hsdes.intel.com/resource/14013179066","14013179066")</f>
        <v>14013179066</v>
      </c>
      <c r="B397" s="2" t="s">
        <v>693</v>
      </c>
      <c r="C397" s="2" t="s">
        <v>541</v>
      </c>
      <c r="D397" s="2" t="s">
        <v>694</v>
      </c>
      <c r="E397" s="2" t="s">
        <v>342</v>
      </c>
      <c r="F397" s="2"/>
      <c r="G397" s="2" t="s">
        <v>543</v>
      </c>
      <c r="H397" s="2"/>
      <c r="I397" s="4">
        <v>44755</v>
      </c>
      <c r="J397" s="2" t="s">
        <v>13</v>
      </c>
      <c r="K397" s="2" t="s">
        <v>93</v>
      </c>
      <c r="L397" s="2" t="s">
        <v>94</v>
      </c>
      <c r="M397" s="2" t="s">
        <v>21</v>
      </c>
    </row>
    <row r="398" spans="1:13" x14ac:dyDescent="0.3">
      <c r="A398" s="2" t="str">
        <f>HYPERLINK("https://hsdes.intel.com/resource/14013179088","14013179088")</f>
        <v>14013179088</v>
      </c>
      <c r="B398" s="2" t="s">
        <v>695</v>
      </c>
      <c r="C398" s="2" t="s">
        <v>541</v>
      </c>
      <c r="D398" s="2" t="s">
        <v>696</v>
      </c>
      <c r="E398" s="2" t="s">
        <v>342</v>
      </c>
      <c r="F398" s="2"/>
      <c r="G398" s="2" t="s">
        <v>543</v>
      </c>
      <c r="H398" s="2"/>
      <c r="I398" s="4">
        <v>44755</v>
      </c>
      <c r="J398" s="2" t="s">
        <v>13</v>
      </c>
      <c r="K398" s="2" t="s">
        <v>93</v>
      </c>
      <c r="L398" s="2" t="s">
        <v>94</v>
      </c>
      <c r="M398" s="2" t="s">
        <v>21</v>
      </c>
    </row>
    <row r="399" spans="1:13" x14ac:dyDescent="0.3">
      <c r="A399" s="2" t="str">
        <f>HYPERLINK("https://hsdes.intel.com/resource/14013179185","14013179185")</f>
        <v>14013179185</v>
      </c>
      <c r="B399" s="2" t="s">
        <v>697</v>
      </c>
      <c r="C399" s="2" t="s">
        <v>541</v>
      </c>
      <c r="D399" s="2" t="s">
        <v>698</v>
      </c>
      <c r="E399" s="2" t="s">
        <v>342</v>
      </c>
      <c r="F399" s="2"/>
      <c r="G399" s="2" t="s">
        <v>543</v>
      </c>
      <c r="H399" s="2"/>
      <c r="I399" s="4">
        <v>44755</v>
      </c>
      <c r="J399" s="2" t="s">
        <v>13</v>
      </c>
      <c r="K399" s="2" t="s">
        <v>93</v>
      </c>
      <c r="L399" s="2" t="s">
        <v>94</v>
      </c>
      <c r="M399" s="2" t="s">
        <v>16</v>
      </c>
    </row>
    <row r="400" spans="1:13" x14ac:dyDescent="0.3">
      <c r="A400" s="2" t="str">
        <f>HYPERLINK("https://hsdes.intel.com/resource/14013179187","14013179187")</f>
        <v>14013179187</v>
      </c>
      <c r="B400" s="2" t="s">
        <v>699</v>
      </c>
      <c r="C400" s="2" t="s">
        <v>541</v>
      </c>
      <c r="D400" s="2" t="s">
        <v>700</v>
      </c>
      <c r="E400" s="2" t="s">
        <v>342</v>
      </c>
      <c r="F400" s="2"/>
      <c r="G400" s="2" t="s">
        <v>543</v>
      </c>
      <c r="H400" s="2"/>
      <c r="I400" s="4">
        <v>44757</v>
      </c>
      <c r="J400" s="2" t="s">
        <v>13</v>
      </c>
      <c r="K400" s="2" t="s">
        <v>93</v>
      </c>
      <c r="L400" s="2" t="s">
        <v>94</v>
      </c>
      <c r="M400" s="2" t="s">
        <v>16</v>
      </c>
    </row>
    <row r="401" spans="1:13" x14ac:dyDescent="0.3">
      <c r="A401" s="2" t="str">
        <f>HYPERLINK("https://hsdes.intel.com/resource/14013179431","14013179431")</f>
        <v>14013179431</v>
      </c>
      <c r="B401" s="2" t="s">
        <v>701</v>
      </c>
      <c r="C401" s="2" t="s">
        <v>541</v>
      </c>
      <c r="D401" s="2" t="s">
        <v>702</v>
      </c>
      <c r="E401" s="2" t="s">
        <v>342</v>
      </c>
      <c r="F401" s="2" t="s">
        <v>703</v>
      </c>
      <c r="G401" s="2" t="s">
        <v>345</v>
      </c>
      <c r="H401" s="2"/>
      <c r="I401" s="4">
        <v>44762</v>
      </c>
      <c r="J401" s="2" t="s">
        <v>13</v>
      </c>
      <c r="K401" s="2" t="s">
        <v>93</v>
      </c>
      <c r="L401" s="2" t="s">
        <v>94</v>
      </c>
      <c r="M401" s="2" t="s">
        <v>16</v>
      </c>
    </row>
    <row r="402" spans="1:13" x14ac:dyDescent="0.3">
      <c r="A402" s="2" t="str">
        <f>HYPERLINK("https://hsdes.intel.com/resource/14013179754","14013179754")</f>
        <v>14013179754</v>
      </c>
      <c r="B402" s="2" t="s">
        <v>704</v>
      </c>
      <c r="C402" s="2" t="s">
        <v>541</v>
      </c>
      <c r="D402" s="2" t="s">
        <v>705</v>
      </c>
      <c r="E402" s="2" t="s">
        <v>342</v>
      </c>
      <c r="F402" s="2"/>
      <c r="G402" s="2" t="s">
        <v>543</v>
      </c>
      <c r="H402" s="2"/>
      <c r="I402" s="4">
        <v>44755</v>
      </c>
      <c r="J402" s="2" t="s">
        <v>13</v>
      </c>
      <c r="K402" s="2" t="s">
        <v>93</v>
      </c>
      <c r="L402" s="2" t="s">
        <v>94</v>
      </c>
      <c r="M402" s="2" t="s">
        <v>16</v>
      </c>
    </row>
    <row r="403" spans="1:13" x14ac:dyDescent="0.3">
      <c r="A403" s="2" t="str">
        <f>HYPERLINK("https://hsdes.intel.com/resource/14013185599","14013185599")</f>
        <v>14013185599</v>
      </c>
      <c r="B403" s="2" t="s">
        <v>706</v>
      </c>
      <c r="C403" s="2" t="s">
        <v>541</v>
      </c>
      <c r="D403" s="2" t="s">
        <v>707</v>
      </c>
      <c r="E403" s="2" t="s">
        <v>37</v>
      </c>
      <c r="F403" s="2"/>
      <c r="G403" s="2" t="s">
        <v>662</v>
      </c>
      <c r="H403" s="2"/>
      <c r="I403" s="4">
        <v>44756</v>
      </c>
      <c r="J403" s="2" t="s">
        <v>394</v>
      </c>
      <c r="K403" s="2" t="s">
        <v>639</v>
      </c>
      <c r="L403" s="2" t="s">
        <v>110</v>
      </c>
      <c r="M403" s="2" t="s">
        <v>21</v>
      </c>
    </row>
    <row r="404" spans="1:13" x14ac:dyDescent="0.3">
      <c r="A404" s="2" t="str">
        <f>HYPERLINK("https://hsdes.intel.com/resource/14013185608","14013185608")</f>
        <v>14013185608</v>
      </c>
      <c r="B404" s="2" t="s">
        <v>708</v>
      </c>
      <c r="C404" s="2" t="s">
        <v>541</v>
      </c>
      <c r="D404" s="2" t="s">
        <v>709</v>
      </c>
      <c r="E404" s="2" t="s">
        <v>37</v>
      </c>
      <c r="F404" s="2"/>
      <c r="G404" s="2" t="s">
        <v>662</v>
      </c>
      <c r="H404" s="2"/>
      <c r="I404" s="4">
        <v>44756</v>
      </c>
      <c r="J404" s="2" t="s">
        <v>13</v>
      </c>
      <c r="K404" s="2" t="s">
        <v>639</v>
      </c>
      <c r="L404" s="2" t="s">
        <v>110</v>
      </c>
      <c r="M404" s="2" t="s">
        <v>21</v>
      </c>
    </row>
    <row r="405" spans="1:13" x14ac:dyDescent="0.3">
      <c r="A405" s="2" t="str">
        <f>HYPERLINK("https://hsdes.intel.com/resource/14013185622","14013185622")</f>
        <v>14013185622</v>
      </c>
      <c r="B405" s="2" t="s">
        <v>710</v>
      </c>
      <c r="C405" s="2" t="s">
        <v>541</v>
      </c>
      <c r="D405" s="2" t="s">
        <v>711</v>
      </c>
      <c r="E405" s="2" t="s">
        <v>37</v>
      </c>
      <c r="F405" s="2"/>
      <c r="G405" s="2" t="s">
        <v>662</v>
      </c>
      <c r="H405" s="2"/>
      <c r="I405" s="4">
        <v>44756</v>
      </c>
      <c r="J405" s="2" t="s">
        <v>13</v>
      </c>
      <c r="K405" s="2" t="s">
        <v>639</v>
      </c>
      <c r="L405" s="2" t="s">
        <v>110</v>
      </c>
      <c r="M405" s="2" t="s">
        <v>21</v>
      </c>
    </row>
    <row r="406" spans="1:13" x14ac:dyDescent="0.3">
      <c r="A406" s="2" t="str">
        <f>HYPERLINK("https://hsdes.intel.com/resource/14013185653","14013185653")</f>
        <v>14013185653</v>
      </c>
      <c r="B406" s="2" t="s">
        <v>712</v>
      </c>
      <c r="C406" s="2" t="s">
        <v>541</v>
      </c>
      <c r="D406" s="2" t="s">
        <v>713</v>
      </c>
      <c r="E406" s="2" t="s">
        <v>342</v>
      </c>
      <c r="F406" s="2"/>
      <c r="G406" s="2" t="s">
        <v>543</v>
      </c>
      <c r="H406" s="2"/>
      <c r="I406" s="4">
        <v>44755</v>
      </c>
      <c r="J406" s="2" t="s">
        <v>13</v>
      </c>
      <c r="K406" s="2" t="s">
        <v>93</v>
      </c>
      <c r="L406" s="2" t="s">
        <v>94</v>
      </c>
      <c r="M406" s="2" t="s">
        <v>16</v>
      </c>
    </row>
    <row r="407" spans="1:13" x14ac:dyDescent="0.3">
      <c r="A407" s="2" t="str">
        <f>HYPERLINK("https://hsdes.intel.com/resource/14013185661","14013185661")</f>
        <v>14013185661</v>
      </c>
      <c r="B407" s="2" t="s">
        <v>714</v>
      </c>
      <c r="C407" s="2" t="s">
        <v>541</v>
      </c>
      <c r="D407" s="2" t="s">
        <v>715</v>
      </c>
      <c r="E407" s="2" t="s">
        <v>342</v>
      </c>
      <c r="F407" s="2"/>
      <c r="G407" s="2" t="s">
        <v>543</v>
      </c>
      <c r="H407" s="2"/>
      <c r="I407" s="4">
        <v>44755</v>
      </c>
      <c r="J407" s="2" t="s">
        <v>13</v>
      </c>
      <c r="K407" s="2" t="s">
        <v>93</v>
      </c>
      <c r="L407" s="2" t="s">
        <v>94</v>
      </c>
      <c r="M407" s="2" t="s">
        <v>16</v>
      </c>
    </row>
    <row r="408" spans="1:13" x14ac:dyDescent="0.3">
      <c r="A408" s="2" t="str">
        <f>HYPERLINK("https://hsdes.intel.com/resource/14013185674","14013185674")</f>
        <v>14013185674</v>
      </c>
      <c r="B408" s="2" t="s">
        <v>716</v>
      </c>
      <c r="C408" s="2" t="s">
        <v>541</v>
      </c>
      <c r="D408" s="2" t="s">
        <v>717</v>
      </c>
      <c r="E408" s="2" t="s">
        <v>342</v>
      </c>
      <c r="F408" s="2"/>
      <c r="G408" s="2" t="s">
        <v>543</v>
      </c>
      <c r="H408" s="2"/>
      <c r="I408" s="4">
        <v>44755</v>
      </c>
      <c r="J408" s="2" t="s">
        <v>13</v>
      </c>
      <c r="K408" s="2" t="s">
        <v>93</v>
      </c>
      <c r="L408" s="2" t="s">
        <v>94</v>
      </c>
      <c r="M408" s="2" t="s">
        <v>16</v>
      </c>
    </row>
    <row r="409" spans="1:13" x14ac:dyDescent="0.3">
      <c r="A409" s="2" t="str">
        <f>HYPERLINK("https://hsdes.intel.com/resource/16015089042","16015089042")</f>
        <v>16015089042</v>
      </c>
      <c r="B409" s="2" t="s">
        <v>718</v>
      </c>
      <c r="C409" s="2" t="s">
        <v>541</v>
      </c>
      <c r="D409" s="2"/>
      <c r="E409" s="2" t="s">
        <v>342</v>
      </c>
      <c r="F409" s="2"/>
      <c r="G409" s="2" t="s">
        <v>719</v>
      </c>
      <c r="H409" s="2" t="s">
        <v>841</v>
      </c>
      <c r="I409" s="4">
        <v>44768</v>
      </c>
      <c r="J409" s="2" t="s">
        <v>13</v>
      </c>
      <c r="K409" s="2" t="s">
        <v>639</v>
      </c>
      <c r="L409" s="2" t="s">
        <v>110</v>
      </c>
      <c r="M409" s="2" t="s">
        <v>21</v>
      </c>
    </row>
    <row r="410" spans="1:13" x14ac:dyDescent="0.3">
      <c r="A410" s="2" t="str">
        <f>HYPERLINK("https://hsdes.intel.com/resource/22011834358","22011834358")</f>
        <v>22011834358</v>
      </c>
      <c r="B410" s="2" t="s">
        <v>184</v>
      </c>
      <c r="C410" s="2" t="s">
        <v>541</v>
      </c>
      <c r="D410" s="2" t="s">
        <v>185</v>
      </c>
      <c r="E410" s="2" t="s">
        <v>342</v>
      </c>
      <c r="F410" s="2" t="s">
        <v>720</v>
      </c>
      <c r="G410" s="2" t="s">
        <v>662</v>
      </c>
      <c r="H410" s="2"/>
      <c r="I410" s="4">
        <v>44755</v>
      </c>
      <c r="J410" s="2" t="s">
        <v>13</v>
      </c>
      <c r="K410" s="2" t="s">
        <v>105</v>
      </c>
      <c r="L410" s="2" t="s">
        <v>106</v>
      </c>
      <c r="M410" s="2" t="s">
        <v>24</v>
      </c>
    </row>
    <row r="411" spans="1:13" x14ac:dyDescent="0.3">
      <c r="A411" s="2" t="str">
        <f>HYPERLINK("https://hsdes.intel.com/resource/22011834481","22011834481")</f>
        <v>22011834481</v>
      </c>
      <c r="B411" s="2" t="s">
        <v>721</v>
      </c>
      <c r="C411" s="2" t="s">
        <v>541</v>
      </c>
      <c r="D411" s="2" t="s">
        <v>722</v>
      </c>
      <c r="E411" s="2" t="s">
        <v>342</v>
      </c>
      <c r="F411" s="2"/>
      <c r="G411" s="2" t="s">
        <v>662</v>
      </c>
      <c r="H411" s="2"/>
      <c r="I411" s="4">
        <v>44755</v>
      </c>
      <c r="J411" s="2" t="s">
        <v>13</v>
      </c>
      <c r="K411" s="2" t="s">
        <v>45</v>
      </c>
      <c r="L411" s="2" t="s">
        <v>581</v>
      </c>
      <c r="M411" s="2" t="s">
        <v>16</v>
      </c>
    </row>
    <row r="412" spans="1:13" x14ac:dyDescent="0.3">
      <c r="A412" s="2" t="str">
        <f>HYPERLINK("https://hsdes.intel.com/resource/22011834488","22011834488")</f>
        <v>22011834488</v>
      </c>
      <c r="B412" s="2" t="s">
        <v>723</v>
      </c>
      <c r="C412" s="2" t="s">
        <v>541</v>
      </c>
      <c r="D412" s="2" t="s">
        <v>724</v>
      </c>
      <c r="E412" s="2" t="s">
        <v>342</v>
      </c>
      <c r="F412" s="2"/>
      <c r="G412" s="2" t="s">
        <v>662</v>
      </c>
      <c r="H412" s="2"/>
      <c r="I412" s="4">
        <v>44755</v>
      </c>
      <c r="J412" s="2" t="s">
        <v>13</v>
      </c>
      <c r="K412" s="2" t="s">
        <v>45</v>
      </c>
      <c r="L412" s="2" t="s">
        <v>581</v>
      </c>
      <c r="M412" s="2" t="s">
        <v>16</v>
      </c>
    </row>
    <row r="413" spans="1:13" x14ac:dyDescent="0.3">
      <c r="A413" s="2" t="str">
        <f>HYPERLINK("https://hsdes.intel.com/resource/22011834502","22011834502")</f>
        <v>22011834502</v>
      </c>
      <c r="B413" s="2" t="s">
        <v>725</v>
      </c>
      <c r="C413" s="2" t="s">
        <v>541</v>
      </c>
      <c r="D413" s="2" t="s">
        <v>726</v>
      </c>
      <c r="E413" s="2" t="s">
        <v>342</v>
      </c>
      <c r="F413" s="2"/>
      <c r="G413" s="2" t="s">
        <v>662</v>
      </c>
      <c r="H413" s="2"/>
      <c r="I413" s="4">
        <v>44755</v>
      </c>
      <c r="J413" s="2" t="s">
        <v>13</v>
      </c>
      <c r="K413" s="2" t="s">
        <v>45</v>
      </c>
      <c r="L413" s="2" t="s">
        <v>581</v>
      </c>
      <c r="M413" s="2" t="s">
        <v>16</v>
      </c>
    </row>
    <row r="414" spans="1:13" x14ac:dyDescent="0.3">
      <c r="A414" s="2">
        <v>14013174087</v>
      </c>
      <c r="B414" s="2" t="s">
        <v>727</v>
      </c>
      <c r="C414" s="2" t="s">
        <v>541</v>
      </c>
      <c r="D414" s="2" t="s">
        <v>728</v>
      </c>
      <c r="E414" s="2" t="s">
        <v>11</v>
      </c>
      <c r="F414" s="2"/>
      <c r="G414" s="2" t="s">
        <v>729</v>
      </c>
      <c r="H414" s="2"/>
      <c r="I414" s="4">
        <v>44761</v>
      </c>
      <c r="J414" s="2" t="s">
        <v>13</v>
      </c>
      <c r="K414" s="2" t="s">
        <v>28</v>
      </c>
      <c r="L414" s="2" t="s">
        <v>29</v>
      </c>
      <c r="M414" s="2" t="s">
        <v>16</v>
      </c>
    </row>
    <row r="415" spans="1:13" x14ac:dyDescent="0.3">
      <c r="A415" s="2">
        <v>14013174094</v>
      </c>
      <c r="B415" s="2" t="s">
        <v>730</v>
      </c>
      <c r="C415" s="2" t="s">
        <v>541</v>
      </c>
      <c r="D415" s="2" t="s">
        <v>731</v>
      </c>
      <c r="E415" s="2" t="s">
        <v>11</v>
      </c>
      <c r="F415" s="2"/>
      <c r="G415" s="2" t="s">
        <v>363</v>
      </c>
      <c r="H415" s="2"/>
      <c r="I415" s="4">
        <v>44763</v>
      </c>
      <c r="J415" s="2" t="s">
        <v>13</v>
      </c>
      <c r="K415" s="2" t="s">
        <v>28</v>
      </c>
      <c r="L415" s="2" t="s">
        <v>29</v>
      </c>
      <c r="M415" s="2" t="s">
        <v>16</v>
      </c>
    </row>
    <row r="416" spans="1:13" x14ac:dyDescent="0.3">
      <c r="A416" s="2">
        <v>14013174186</v>
      </c>
      <c r="B416" s="2" t="s">
        <v>732</v>
      </c>
      <c r="C416" s="2" t="s">
        <v>541</v>
      </c>
      <c r="D416" s="2" t="s">
        <v>733</v>
      </c>
      <c r="E416" s="2" t="s">
        <v>37</v>
      </c>
      <c r="F416" s="17" t="s">
        <v>734</v>
      </c>
      <c r="G416" s="2" t="s">
        <v>729</v>
      </c>
      <c r="H416" s="2"/>
      <c r="I416" s="4">
        <v>44760</v>
      </c>
      <c r="J416" s="2" t="s">
        <v>192</v>
      </c>
      <c r="K416" s="2" t="s">
        <v>290</v>
      </c>
      <c r="L416" s="2" t="s">
        <v>291</v>
      </c>
      <c r="M416" s="2" t="s">
        <v>16</v>
      </c>
    </row>
    <row r="417" spans="1:13" x14ac:dyDescent="0.3">
      <c r="A417" s="2">
        <v>14013174186</v>
      </c>
      <c r="B417" s="2" t="s">
        <v>735</v>
      </c>
      <c r="C417" s="2" t="s">
        <v>541</v>
      </c>
      <c r="D417" s="2" t="s">
        <v>736</v>
      </c>
      <c r="E417" s="2" t="s">
        <v>37</v>
      </c>
      <c r="F417" s="2" t="s">
        <v>734</v>
      </c>
      <c r="G417" s="2" t="s">
        <v>729</v>
      </c>
      <c r="H417" s="2"/>
      <c r="I417" s="4">
        <v>44760</v>
      </c>
      <c r="J417" s="2" t="s">
        <v>13</v>
      </c>
      <c r="K417" s="2" t="s">
        <v>28</v>
      </c>
      <c r="L417" s="2" t="s">
        <v>29</v>
      </c>
      <c r="M417" s="2" t="s">
        <v>21</v>
      </c>
    </row>
    <row r="418" spans="1:13" x14ac:dyDescent="0.3">
      <c r="A418" s="2" t="s">
        <v>737</v>
      </c>
      <c r="B418" s="2" t="s">
        <v>738</v>
      </c>
      <c r="C418" s="2" t="s">
        <v>541</v>
      </c>
      <c r="D418" s="2" t="s">
        <v>739</v>
      </c>
      <c r="E418" s="2" t="s">
        <v>11</v>
      </c>
      <c r="F418" s="2"/>
      <c r="G418" s="2" t="s">
        <v>729</v>
      </c>
      <c r="H418" s="2"/>
      <c r="I418" s="4">
        <v>44760</v>
      </c>
      <c r="J418" s="2" t="s">
        <v>13</v>
      </c>
      <c r="K418" s="2" t="s">
        <v>740</v>
      </c>
      <c r="L418" s="2" t="s">
        <v>29</v>
      </c>
      <c r="M418" s="2" t="s">
        <v>21</v>
      </c>
    </row>
    <row r="419" spans="1:13" x14ac:dyDescent="0.3">
      <c r="A419" s="2" t="s">
        <v>741</v>
      </c>
      <c r="B419" s="2" t="s">
        <v>742</v>
      </c>
      <c r="C419" s="2" t="s">
        <v>541</v>
      </c>
      <c r="D419" s="2" t="s">
        <v>743</v>
      </c>
      <c r="E419" s="2" t="s">
        <v>11</v>
      </c>
      <c r="F419" s="2"/>
      <c r="G419" s="2" t="s">
        <v>363</v>
      </c>
      <c r="H419" s="2"/>
      <c r="I419" s="4">
        <v>44763</v>
      </c>
      <c r="J419" s="2" t="s">
        <v>13</v>
      </c>
      <c r="K419" s="2" t="s">
        <v>147</v>
      </c>
      <c r="L419" s="2" t="s">
        <v>29</v>
      </c>
      <c r="M419" s="2" t="s">
        <v>16</v>
      </c>
    </row>
    <row r="420" spans="1:13" x14ac:dyDescent="0.3">
      <c r="A420" s="2">
        <v>14013174392</v>
      </c>
      <c r="B420" s="2" t="s">
        <v>744</v>
      </c>
      <c r="C420" s="2" t="s">
        <v>541</v>
      </c>
      <c r="D420" s="2" t="s">
        <v>745</v>
      </c>
      <c r="E420" s="2" t="s">
        <v>11</v>
      </c>
      <c r="F420" s="2"/>
      <c r="G420" s="2" t="s">
        <v>363</v>
      </c>
      <c r="H420" s="2"/>
      <c r="I420" s="4">
        <v>44763</v>
      </c>
      <c r="J420" s="2" t="s">
        <v>13</v>
      </c>
      <c r="K420" s="2" t="s">
        <v>147</v>
      </c>
      <c r="L420" s="2" t="s">
        <v>29</v>
      </c>
      <c r="M420" s="2" t="s">
        <v>16</v>
      </c>
    </row>
    <row r="421" spans="1:13" x14ac:dyDescent="0.3">
      <c r="A421" s="2" t="s">
        <v>746</v>
      </c>
      <c r="B421" s="2" t="s">
        <v>747</v>
      </c>
      <c r="C421" s="2" t="s">
        <v>541</v>
      </c>
      <c r="D421" s="2" t="s">
        <v>748</v>
      </c>
      <c r="E421" s="2" t="s">
        <v>11</v>
      </c>
      <c r="F421" s="2"/>
      <c r="G421" s="2" t="s">
        <v>729</v>
      </c>
      <c r="H421" s="2"/>
      <c r="I421" s="4">
        <v>44761</v>
      </c>
      <c r="J421" s="2" t="s">
        <v>13</v>
      </c>
      <c r="K421" s="2" t="s">
        <v>28</v>
      </c>
      <c r="L421" s="2" t="s">
        <v>29</v>
      </c>
      <c r="M421" s="2" t="s">
        <v>24</v>
      </c>
    </row>
    <row r="422" spans="1:13" x14ac:dyDescent="0.3">
      <c r="A422" s="2">
        <v>14013174424</v>
      </c>
      <c r="B422" s="2" t="s">
        <v>749</v>
      </c>
      <c r="C422" s="2" t="s">
        <v>541</v>
      </c>
      <c r="D422" s="2" t="s">
        <v>750</v>
      </c>
      <c r="E422" s="2" t="s">
        <v>11</v>
      </c>
      <c r="F422" s="2"/>
      <c r="G422" s="2" t="s">
        <v>751</v>
      </c>
      <c r="H422" s="2"/>
      <c r="I422" s="4">
        <v>44760</v>
      </c>
      <c r="J422" s="2" t="s">
        <v>13</v>
      </c>
      <c r="K422" s="2" t="s">
        <v>320</v>
      </c>
      <c r="L422" s="2" t="s">
        <v>29</v>
      </c>
      <c r="M422" s="2" t="s">
        <v>24</v>
      </c>
    </row>
    <row r="423" spans="1:13" x14ac:dyDescent="0.3">
      <c r="A423" s="2" t="s">
        <v>752</v>
      </c>
      <c r="B423" s="2" t="s">
        <v>753</v>
      </c>
      <c r="C423" s="2" t="s">
        <v>541</v>
      </c>
      <c r="D423" s="2" t="s">
        <v>754</v>
      </c>
      <c r="E423" s="2" t="s">
        <v>11</v>
      </c>
      <c r="F423" s="2"/>
      <c r="G423" s="2" t="s">
        <v>751</v>
      </c>
      <c r="H423" s="2"/>
      <c r="I423" s="4">
        <v>44760</v>
      </c>
      <c r="J423" s="2" t="s">
        <v>13</v>
      </c>
      <c r="K423" s="2" t="s">
        <v>320</v>
      </c>
      <c r="L423" s="2" t="s">
        <v>29</v>
      </c>
      <c r="M423" s="2" t="s">
        <v>24</v>
      </c>
    </row>
    <row r="424" spans="1:13" x14ac:dyDescent="0.3">
      <c r="A424" s="2" t="s">
        <v>755</v>
      </c>
      <c r="B424" s="2" t="s">
        <v>756</v>
      </c>
      <c r="C424" s="2" t="s">
        <v>541</v>
      </c>
      <c r="D424" s="2" t="s">
        <v>757</v>
      </c>
      <c r="E424" s="2" t="s">
        <v>11</v>
      </c>
      <c r="F424" s="2"/>
      <c r="G424" s="2" t="s">
        <v>751</v>
      </c>
      <c r="H424" s="2"/>
      <c r="I424" s="4">
        <v>44760</v>
      </c>
      <c r="J424" s="2" t="s">
        <v>13</v>
      </c>
      <c r="K424" s="2" t="s">
        <v>320</v>
      </c>
      <c r="L424" s="2" t="s">
        <v>29</v>
      </c>
      <c r="M424" s="2" t="s">
        <v>24</v>
      </c>
    </row>
    <row r="425" spans="1:13" x14ac:dyDescent="0.3">
      <c r="A425" s="2" t="s">
        <v>758</v>
      </c>
      <c r="B425" s="2" t="s">
        <v>759</v>
      </c>
      <c r="C425" s="2" t="s">
        <v>541</v>
      </c>
      <c r="D425" s="2" t="s">
        <v>760</v>
      </c>
      <c r="E425" s="2" t="s">
        <v>11</v>
      </c>
      <c r="F425" s="2"/>
      <c r="G425" s="2" t="s">
        <v>729</v>
      </c>
      <c r="H425" s="2"/>
      <c r="I425" s="4">
        <v>44761</v>
      </c>
      <c r="J425" s="2" t="s">
        <v>13</v>
      </c>
      <c r="K425" s="2" t="s">
        <v>28</v>
      </c>
      <c r="L425" s="2" t="s">
        <v>29</v>
      </c>
      <c r="M425" s="2" t="s">
        <v>21</v>
      </c>
    </row>
    <row r="426" spans="1:13" x14ac:dyDescent="0.3">
      <c r="A426" s="2" t="s">
        <v>761</v>
      </c>
      <c r="B426" s="2" t="s">
        <v>762</v>
      </c>
      <c r="C426" s="2" t="s">
        <v>541</v>
      </c>
      <c r="D426" s="2" t="s">
        <v>763</v>
      </c>
      <c r="E426" s="2" t="s">
        <v>11</v>
      </c>
      <c r="F426" s="2"/>
      <c r="G426" s="2" t="s">
        <v>363</v>
      </c>
      <c r="H426" s="2"/>
      <c r="I426" s="4">
        <v>44763</v>
      </c>
      <c r="J426" s="2" t="s">
        <v>13</v>
      </c>
      <c r="K426" s="2" t="s">
        <v>328</v>
      </c>
      <c r="L426" s="2" t="s">
        <v>29</v>
      </c>
      <c r="M426" s="2" t="s">
        <v>21</v>
      </c>
    </row>
    <row r="427" spans="1:13" x14ac:dyDescent="0.3">
      <c r="A427" s="2" t="s">
        <v>764</v>
      </c>
      <c r="B427" s="2" t="s">
        <v>765</v>
      </c>
      <c r="C427" s="2" t="s">
        <v>541</v>
      </c>
      <c r="D427" s="2" t="s">
        <v>766</v>
      </c>
      <c r="E427" s="2" t="s">
        <v>11</v>
      </c>
      <c r="F427" s="2"/>
      <c r="G427" s="2" t="s">
        <v>729</v>
      </c>
      <c r="H427" s="2"/>
      <c r="I427" s="4">
        <v>44760</v>
      </c>
      <c r="J427" s="2" t="s">
        <v>13</v>
      </c>
      <c r="K427" s="2" t="s">
        <v>740</v>
      </c>
      <c r="L427" s="2" t="s">
        <v>29</v>
      </c>
      <c r="M427" s="2" t="s">
        <v>16</v>
      </c>
    </row>
    <row r="428" spans="1:13" x14ac:dyDescent="0.3">
      <c r="A428" s="2" t="s">
        <v>767</v>
      </c>
      <c r="B428" s="2" t="s">
        <v>768</v>
      </c>
      <c r="C428" s="2" t="s">
        <v>541</v>
      </c>
      <c r="D428" s="2" t="s">
        <v>769</v>
      </c>
      <c r="E428" s="2" t="s">
        <v>11</v>
      </c>
      <c r="F428" s="2"/>
      <c r="G428" s="2" t="s">
        <v>751</v>
      </c>
      <c r="H428" s="2"/>
      <c r="I428" s="4">
        <v>44760</v>
      </c>
      <c r="J428" s="2" t="s">
        <v>13</v>
      </c>
      <c r="K428" s="2" t="s">
        <v>33</v>
      </c>
      <c r="L428" s="2" t="s">
        <v>29</v>
      </c>
      <c r="M428" s="2" t="s">
        <v>16</v>
      </c>
    </row>
    <row r="429" spans="1:13" x14ac:dyDescent="0.3">
      <c r="A429" s="2" t="s">
        <v>770</v>
      </c>
      <c r="B429" s="2" t="s">
        <v>771</v>
      </c>
      <c r="C429" s="2" t="s">
        <v>541</v>
      </c>
      <c r="D429" s="2" t="s">
        <v>772</v>
      </c>
      <c r="E429" s="2" t="s">
        <v>11</v>
      </c>
      <c r="F429" s="2"/>
      <c r="G429" s="2" t="s">
        <v>751</v>
      </c>
      <c r="H429" s="2"/>
      <c r="I429" s="4">
        <v>44760</v>
      </c>
      <c r="J429" s="2" t="s">
        <v>13</v>
      </c>
      <c r="K429" s="2" t="s">
        <v>147</v>
      </c>
      <c r="L429" s="2" t="s">
        <v>29</v>
      </c>
      <c r="M429" s="2" t="s">
        <v>16</v>
      </c>
    </row>
    <row r="430" spans="1:13" x14ac:dyDescent="0.3">
      <c r="A430" s="2" t="s">
        <v>773</v>
      </c>
      <c r="B430" s="2" t="s">
        <v>774</v>
      </c>
      <c r="C430" s="2" t="s">
        <v>541</v>
      </c>
      <c r="D430" s="2" t="s">
        <v>775</v>
      </c>
      <c r="E430" s="2" t="s">
        <v>37</v>
      </c>
      <c r="F430" s="2"/>
      <c r="G430" s="2" t="s">
        <v>729</v>
      </c>
      <c r="H430" s="2"/>
      <c r="I430" s="4">
        <v>44761</v>
      </c>
      <c r="J430" s="2" t="s">
        <v>13</v>
      </c>
      <c r="K430" s="2" t="s">
        <v>33</v>
      </c>
      <c r="L430" s="2" t="s">
        <v>29</v>
      </c>
      <c r="M430" s="2" t="s">
        <v>24</v>
      </c>
    </row>
    <row r="431" spans="1:13" x14ac:dyDescent="0.3">
      <c r="A431" s="2" t="s">
        <v>776</v>
      </c>
      <c r="B431" s="2" t="s">
        <v>777</v>
      </c>
      <c r="C431" s="2" t="s">
        <v>541</v>
      </c>
      <c r="D431" s="2" t="s">
        <v>778</v>
      </c>
      <c r="E431" s="2" t="s">
        <v>37</v>
      </c>
      <c r="F431" s="2"/>
      <c r="G431" s="2" t="s">
        <v>729</v>
      </c>
      <c r="H431" s="2"/>
      <c r="I431" s="4">
        <v>44761</v>
      </c>
      <c r="J431" s="2" t="s">
        <v>13</v>
      </c>
      <c r="K431" s="2" t="s">
        <v>33</v>
      </c>
      <c r="L431" s="2" t="s">
        <v>29</v>
      </c>
      <c r="M431" s="2" t="s">
        <v>24</v>
      </c>
    </row>
    <row r="432" spans="1:13" x14ac:dyDescent="0.3">
      <c r="A432" s="2" t="s">
        <v>779</v>
      </c>
      <c r="B432" s="2" t="s">
        <v>780</v>
      </c>
      <c r="C432" s="2" t="s">
        <v>541</v>
      </c>
      <c r="D432" s="2" t="s">
        <v>781</v>
      </c>
      <c r="E432" s="2" t="s">
        <v>11</v>
      </c>
      <c r="F432" s="2"/>
      <c r="G432" s="2" t="s">
        <v>751</v>
      </c>
      <c r="H432" s="2"/>
      <c r="I432" s="4">
        <v>44760</v>
      </c>
      <c r="J432" s="2" t="s">
        <v>13</v>
      </c>
      <c r="K432" s="2" t="s">
        <v>33</v>
      </c>
      <c r="L432" s="2" t="s">
        <v>29</v>
      </c>
      <c r="M432" s="2" t="s">
        <v>16</v>
      </c>
    </row>
    <row r="433" spans="1:14" x14ac:dyDescent="0.3">
      <c r="A433" s="2" t="s">
        <v>782</v>
      </c>
      <c r="B433" s="2" t="s">
        <v>783</v>
      </c>
      <c r="C433" s="2" t="s">
        <v>541</v>
      </c>
      <c r="D433" s="2" t="s">
        <v>784</v>
      </c>
      <c r="E433" s="2" t="s">
        <v>11</v>
      </c>
      <c r="F433" s="2"/>
      <c r="G433" s="2" t="s">
        <v>751</v>
      </c>
      <c r="H433" s="2"/>
      <c r="I433" s="4">
        <v>44760</v>
      </c>
      <c r="J433" s="2" t="s">
        <v>13</v>
      </c>
      <c r="K433" s="2" t="s">
        <v>33</v>
      </c>
      <c r="L433" s="2" t="s">
        <v>29</v>
      </c>
      <c r="M433" s="2" t="s">
        <v>16</v>
      </c>
    </row>
    <row r="434" spans="1:14" x14ac:dyDescent="0.3">
      <c r="A434" s="2" t="s">
        <v>785</v>
      </c>
      <c r="B434" s="2" t="s">
        <v>786</v>
      </c>
      <c r="C434" s="2" t="s">
        <v>541</v>
      </c>
      <c r="D434" s="2" t="s">
        <v>787</v>
      </c>
      <c r="E434" s="2" t="s">
        <v>11</v>
      </c>
      <c r="F434" s="2"/>
      <c r="G434" s="2" t="s">
        <v>751</v>
      </c>
      <c r="H434" s="2"/>
      <c r="I434" s="4">
        <v>44760</v>
      </c>
      <c r="J434" s="2" t="s">
        <v>13</v>
      </c>
      <c r="K434" s="2" t="s">
        <v>33</v>
      </c>
      <c r="L434" s="2" t="s">
        <v>29</v>
      </c>
      <c r="M434" s="2" t="s">
        <v>16</v>
      </c>
    </row>
    <row r="435" spans="1:14" x14ac:dyDescent="0.3">
      <c r="A435" s="2" t="s">
        <v>788</v>
      </c>
      <c r="B435" s="2" t="s">
        <v>789</v>
      </c>
      <c r="C435" s="2" t="s">
        <v>541</v>
      </c>
      <c r="D435" s="2" t="s">
        <v>790</v>
      </c>
      <c r="E435" s="2" t="s">
        <v>11</v>
      </c>
      <c r="F435" s="2"/>
      <c r="G435" s="2" t="s">
        <v>751</v>
      </c>
      <c r="H435" s="2"/>
      <c r="I435" s="4">
        <v>44760</v>
      </c>
      <c r="J435" s="2" t="s">
        <v>13</v>
      </c>
      <c r="K435" s="2" t="s">
        <v>33</v>
      </c>
      <c r="L435" s="2" t="s">
        <v>29</v>
      </c>
      <c r="M435" s="2" t="s">
        <v>16</v>
      </c>
    </row>
    <row r="436" spans="1:14" x14ac:dyDescent="0.3">
      <c r="A436" s="2" t="s">
        <v>791</v>
      </c>
      <c r="B436" s="2" t="s">
        <v>792</v>
      </c>
      <c r="C436" s="2" t="s">
        <v>541</v>
      </c>
      <c r="D436" s="2" t="s">
        <v>793</v>
      </c>
      <c r="E436" s="2" t="s">
        <v>11</v>
      </c>
      <c r="F436" s="2"/>
      <c r="G436" s="2" t="s">
        <v>751</v>
      </c>
      <c r="H436" s="2"/>
      <c r="I436" s="4">
        <v>44760</v>
      </c>
      <c r="J436" s="2" t="s">
        <v>13</v>
      </c>
      <c r="K436" s="2" t="s">
        <v>33</v>
      </c>
      <c r="L436" s="2" t="s">
        <v>29</v>
      </c>
      <c r="M436" s="2" t="s">
        <v>16</v>
      </c>
    </row>
    <row r="437" spans="1:14" x14ac:dyDescent="0.3">
      <c r="A437" s="2" t="s">
        <v>794</v>
      </c>
      <c r="B437" s="2" t="s">
        <v>795</v>
      </c>
      <c r="C437" s="2" t="s">
        <v>541</v>
      </c>
      <c r="D437" s="2" t="s">
        <v>796</v>
      </c>
      <c r="E437" s="2" t="s">
        <v>11</v>
      </c>
      <c r="F437" s="2"/>
      <c r="G437" s="2" t="s">
        <v>751</v>
      </c>
      <c r="H437" s="2"/>
      <c r="I437" s="4">
        <v>44760</v>
      </c>
      <c r="J437" s="2" t="s">
        <v>13</v>
      </c>
      <c r="K437" s="2" t="s">
        <v>33</v>
      </c>
      <c r="L437" s="2" t="s">
        <v>29</v>
      </c>
      <c r="M437" s="2" t="s">
        <v>24</v>
      </c>
    </row>
    <row r="438" spans="1:14" x14ac:dyDescent="0.3">
      <c r="A438" s="2" t="str">
        <f>HYPERLINK("https://hsdes.intel.com/resource/14013178949","14013178949")</f>
        <v>14013178949</v>
      </c>
      <c r="B438" s="2" t="s">
        <v>797</v>
      </c>
      <c r="C438" s="2" t="s">
        <v>541</v>
      </c>
      <c r="D438" s="2" t="s">
        <v>798</v>
      </c>
      <c r="E438" s="2" t="s">
        <v>11</v>
      </c>
      <c r="F438" s="2"/>
      <c r="G438" s="2" t="s">
        <v>363</v>
      </c>
      <c r="H438" s="2"/>
      <c r="I438" s="4">
        <v>44757</v>
      </c>
      <c r="J438" s="2" t="s">
        <v>13</v>
      </c>
      <c r="K438" s="2" t="s">
        <v>147</v>
      </c>
      <c r="L438" s="2" t="s">
        <v>29</v>
      </c>
      <c r="M438" s="2" t="s">
        <v>16</v>
      </c>
    </row>
    <row r="439" spans="1:14" x14ac:dyDescent="0.3">
      <c r="A439" s="2" t="str">
        <f>HYPERLINK("https://hsdes.intel.com/resource/14013178954","14013178954")</f>
        <v>14013178954</v>
      </c>
      <c r="B439" s="2" t="s">
        <v>799</v>
      </c>
      <c r="C439" s="2" t="s">
        <v>541</v>
      </c>
      <c r="D439" s="2" t="s">
        <v>800</v>
      </c>
      <c r="E439" s="2" t="s">
        <v>11</v>
      </c>
      <c r="F439" s="2"/>
      <c r="G439" s="2" t="s">
        <v>363</v>
      </c>
      <c r="H439" s="2"/>
      <c r="I439" s="4">
        <v>44757</v>
      </c>
      <c r="J439" s="2" t="s">
        <v>192</v>
      </c>
      <c r="K439" s="2" t="s">
        <v>147</v>
      </c>
      <c r="L439" s="2" t="s">
        <v>29</v>
      </c>
      <c r="M439" s="2" t="s">
        <v>16</v>
      </c>
    </row>
    <row r="440" spans="1:14" x14ac:dyDescent="0.3">
      <c r="A440" s="2" t="s">
        <v>801</v>
      </c>
      <c r="B440" s="2" t="s">
        <v>802</v>
      </c>
      <c r="C440" s="2" t="s">
        <v>541</v>
      </c>
      <c r="D440" s="2" t="s">
        <v>803</v>
      </c>
      <c r="E440" s="2" t="s">
        <v>11</v>
      </c>
      <c r="F440" s="2"/>
      <c r="G440" s="2" t="s">
        <v>729</v>
      </c>
      <c r="H440" s="2"/>
      <c r="I440" s="4">
        <v>44760</v>
      </c>
      <c r="J440" s="2" t="s">
        <v>13</v>
      </c>
      <c r="K440" s="2" t="s">
        <v>296</v>
      </c>
      <c r="L440" s="2" t="s">
        <v>297</v>
      </c>
      <c r="M440" s="2" t="s">
        <v>16</v>
      </c>
    </row>
    <row r="441" spans="1:14" x14ac:dyDescent="0.3">
      <c r="A441" s="2" t="s">
        <v>804</v>
      </c>
      <c r="B441" s="2" t="s">
        <v>805</v>
      </c>
      <c r="C441" s="2" t="s">
        <v>541</v>
      </c>
      <c r="D441" s="2" t="s">
        <v>806</v>
      </c>
      <c r="E441" s="2" t="s">
        <v>11</v>
      </c>
      <c r="F441" s="2"/>
      <c r="G441" s="2" t="s">
        <v>729</v>
      </c>
      <c r="H441" s="2"/>
      <c r="I441" s="4">
        <v>44760</v>
      </c>
      <c r="J441" s="2" t="s">
        <v>13</v>
      </c>
      <c r="K441" s="2" t="s">
        <v>296</v>
      </c>
      <c r="L441" s="2" t="s">
        <v>297</v>
      </c>
      <c r="M441" s="2" t="s">
        <v>16</v>
      </c>
    </row>
    <row r="442" spans="1:14" x14ac:dyDescent="0.3">
      <c r="A442" s="2" t="s">
        <v>807</v>
      </c>
      <c r="B442" s="2" t="s">
        <v>808</v>
      </c>
      <c r="C442" s="2" t="s">
        <v>541</v>
      </c>
      <c r="D442" s="2" t="s">
        <v>809</v>
      </c>
      <c r="E442" s="2" t="s">
        <v>11</v>
      </c>
      <c r="F442" s="2"/>
      <c r="G442" s="2" t="s">
        <v>729</v>
      </c>
      <c r="H442" s="2"/>
      <c r="I442" s="4">
        <v>44761</v>
      </c>
      <c r="J442" s="2" t="s">
        <v>13</v>
      </c>
      <c r="K442" s="2" t="s">
        <v>147</v>
      </c>
      <c r="L442" s="2" t="s">
        <v>29</v>
      </c>
      <c r="M442" s="2" t="s">
        <v>16</v>
      </c>
    </row>
    <row r="443" spans="1:14" x14ac:dyDescent="0.3">
      <c r="A443" s="2" t="s">
        <v>810</v>
      </c>
      <c r="B443" s="2" t="s">
        <v>811</v>
      </c>
      <c r="C443" s="2" t="s">
        <v>541</v>
      </c>
      <c r="D443" s="2" t="s">
        <v>812</v>
      </c>
      <c r="E443" s="2" t="s">
        <v>11</v>
      </c>
      <c r="F443" s="2"/>
      <c r="G443" s="2" t="s">
        <v>751</v>
      </c>
      <c r="H443" s="2"/>
      <c r="I443" s="4">
        <v>44760</v>
      </c>
      <c r="J443" s="2" t="s">
        <v>13</v>
      </c>
      <c r="K443" s="2" t="s">
        <v>523</v>
      </c>
      <c r="L443" s="2" t="s">
        <v>291</v>
      </c>
      <c r="M443" s="2" t="s">
        <v>16</v>
      </c>
    </row>
    <row r="444" spans="1:14" x14ac:dyDescent="0.3">
      <c r="A444" s="2">
        <v>14013176669</v>
      </c>
      <c r="B444" s="2" t="s">
        <v>813</v>
      </c>
      <c r="C444" s="2" t="s">
        <v>541</v>
      </c>
      <c r="D444" s="2" t="s">
        <v>814</v>
      </c>
      <c r="E444" s="2" t="s">
        <v>37</v>
      </c>
      <c r="F444" s="2"/>
      <c r="G444" s="2" t="s">
        <v>729</v>
      </c>
      <c r="H444" s="2"/>
      <c r="I444" s="4">
        <v>44760</v>
      </c>
      <c r="J444" s="2" t="s">
        <v>13</v>
      </c>
      <c r="K444" s="2" t="s">
        <v>296</v>
      </c>
      <c r="L444" s="2" t="s">
        <v>297</v>
      </c>
      <c r="M444" s="2" t="s">
        <v>21</v>
      </c>
    </row>
    <row r="445" spans="1:14" x14ac:dyDescent="0.3">
      <c r="A445" s="2">
        <v>14013176706</v>
      </c>
      <c r="B445" s="2" t="s">
        <v>815</v>
      </c>
      <c r="C445" s="2" t="s">
        <v>541</v>
      </c>
      <c r="D445" s="2" t="s">
        <v>816</v>
      </c>
      <c r="E445" s="2" t="s">
        <v>342</v>
      </c>
      <c r="F445" s="2" t="s">
        <v>817</v>
      </c>
      <c r="G445" s="2" t="s">
        <v>729</v>
      </c>
      <c r="H445" s="2"/>
      <c r="I445" s="4">
        <v>44764</v>
      </c>
      <c r="J445" s="2" t="s">
        <v>13</v>
      </c>
      <c r="K445" s="2" t="s">
        <v>290</v>
      </c>
      <c r="L445" s="2" t="s">
        <v>291</v>
      </c>
      <c r="M445" s="2" t="s">
        <v>16</v>
      </c>
    </row>
    <row r="446" spans="1:14" x14ac:dyDescent="0.3">
      <c r="A446" s="2" t="s">
        <v>818</v>
      </c>
      <c r="B446" s="2" t="s">
        <v>819</v>
      </c>
      <c r="C446" s="2" t="s">
        <v>541</v>
      </c>
      <c r="D446" s="2" t="s">
        <v>820</v>
      </c>
      <c r="E446" s="2" t="s">
        <v>11</v>
      </c>
      <c r="F446" s="2"/>
      <c r="G446" s="2" t="s">
        <v>363</v>
      </c>
      <c r="H446" s="2"/>
      <c r="I446" s="4">
        <v>44762</v>
      </c>
      <c r="J446" s="2" t="s">
        <v>13</v>
      </c>
      <c r="K446" s="2" t="s">
        <v>296</v>
      </c>
      <c r="L446" s="2" t="s">
        <v>297</v>
      </c>
      <c r="M446" s="2" t="s">
        <v>24</v>
      </c>
    </row>
    <row r="447" spans="1:14" x14ac:dyDescent="0.3">
      <c r="A447" s="2">
        <v>14013176882</v>
      </c>
      <c r="B447" s="2" t="s">
        <v>821</v>
      </c>
      <c r="C447" s="2" t="s">
        <v>541</v>
      </c>
      <c r="D447" s="2" t="s">
        <v>822</v>
      </c>
      <c r="E447" s="2" t="s">
        <v>11</v>
      </c>
      <c r="F447" s="2"/>
      <c r="G447" s="2" t="s">
        <v>729</v>
      </c>
      <c r="H447" s="2"/>
      <c r="I447" s="4">
        <v>44762</v>
      </c>
      <c r="J447" s="2" t="s">
        <v>13</v>
      </c>
      <c r="K447" s="2" t="s">
        <v>290</v>
      </c>
      <c r="L447" s="2" t="s">
        <v>291</v>
      </c>
      <c r="M447" s="2" t="s">
        <v>16</v>
      </c>
    </row>
    <row r="448" spans="1:14" x14ac:dyDescent="0.3">
      <c r="A448" s="2" t="str">
        <f>HYPERLINK("https://hsdes.intel.com/resource/16014185861","16014185861")</f>
        <v>16014185861</v>
      </c>
      <c r="B448" s="2" t="s">
        <v>823</v>
      </c>
      <c r="C448" s="2" t="s">
        <v>541</v>
      </c>
      <c r="E448" s="2" t="s">
        <v>11</v>
      </c>
      <c r="F448" s="2"/>
      <c r="G448" s="2" t="s">
        <v>751</v>
      </c>
      <c r="H448" s="2"/>
      <c r="I448" s="4">
        <v>44760</v>
      </c>
      <c r="J448" s="2" t="s">
        <v>13</v>
      </c>
      <c r="K448" s="2" t="s">
        <v>19</v>
      </c>
      <c r="L448" s="31" t="s">
        <v>20</v>
      </c>
      <c r="M448" s="2" t="s">
        <v>16</v>
      </c>
      <c r="N448" s="2"/>
    </row>
    <row r="449" spans="1:14" x14ac:dyDescent="0.3">
      <c r="A449" s="2" t="str">
        <f>HYPERLINK("https://hsdes.intel.com/resource/16014193686","16014193686")</f>
        <v>16014193686</v>
      </c>
      <c r="B449" s="2" t="s">
        <v>824</v>
      </c>
      <c r="C449" s="2" t="s">
        <v>541</v>
      </c>
      <c r="E449" s="2" t="s">
        <v>11</v>
      </c>
      <c r="F449" s="2"/>
      <c r="G449" s="2" t="s">
        <v>751</v>
      </c>
      <c r="H449" s="2"/>
      <c r="I449" s="4">
        <v>44760</v>
      </c>
      <c r="J449" s="2" t="s">
        <v>13</v>
      </c>
      <c r="K449" s="2" t="s">
        <v>19</v>
      </c>
      <c r="L449" s="31" t="s">
        <v>20</v>
      </c>
      <c r="M449" s="2" t="s">
        <v>16</v>
      </c>
      <c r="N449" s="2"/>
    </row>
    <row r="450" spans="1:14" x14ac:dyDescent="0.3">
      <c r="A450" s="2" t="str">
        <f>HYPERLINK("https://hsdes.intel.com/resource/16014193951","16014193951")</f>
        <v>16014193951</v>
      </c>
      <c r="B450" s="2" t="s">
        <v>825</v>
      </c>
      <c r="C450" s="2" t="s">
        <v>541</v>
      </c>
      <c r="E450" s="2" t="s">
        <v>11</v>
      </c>
      <c r="F450" s="2"/>
      <c r="G450" s="2" t="s">
        <v>751</v>
      </c>
      <c r="H450" s="2"/>
      <c r="I450" s="4">
        <v>44760</v>
      </c>
      <c r="J450" s="2" t="s">
        <v>13</v>
      </c>
      <c r="K450" s="2" t="s">
        <v>19</v>
      </c>
      <c r="L450" s="31" t="s">
        <v>20</v>
      </c>
      <c r="M450" s="2" t="s">
        <v>16</v>
      </c>
      <c r="N450" s="2"/>
    </row>
    <row r="451" spans="1:14" x14ac:dyDescent="0.3">
      <c r="A451" s="2" t="str">
        <f>HYPERLINK("https://hsdes.intel.com/resource/16014195660","16014195660")</f>
        <v>16014195660</v>
      </c>
      <c r="B451" s="2" t="s">
        <v>826</v>
      </c>
      <c r="C451" s="2" t="s">
        <v>541</v>
      </c>
      <c r="E451" s="2" t="s">
        <v>11</v>
      </c>
      <c r="F451" s="2"/>
      <c r="G451" s="2" t="s">
        <v>751</v>
      </c>
      <c r="H451" s="2"/>
      <c r="I451" s="4">
        <v>44760</v>
      </c>
      <c r="J451" s="2" t="s">
        <v>13</v>
      </c>
      <c r="K451" s="2" t="s">
        <v>19</v>
      </c>
      <c r="L451" s="31" t="s">
        <v>20</v>
      </c>
      <c r="M451" s="2" t="s">
        <v>16</v>
      </c>
      <c r="N451" s="2"/>
    </row>
    <row r="452" spans="1:14" x14ac:dyDescent="0.3">
      <c r="A452" s="2" t="str">
        <f>HYPERLINK("https://hsdes.intel.com/resource/16014195667","16014195667")</f>
        <v>16014195667</v>
      </c>
      <c r="B452" s="2" t="s">
        <v>827</v>
      </c>
      <c r="C452" s="2" t="s">
        <v>541</v>
      </c>
      <c r="E452" s="2" t="s">
        <v>11</v>
      </c>
      <c r="F452" s="2"/>
      <c r="G452" s="2" t="s">
        <v>751</v>
      </c>
      <c r="H452" s="2"/>
      <c r="I452" s="4">
        <v>44760</v>
      </c>
      <c r="J452" s="2" t="s">
        <v>13</v>
      </c>
      <c r="K452" s="2" t="s">
        <v>19</v>
      </c>
      <c r="L452" s="31" t="s">
        <v>20</v>
      </c>
      <c r="M452" s="2" t="s">
        <v>16</v>
      </c>
      <c r="N452" s="2"/>
    </row>
    <row r="453" spans="1:14" x14ac:dyDescent="0.3">
      <c r="A453" s="2" t="str">
        <f>HYPERLINK("https://hsdes.intel.com/resource/16014195680","16014195680")</f>
        <v>16014195680</v>
      </c>
      <c r="B453" s="2" t="s">
        <v>828</v>
      </c>
      <c r="C453" s="2" t="s">
        <v>541</v>
      </c>
      <c r="E453" s="2" t="s">
        <v>11</v>
      </c>
      <c r="F453" s="2"/>
      <c r="G453" s="2" t="s">
        <v>751</v>
      </c>
      <c r="H453" s="2"/>
      <c r="I453" s="4">
        <v>44760</v>
      </c>
      <c r="J453" s="2" t="s">
        <v>13</v>
      </c>
      <c r="K453" s="2" t="s">
        <v>19</v>
      </c>
      <c r="L453" s="31" t="s">
        <v>20</v>
      </c>
      <c r="M453" s="2" t="s">
        <v>16</v>
      </c>
      <c r="N453" s="2"/>
    </row>
    <row r="454" spans="1:14" x14ac:dyDescent="0.3">
      <c r="A454" s="2" t="str">
        <f>HYPERLINK("https://hsdes.intel.com/resource/16014195699","16014195699")</f>
        <v>16014195699</v>
      </c>
      <c r="B454" s="2" t="s">
        <v>829</v>
      </c>
      <c r="C454" s="2" t="s">
        <v>541</v>
      </c>
      <c r="E454" s="2" t="s">
        <v>11</v>
      </c>
      <c r="F454" s="2"/>
      <c r="G454" s="2" t="s">
        <v>751</v>
      </c>
      <c r="H454" s="2"/>
      <c r="I454" s="4">
        <v>44760</v>
      </c>
      <c r="J454" s="2" t="s">
        <v>13</v>
      </c>
      <c r="K454" s="2" t="s">
        <v>19</v>
      </c>
      <c r="L454" s="31" t="s">
        <v>20</v>
      </c>
      <c r="M454" s="2" t="s">
        <v>16</v>
      </c>
      <c r="N454" s="2"/>
    </row>
    <row r="455" spans="1:14" x14ac:dyDescent="0.3">
      <c r="A455" s="2" t="str">
        <f>HYPERLINK("https://hsdes.intel.com/resource/16014195710","16014195710")</f>
        <v>16014195710</v>
      </c>
      <c r="B455" s="2" t="s">
        <v>830</v>
      </c>
      <c r="C455" s="2" t="s">
        <v>541</v>
      </c>
      <c r="E455" s="2" t="s">
        <v>11</v>
      </c>
      <c r="F455" s="2"/>
      <c r="G455" s="2" t="s">
        <v>751</v>
      </c>
      <c r="H455" s="2"/>
      <c r="I455" s="4">
        <v>44760</v>
      </c>
      <c r="J455" s="2" t="s">
        <v>13</v>
      </c>
      <c r="K455" s="2" t="s">
        <v>19</v>
      </c>
      <c r="L455" s="31" t="s">
        <v>20</v>
      </c>
      <c r="M455" s="2" t="s">
        <v>16</v>
      </c>
      <c r="N455" s="2"/>
    </row>
    <row r="456" spans="1:14" x14ac:dyDescent="0.3">
      <c r="A456" s="2" t="str">
        <f>HYPERLINK("https://hsdes.intel.com/resource/14013185197","14013185197")</f>
        <v>14013185197</v>
      </c>
      <c r="B456" s="2" t="s">
        <v>831</v>
      </c>
      <c r="C456" s="2" t="s">
        <v>541</v>
      </c>
      <c r="D456" s="2" t="s">
        <v>832</v>
      </c>
      <c r="E456" s="2" t="s">
        <v>11</v>
      </c>
      <c r="F456" s="2"/>
      <c r="G456" s="2" t="s">
        <v>363</v>
      </c>
      <c r="H456" s="2"/>
      <c r="I456" s="4">
        <v>44757</v>
      </c>
      <c r="J456" s="2" t="s">
        <v>13</v>
      </c>
      <c r="K456" s="2" t="s">
        <v>328</v>
      </c>
      <c r="L456" s="2" t="s">
        <v>29</v>
      </c>
      <c r="M456" s="2" t="s">
        <v>24</v>
      </c>
    </row>
    <row r="457" spans="1:14" x14ac:dyDescent="0.3">
      <c r="A457" s="18" t="str">
        <f>HYPERLINK("https://hsdes.intel.com/resource/14013114989","14013114989")</f>
        <v>14013114989</v>
      </c>
      <c r="B457" s="2" t="s">
        <v>8</v>
      </c>
      <c r="C457" s="2" t="s">
        <v>833</v>
      </c>
      <c r="D457" s="2" t="s">
        <v>10</v>
      </c>
      <c r="E457" s="2" t="s">
        <v>11</v>
      </c>
      <c r="F457" s="2" t="s">
        <v>834</v>
      </c>
      <c r="G457" s="2" t="s">
        <v>363</v>
      </c>
      <c r="H457" s="2"/>
      <c r="I457" s="4">
        <v>44761</v>
      </c>
      <c r="J457" s="2" t="s">
        <v>13</v>
      </c>
      <c r="K457" s="2" t="s">
        <v>14</v>
      </c>
      <c r="L457" s="2" t="s">
        <v>15</v>
      </c>
      <c r="M457" s="2" t="s">
        <v>16</v>
      </c>
    </row>
    <row r="458" spans="1:14" x14ac:dyDescent="0.3">
      <c r="A458" s="2" t="str">
        <f>HYPERLINK("https://hsdes.intel.com/resource/14013115011","14013115011")</f>
        <v>14013115011</v>
      </c>
      <c r="B458" s="2" t="s">
        <v>17</v>
      </c>
      <c r="C458" s="2" t="s">
        <v>833</v>
      </c>
      <c r="D458" s="2" t="s">
        <v>18</v>
      </c>
      <c r="E458" s="2" t="s">
        <v>11</v>
      </c>
      <c r="F458" s="2"/>
      <c r="G458" s="2" t="s">
        <v>349</v>
      </c>
      <c r="H458" s="2"/>
      <c r="I458" s="4">
        <v>44754</v>
      </c>
      <c r="J458" s="2" t="s">
        <v>13</v>
      </c>
      <c r="K458" s="2" t="s">
        <v>19</v>
      </c>
      <c r="L458" s="2" t="s">
        <v>20</v>
      </c>
      <c r="M458" s="2" t="s">
        <v>21</v>
      </c>
    </row>
    <row r="459" spans="1:14" x14ac:dyDescent="0.3">
      <c r="A459" s="2" t="str">
        <f>HYPERLINK("https://hsdes.intel.com/resource/14013115043","14013115043")</f>
        <v>14013115043</v>
      </c>
      <c r="B459" s="2" t="s">
        <v>22</v>
      </c>
      <c r="C459" s="2" t="s">
        <v>833</v>
      </c>
      <c r="D459" s="2" t="s">
        <v>23</v>
      </c>
      <c r="E459" s="2" t="s">
        <v>11</v>
      </c>
      <c r="F459" s="2" t="s">
        <v>835</v>
      </c>
      <c r="G459" s="2" t="s">
        <v>836</v>
      </c>
      <c r="H459" s="2"/>
      <c r="I459" s="4">
        <v>44756</v>
      </c>
      <c r="J459" s="2" t="s">
        <v>13</v>
      </c>
      <c r="K459" s="2" t="s">
        <v>14</v>
      </c>
      <c r="L459" s="2" t="s">
        <v>15</v>
      </c>
      <c r="M459" s="2" t="s">
        <v>24</v>
      </c>
    </row>
    <row r="460" spans="1:14" x14ac:dyDescent="0.3">
      <c r="A460" s="18" t="str">
        <f>HYPERLINK("https://hsdes.intel.com/resource/14013118973","14013118973")</f>
        <v>14013118973</v>
      </c>
      <c r="B460" s="2" t="s">
        <v>540</v>
      </c>
      <c r="C460" s="2" t="s">
        <v>833</v>
      </c>
      <c r="D460" s="2" t="s">
        <v>542</v>
      </c>
      <c r="E460" s="2" t="s">
        <v>11</v>
      </c>
      <c r="F460" s="2"/>
      <c r="G460" s="2" t="s">
        <v>543</v>
      </c>
      <c r="H460" s="2"/>
      <c r="I460" s="4">
        <v>44757</v>
      </c>
      <c r="J460" s="2" t="s">
        <v>13</v>
      </c>
      <c r="K460" s="2" t="s">
        <v>45</v>
      </c>
      <c r="L460" s="2" t="s">
        <v>544</v>
      </c>
      <c r="M460" s="2" t="s">
        <v>16</v>
      </c>
    </row>
    <row r="461" spans="1:14" x14ac:dyDescent="0.3">
      <c r="A461" s="2" t="str">
        <f>HYPERLINK("https://hsdes.intel.com/resource/14013119085","14013119085")</f>
        <v>14013119085</v>
      </c>
      <c r="B461" s="2" t="s">
        <v>545</v>
      </c>
      <c r="C461" s="2" t="s">
        <v>833</v>
      </c>
      <c r="D461" s="2" t="s">
        <v>546</v>
      </c>
      <c r="E461" s="2" t="s">
        <v>342</v>
      </c>
      <c r="F461" s="2"/>
      <c r="G461" s="2" t="s">
        <v>837</v>
      </c>
      <c r="H461" s="2"/>
      <c r="I461" s="4">
        <v>44754</v>
      </c>
      <c r="J461" s="2" t="s">
        <v>13</v>
      </c>
      <c r="K461" s="2" t="s">
        <v>14</v>
      </c>
      <c r="L461" s="2" t="s">
        <v>88</v>
      </c>
      <c r="M461" s="2" t="s">
        <v>16</v>
      </c>
    </row>
    <row r="462" spans="1:14" x14ac:dyDescent="0.3">
      <c r="A462" s="18" t="str">
        <f>HYPERLINK("https://hsdes.intel.com/resource/14013119215","14013119215")</f>
        <v>14013119215</v>
      </c>
      <c r="B462" s="2" t="s">
        <v>30</v>
      </c>
      <c r="C462" s="2" t="s">
        <v>833</v>
      </c>
      <c r="D462" s="2" t="s">
        <v>31</v>
      </c>
      <c r="E462" s="2" t="s">
        <v>11</v>
      </c>
      <c r="F462" s="2"/>
      <c r="G462" s="2" t="s">
        <v>363</v>
      </c>
      <c r="H462" s="2"/>
      <c r="I462" s="4">
        <v>44761</v>
      </c>
      <c r="J462" s="2" t="s">
        <v>13</v>
      </c>
      <c r="K462" s="2" t="s">
        <v>33</v>
      </c>
      <c r="L462" s="2" t="s">
        <v>34</v>
      </c>
      <c r="M462" s="2" t="s">
        <v>16</v>
      </c>
    </row>
    <row r="463" spans="1:14" x14ac:dyDescent="0.3">
      <c r="A463" s="2" t="str">
        <f>HYPERLINK("https://hsdes.intel.com/resource/14013120134","14013120134")</f>
        <v>14013120134</v>
      </c>
      <c r="B463" s="2" t="s">
        <v>548</v>
      </c>
      <c r="C463" s="2" t="s">
        <v>833</v>
      </c>
      <c r="D463" s="2" t="s">
        <v>549</v>
      </c>
      <c r="E463" s="2" t="s">
        <v>32</v>
      </c>
      <c r="F463" s="48" t="s">
        <v>3640</v>
      </c>
      <c r="G463" s="2" t="s">
        <v>836</v>
      </c>
      <c r="H463" s="2" t="s">
        <v>345</v>
      </c>
      <c r="I463" s="4">
        <v>44767</v>
      </c>
      <c r="J463" s="2" t="s">
        <v>13</v>
      </c>
      <c r="K463" s="2" t="s">
        <v>45</v>
      </c>
      <c r="L463" s="2" t="s">
        <v>544</v>
      </c>
      <c r="M463" s="2" t="s">
        <v>21</v>
      </c>
    </row>
    <row r="464" spans="1:14" x14ac:dyDescent="0.3">
      <c r="A464" s="2" t="str">
        <f>HYPERLINK("https://hsdes.intel.com/resource/14013156843","14013156843")</f>
        <v>14013156843</v>
      </c>
      <c r="B464" s="2" t="s">
        <v>551</v>
      </c>
      <c r="C464" s="2" t="s">
        <v>833</v>
      </c>
      <c r="D464" s="2" t="s">
        <v>552</v>
      </c>
      <c r="E464" s="2" t="s">
        <v>11</v>
      </c>
      <c r="F464" s="2"/>
      <c r="G464" s="2" t="s">
        <v>837</v>
      </c>
      <c r="H464" s="2"/>
      <c r="I464" s="4">
        <v>44755</v>
      </c>
      <c r="J464" s="2" t="s">
        <v>13</v>
      </c>
      <c r="K464" s="2" t="s">
        <v>553</v>
      </c>
      <c r="L464" s="2" t="s">
        <v>544</v>
      </c>
      <c r="M464" s="2" t="s">
        <v>16</v>
      </c>
    </row>
    <row r="465" spans="1:13" x14ac:dyDescent="0.3">
      <c r="A465" s="2" t="str">
        <f>HYPERLINK("https://hsdes.intel.com/resource/14013156857","14013156857")</f>
        <v>14013156857</v>
      </c>
      <c r="B465" s="2" t="s">
        <v>554</v>
      </c>
      <c r="C465" s="2" t="s">
        <v>833</v>
      </c>
      <c r="D465" s="2" t="s">
        <v>555</v>
      </c>
      <c r="E465" s="2" t="s">
        <v>11</v>
      </c>
      <c r="F465" s="2"/>
      <c r="G465" s="2" t="s">
        <v>837</v>
      </c>
      <c r="H465" s="2"/>
      <c r="I465" s="4">
        <v>44755</v>
      </c>
      <c r="J465" s="2" t="s">
        <v>13</v>
      </c>
      <c r="K465" s="2" t="s">
        <v>553</v>
      </c>
      <c r="L465" s="2" t="s">
        <v>544</v>
      </c>
      <c r="M465" s="2" t="s">
        <v>16</v>
      </c>
    </row>
    <row r="466" spans="1:13" x14ac:dyDescent="0.3">
      <c r="A466" s="2" t="str">
        <f>HYPERLINK("https://hsdes.intel.com/resource/14013157081","14013157081")</f>
        <v>14013157081</v>
      </c>
      <c r="B466" s="2" t="s">
        <v>556</v>
      </c>
      <c r="C466" s="2" t="s">
        <v>833</v>
      </c>
      <c r="D466" s="2" t="s">
        <v>557</v>
      </c>
      <c r="E466" s="2" t="s">
        <v>11</v>
      </c>
      <c r="F466" s="2" t="s">
        <v>839</v>
      </c>
      <c r="G466" s="2" t="s">
        <v>836</v>
      </c>
      <c r="H466" s="2"/>
      <c r="I466" s="4">
        <v>44756</v>
      </c>
      <c r="J466" s="2" t="s">
        <v>13</v>
      </c>
      <c r="K466" s="2" t="s">
        <v>553</v>
      </c>
      <c r="L466" s="2" t="s">
        <v>544</v>
      </c>
      <c r="M466" s="2" t="s">
        <v>16</v>
      </c>
    </row>
    <row r="467" spans="1:13" x14ac:dyDescent="0.3">
      <c r="A467" s="2" t="str">
        <f>HYPERLINK("https://hsdes.intel.com/resource/14013157188","14013157188")</f>
        <v>14013157188</v>
      </c>
      <c r="B467" s="2" t="s">
        <v>559</v>
      </c>
      <c r="C467" s="2" t="s">
        <v>833</v>
      </c>
      <c r="D467" s="2" t="s">
        <v>560</v>
      </c>
      <c r="E467" s="2" t="s">
        <v>37</v>
      </c>
      <c r="F467" s="2" t="s">
        <v>840</v>
      </c>
      <c r="G467" s="2" t="s">
        <v>841</v>
      </c>
      <c r="H467" s="2"/>
      <c r="I467" s="2"/>
      <c r="J467" s="2" t="s">
        <v>13</v>
      </c>
      <c r="K467" s="2" t="s">
        <v>562</v>
      </c>
      <c r="L467" s="2" t="s">
        <v>94</v>
      </c>
      <c r="M467" s="2" t="s">
        <v>16</v>
      </c>
    </row>
    <row r="468" spans="1:13" x14ac:dyDescent="0.3">
      <c r="A468" s="18" t="str">
        <f>HYPERLINK("https://hsdes.intel.com/resource/14013157767","14013157767")</f>
        <v>14013157767</v>
      </c>
      <c r="B468" s="2" t="s">
        <v>563</v>
      </c>
      <c r="C468" s="2" t="s">
        <v>833</v>
      </c>
      <c r="D468" s="2" t="s">
        <v>564</v>
      </c>
      <c r="E468" s="2" t="s">
        <v>11</v>
      </c>
      <c r="F468" s="2"/>
      <c r="G468" s="2" t="s">
        <v>543</v>
      </c>
      <c r="H468" s="2"/>
      <c r="I468" s="4">
        <v>44757</v>
      </c>
      <c r="J468" s="2" t="s">
        <v>13</v>
      </c>
      <c r="K468" s="2" t="s">
        <v>296</v>
      </c>
      <c r="L468" s="2" t="s">
        <v>297</v>
      </c>
      <c r="M468" s="2" t="s">
        <v>16</v>
      </c>
    </row>
    <row r="469" spans="1:13" x14ac:dyDescent="0.3">
      <c r="A469" s="2" t="str">
        <f>HYPERLINK("https://hsdes.intel.com/resource/14013157781","14013157781")</f>
        <v>14013157781</v>
      </c>
      <c r="B469" s="2" t="s">
        <v>565</v>
      </c>
      <c r="C469" s="2" t="s">
        <v>833</v>
      </c>
      <c r="D469" s="2" t="s">
        <v>566</v>
      </c>
      <c r="E469" s="2" t="s">
        <v>11</v>
      </c>
      <c r="F469" s="2"/>
      <c r="G469" s="2" t="s">
        <v>841</v>
      </c>
      <c r="H469" s="2"/>
      <c r="I469" s="4">
        <v>44755</v>
      </c>
      <c r="J469" s="2" t="s">
        <v>13</v>
      </c>
      <c r="K469" s="2" t="s">
        <v>562</v>
      </c>
      <c r="L469" s="2" t="s">
        <v>94</v>
      </c>
      <c r="M469" s="2" t="s">
        <v>16</v>
      </c>
    </row>
    <row r="470" spans="1:13" x14ac:dyDescent="0.3">
      <c r="A470" s="2" t="str">
        <f>HYPERLINK("https://hsdes.intel.com/resource/14013158122","14013158122")</f>
        <v>14013158122</v>
      </c>
      <c r="B470" s="2" t="s">
        <v>567</v>
      </c>
      <c r="C470" s="2" t="s">
        <v>833</v>
      </c>
      <c r="D470" s="2" t="s">
        <v>568</v>
      </c>
      <c r="E470" s="2" t="s">
        <v>342</v>
      </c>
      <c r="F470" s="2"/>
      <c r="G470" s="2" t="s">
        <v>837</v>
      </c>
      <c r="H470" s="2"/>
      <c r="I470" s="4">
        <v>44754</v>
      </c>
      <c r="J470" s="2" t="s">
        <v>13</v>
      </c>
      <c r="K470" s="2" t="s">
        <v>45</v>
      </c>
      <c r="L470" s="2" t="s">
        <v>544</v>
      </c>
      <c r="M470" s="2" t="s">
        <v>16</v>
      </c>
    </row>
    <row r="471" spans="1:13" x14ac:dyDescent="0.3">
      <c r="A471" s="2" t="str">
        <f>HYPERLINK("https://hsdes.intel.com/resource/14013158193","14013158193")</f>
        <v>14013158193</v>
      </c>
      <c r="B471" s="2" t="s">
        <v>569</v>
      </c>
      <c r="C471" s="2" t="s">
        <v>833</v>
      </c>
      <c r="D471" s="2" t="s">
        <v>570</v>
      </c>
      <c r="E471" s="2" t="s">
        <v>11</v>
      </c>
      <c r="F471" s="2"/>
      <c r="G471" s="2" t="s">
        <v>841</v>
      </c>
      <c r="H471" s="2"/>
      <c r="I471" s="4">
        <v>44755</v>
      </c>
      <c r="J471" s="2" t="s">
        <v>13</v>
      </c>
      <c r="K471" s="2" t="s">
        <v>571</v>
      </c>
      <c r="L471" s="2" t="s">
        <v>94</v>
      </c>
      <c r="M471" s="2" t="s">
        <v>16</v>
      </c>
    </row>
    <row r="472" spans="1:13" x14ac:dyDescent="0.3">
      <c r="A472" s="2" t="str">
        <f>HYPERLINK("https://hsdes.intel.com/resource/14013158200","14013158200")</f>
        <v>14013158200</v>
      </c>
      <c r="B472" s="2" t="s">
        <v>572</v>
      </c>
      <c r="C472" s="2" t="s">
        <v>833</v>
      </c>
      <c r="D472" s="2" t="s">
        <v>573</v>
      </c>
      <c r="E472" s="2" t="s">
        <v>11</v>
      </c>
      <c r="F472" s="2"/>
      <c r="G472" s="2" t="s">
        <v>837</v>
      </c>
      <c r="H472" s="2"/>
      <c r="I472" s="4">
        <v>44754</v>
      </c>
      <c r="J472" s="2" t="s">
        <v>13</v>
      </c>
      <c r="K472" s="2" t="s">
        <v>553</v>
      </c>
      <c r="L472" s="2" t="s">
        <v>544</v>
      </c>
      <c r="M472" s="2" t="s">
        <v>16</v>
      </c>
    </row>
    <row r="473" spans="1:13" x14ac:dyDescent="0.3">
      <c r="A473" s="18" t="str">
        <f>HYPERLINK("https://hsdes.intel.com/resource/14013158295","14013158295")</f>
        <v>14013158295</v>
      </c>
      <c r="B473" s="2" t="s">
        <v>40</v>
      </c>
      <c r="C473" s="2" t="s">
        <v>833</v>
      </c>
      <c r="D473" s="2" t="s">
        <v>41</v>
      </c>
      <c r="E473" s="2" t="s">
        <v>11</v>
      </c>
      <c r="F473" s="2"/>
      <c r="G473" s="2" t="s">
        <v>543</v>
      </c>
      <c r="H473" s="2"/>
      <c r="I473" s="4">
        <v>44757</v>
      </c>
      <c r="J473" s="2" t="s">
        <v>13</v>
      </c>
      <c r="K473" s="2" t="s">
        <v>42</v>
      </c>
      <c r="L473" s="2" t="s">
        <v>15</v>
      </c>
      <c r="M473" s="2" t="s">
        <v>21</v>
      </c>
    </row>
    <row r="474" spans="1:13" x14ac:dyDescent="0.3">
      <c r="A474" s="2" t="str">
        <f>HYPERLINK("https://hsdes.intel.com/resource/14013158384","14013158384")</f>
        <v>14013158384</v>
      </c>
      <c r="B474" s="2" t="s">
        <v>574</v>
      </c>
      <c r="C474" s="2" t="s">
        <v>833</v>
      </c>
      <c r="D474" s="2" t="s">
        <v>575</v>
      </c>
      <c r="E474" s="2" t="s">
        <v>11</v>
      </c>
      <c r="F474" s="2"/>
      <c r="G474" s="2" t="s">
        <v>837</v>
      </c>
      <c r="H474" s="2"/>
      <c r="I474" s="4">
        <v>44755</v>
      </c>
      <c r="J474" s="2" t="s">
        <v>13</v>
      </c>
      <c r="K474" s="2" t="s">
        <v>553</v>
      </c>
      <c r="L474" s="2" t="s">
        <v>544</v>
      </c>
      <c r="M474" s="2" t="s">
        <v>16</v>
      </c>
    </row>
    <row r="475" spans="1:13" x14ac:dyDescent="0.3">
      <c r="A475" s="2" t="str">
        <f>HYPERLINK("https://hsdes.intel.com/resource/14013158397","14013158397")</f>
        <v>14013158397</v>
      </c>
      <c r="B475" s="2" t="s">
        <v>43</v>
      </c>
      <c r="C475" s="2" t="s">
        <v>833</v>
      </c>
      <c r="D475" s="2" t="s">
        <v>44</v>
      </c>
      <c r="E475" s="2" t="s">
        <v>11</v>
      </c>
      <c r="F475" s="2"/>
      <c r="G475" s="2" t="s">
        <v>837</v>
      </c>
      <c r="H475" s="2"/>
      <c r="I475" s="4">
        <v>44754</v>
      </c>
      <c r="J475" s="2" t="s">
        <v>13</v>
      </c>
      <c r="K475" s="2" t="s">
        <v>45</v>
      </c>
      <c r="L475" s="2" t="s">
        <v>15</v>
      </c>
      <c r="M475" s="2" t="s">
        <v>16</v>
      </c>
    </row>
    <row r="476" spans="1:13" x14ac:dyDescent="0.3">
      <c r="A476" s="2" t="str">
        <f>HYPERLINK("https://hsdes.intel.com/resource/14013158414","14013158414")</f>
        <v>14013158414</v>
      </c>
      <c r="B476" s="2" t="s">
        <v>576</v>
      </c>
      <c r="C476" s="2" t="s">
        <v>833</v>
      </c>
      <c r="D476" s="2" t="s">
        <v>577</v>
      </c>
      <c r="E476" s="2" t="s">
        <v>11</v>
      </c>
      <c r="F476" s="2"/>
      <c r="G476" s="2" t="s">
        <v>841</v>
      </c>
      <c r="H476" s="2"/>
      <c r="I476" s="4">
        <v>44757</v>
      </c>
      <c r="J476" s="2" t="s">
        <v>13</v>
      </c>
      <c r="K476" s="2" t="s">
        <v>93</v>
      </c>
      <c r="L476" s="2" t="s">
        <v>94</v>
      </c>
      <c r="M476" s="2" t="s">
        <v>16</v>
      </c>
    </row>
    <row r="477" spans="1:13" x14ac:dyDescent="0.3">
      <c r="A477" s="2" t="str">
        <f>HYPERLINK("https://hsdes.intel.com/resource/14013158498","14013158498")</f>
        <v>14013158498</v>
      </c>
      <c r="B477" s="2" t="s">
        <v>579</v>
      </c>
      <c r="C477" s="2" t="s">
        <v>833</v>
      </c>
      <c r="D477" s="2" t="s">
        <v>580</v>
      </c>
      <c r="E477" s="2" t="s">
        <v>11</v>
      </c>
      <c r="F477" s="2"/>
      <c r="G477" s="2" t="s">
        <v>837</v>
      </c>
      <c r="H477" s="2"/>
      <c r="I477" s="4">
        <v>44754</v>
      </c>
      <c r="J477" s="2" t="s">
        <v>13</v>
      </c>
      <c r="K477" s="2" t="s">
        <v>553</v>
      </c>
      <c r="L477" s="2" t="s">
        <v>581</v>
      </c>
      <c r="M477" s="2" t="s">
        <v>16</v>
      </c>
    </row>
    <row r="478" spans="1:13" x14ac:dyDescent="0.3">
      <c r="A478" s="18" t="str">
        <f>HYPERLINK("https://hsdes.intel.com/resource/14013158827","14013158827")</f>
        <v>14013158827</v>
      </c>
      <c r="B478" s="2" t="s">
        <v>46</v>
      </c>
      <c r="C478" s="2" t="s">
        <v>833</v>
      </c>
      <c r="D478" s="2" t="s">
        <v>47</v>
      </c>
      <c r="E478" s="2" t="s">
        <v>11</v>
      </c>
      <c r="F478" s="2" t="s">
        <v>350</v>
      </c>
      <c r="G478" s="2" t="s">
        <v>363</v>
      </c>
      <c r="H478" s="2"/>
      <c r="I478" s="4">
        <v>44761</v>
      </c>
      <c r="J478" s="2" t="s">
        <v>13</v>
      </c>
      <c r="K478" s="2" t="s">
        <v>19</v>
      </c>
      <c r="L478" s="2" t="s">
        <v>20</v>
      </c>
      <c r="M478" s="2" t="s">
        <v>21</v>
      </c>
    </row>
    <row r="479" spans="1:13" x14ac:dyDescent="0.3">
      <c r="A479" s="2" t="str">
        <f>HYPERLINK("https://hsdes.intel.com/resource/14013158828","14013158828")</f>
        <v>14013158828</v>
      </c>
      <c r="B479" s="2" t="s">
        <v>48</v>
      </c>
      <c r="C479" s="2" t="s">
        <v>833</v>
      </c>
      <c r="D479" s="2" t="s">
        <v>49</v>
      </c>
      <c r="E479" s="2" t="s">
        <v>11</v>
      </c>
      <c r="F479" s="2"/>
      <c r="G479" s="2" t="s">
        <v>363</v>
      </c>
      <c r="H479" s="2"/>
      <c r="I479" s="4">
        <v>44761</v>
      </c>
      <c r="J479" s="2" t="s">
        <v>13</v>
      </c>
      <c r="K479" s="2" t="s">
        <v>19</v>
      </c>
      <c r="L479" s="2" t="s">
        <v>20</v>
      </c>
      <c r="M479" s="2" t="s">
        <v>21</v>
      </c>
    </row>
    <row r="480" spans="1:13" x14ac:dyDescent="0.3">
      <c r="A480" s="2" t="str">
        <f>HYPERLINK("https://hsdes.intel.com/resource/14013158830","14013158830")</f>
        <v>14013158830</v>
      </c>
      <c r="B480" s="2" t="s">
        <v>50</v>
      </c>
      <c r="C480" s="2" t="s">
        <v>833</v>
      </c>
      <c r="D480" s="2" t="s">
        <v>51</v>
      </c>
      <c r="E480" s="2" t="s">
        <v>11</v>
      </c>
      <c r="F480" s="2"/>
      <c r="G480" s="2" t="s">
        <v>363</v>
      </c>
      <c r="H480" s="2"/>
      <c r="I480" s="4">
        <v>44761</v>
      </c>
      <c r="J480" s="2" t="s">
        <v>13</v>
      </c>
      <c r="K480" s="2" t="s">
        <v>19</v>
      </c>
      <c r="L480" s="2" t="s">
        <v>20</v>
      </c>
      <c r="M480" s="2" t="s">
        <v>21</v>
      </c>
    </row>
    <row r="481" spans="1:13" x14ac:dyDescent="0.3">
      <c r="A481" s="2" t="str">
        <f>HYPERLINK("https://hsdes.intel.com/resource/14013158985","14013158985")</f>
        <v>14013158985</v>
      </c>
      <c r="B481" s="2" t="s">
        <v>583</v>
      </c>
      <c r="C481" s="2" t="s">
        <v>833</v>
      </c>
      <c r="D481" s="2" t="s">
        <v>584</v>
      </c>
      <c r="E481" s="2" t="s">
        <v>11</v>
      </c>
      <c r="F481" s="2" t="s">
        <v>842</v>
      </c>
      <c r="G481" s="2" t="s">
        <v>363</v>
      </c>
      <c r="H481" s="2"/>
      <c r="I481" s="4">
        <v>44761</v>
      </c>
      <c r="J481" s="2" t="s">
        <v>13</v>
      </c>
      <c r="K481" s="2" t="s">
        <v>71</v>
      </c>
      <c r="L481" s="2" t="s">
        <v>34</v>
      </c>
      <c r="M481" s="2" t="s">
        <v>16</v>
      </c>
    </row>
    <row r="482" spans="1:13" x14ac:dyDescent="0.3">
      <c r="A482" s="2" t="str">
        <f>HYPERLINK("https://hsdes.intel.com/resource/14013159097","14013159097")</f>
        <v>14013159097</v>
      </c>
      <c r="B482" s="2" t="s">
        <v>54</v>
      </c>
      <c r="C482" s="2" t="s">
        <v>833</v>
      </c>
      <c r="D482" s="2" t="s">
        <v>55</v>
      </c>
      <c r="E482" s="2" t="s">
        <v>11</v>
      </c>
      <c r="F482" s="2"/>
      <c r="G482" s="2" t="s">
        <v>843</v>
      </c>
      <c r="H482" s="2"/>
      <c r="I482" s="4">
        <v>44756</v>
      </c>
      <c r="J482" s="2" t="s">
        <v>13</v>
      </c>
      <c r="K482" s="2" t="s">
        <v>19</v>
      </c>
      <c r="L482" s="2" t="s">
        <v>20</v>
      </c>
      <c r="M482" s="2" t="s">
        <v>24</v>
      </c>
    </row>
    <row r="483" spans="1:13" x14ac:dyDescent="0.3">
      <c r="A483" s="2" t="str">
        <f>HYPERLINK("https://hsdes.intel.com/resource/14013159119","14013159119")</f>
        <v>14013159119</v>
      </c>
      <c r="B483" s="2" t="s">
        <v>56</v>
      </c>
      <c r="C483" s="2" t="s">
        <v>833</v>
      </c>
      <c r="D483" s="2" t="s">
        <v>57</v>
      </c>
      <c r="E483" s="2" t="s">
        <v>11</v>
      </c>
      <c r="F483" s="2"/>
      <c r="G483" s="2" t="s">
        <v>843</v>
      </c>
      <c r="H483" s="2"/>
      <c r="I483" s="4">
        <v>44756</v>
      </c>
      <c r="J483" s="2" t="s">
        <v>13</v>
      </c>
      <c r="K483" s="2" t="s">
        <v>19</v>
      </c>
      <c r="L483" s="2" t="s">
        <v>20</v>
      </c>
      <c r="M483" s="2" t="s">
        <v>21</v>
      </c>
    </row>
    <row r="484" spans="1:13" x14ac:dyDescent="0.3">
      <c r="A484" s="2" t="str">
        <f>HYPERLINK("https://hsdes.intel.com/resource/14013159201","14013159201")</f>
        <v>14013159201</v>
      </c>
      <c r="B484" s="2" t="s">
        <v>58</v>
      </c>
      <c r="C484" s="2" t="s">
        <v>833</v>
      </c>
      <c r="D484" s="2" t="s">
        <v>59</v>
      </c>
      <c r="E484" s="2" t="s">
        <v>11</v>
      </c>
      <c r="F484" s="2"/>
      <c r="G484" s="2" t="s">
        <v>363</v>
      </c>
      <c r="H484" s="2"/>
      <c r="I484" s="4">
        <v>44761</v>
      </c>
      <c r="J484" s="2" t="s">
        <v>13</v>
      </c>
      <c r="K484" s="2" t="s">
        <v>19</v>
      </c>
      <c r="L484" s="2" t="s">
        <v>20</v>
      </c>
      <c r="M484" s="2" t="s">
        <v>24</v>
      </c>
    </row>
    <row r="485" spans="1:13" x14ac:dyDescent="0.3">
      <c r="A485" s="2" t="str">
        <f>HYPERLINK("https://hsdes.intel.com/resource/14013159224","14013159224")</f>
        <v>14013159224</v>
      </c>
      <c r="B485" s="2" t="s">
        <v>60</v>
      </c>
      <c r="C485" s="2" t="s">
        <v>833</v>
      </c>
      <c r="D485" s="2" t="s">
        <v>61</v>
      </c>
      <c r="E485" s="2" t="s">
        <v>11</v>
      </c>
      <c r="F485" s="2"/>
      <c r="G485" s="2" t="s">
        <v>843</v>
      </c>
      <c r="H485" s="2"/>
      <c r="I485" s="4">
        <v>44756</v>
      </c>
      <c r="J485" s="2" t="s">
        <v>13</v>
      </c>
      <c r="K485" s="2" t="s">
        <v>19</v>
      </c>
      <c r="L485" s="2" t="s">
        <v>20</v>
      </c>
      <c r="M485" s="2" t="s">
        <v>24</v>
      </c>
    </row>
    <row r="486" spans="1:13" x14ac:dyDescent="0.3">
      <c r="A486" s="2" t="str">
        <f>HYPERLINK("https://hsdes.intel.com/resource/14013159287","14013159287")</f>
        <v>14013159287</v>
      </c>
      <c r="B486" s="2" t="s">
        <v>62</v>
      </c>
      <c r="C486" s="2" t="s">
        <v>833</v>
      </c>
      <c r="D486" s="2" t="s">
        <v>63</v>
      </c>
      <c r="E486" s="2" t="s">
        <v>11</v>
      </c>
      <c r="F486" s="2" t="s">
        <v>844</v>
      </c>
      <c r="G486" s="2" t="s">
        <v>363</v>
      </c>
      <c r="H486" s="2"/>
      <c r="I486" s="4">
        <v>44761</v>
      </c>
      <c r="J486" s="2" t="s">
        <v>13</v>
      </c>
      <c r="K486" s="2" t="s">
        <v>19</v>
      </c>
      <c r="L486" s="2" t="s">
        <v>20</v>
      </c>
      <c r="M486" s="2" t="s">
        <v>24</v>
      </c>
    </row>
    <row r="487" spans="1:13" x14ac:dyDescent="0.3">
      <c r="A487" s="2" t="str">
        <f>HYPERLINK("https://hsdes.intel.com/resource/14013159682","14013159682")</f>
        <v>14013159682</v>
      </c>
      <c r="B487" s="2" t="s">
        <v>586</v>
      </c>
      <c r="C487" s="2" t="s">
        <v>833</v>
      </c>
      <c r="D487" s="2" t="s">
        <v>587</v>
      </c>
      <c r="E487" s="2" t="s">
        <v>11</v>
      </c>
      <c r="F487" s="2"/>
      <c r="G487" s="2" t="s">
        <v>363</v>
      </c>
      <c r="H487" s="2"/>
      <c r="I487" s="4">
        <v>44762</v>
      </c>
      <c r="J487" s="2" t="s">
        <v>13</v>
      </c>
      <c r="K487" s="2" t="s">
        <v>93</v>
      </c>
      <c r="L487" s="2" t="s">
        <v>94</v>
      </c>
      <c r="M487" s="2" t="s">
        <v>24</v>
      </c>
    </row>
    <row r="488" spans="1:13" x14ac:dyDescent="0.3">
      <c r="A488" s="2" t="str">
        <f>HYPERLINK("https://hsdes.intel.com/resource/14013159726","14013159726")</f>
        <v>14013159726</v>
      </c>
      <c r="B488" s="2" t="s">
        <v>588</v>
      </c>
      <c r="C488" s="2" t="s">
        <v>833</v>
      </c>
      <c r="D488" s="2" t="s">
        <v>589</v>
      </c>
      <c r="E488" s="2" t="s">
        <v>11</v>
      </c>
      <c r="F488" s="2"/>
      <c r="G488" s="2" t="s">
        <v>841</v>
      </c>
      <c r="H488" s="2"/>
      <c r="I488" s="4">
        <v>44755</v>
      </c>
      <c r="J488" s="2" t="s">
        <v>13</v>
      </c>
      <c r="K488" s="2" t="s">
        <v>93</v>
      </c>
      <c r="L488" s="2" t="s">
        <v>94</v>
      </c>
      <c r="M488" s="2" t="s">
        <v>16</v>
      </c>
    </row>
    <row r="489" spans="1:13" x14ac:dyDescent="0.3">
      <c r="A489" s="18" t="str">
        <f>HYPERLINK("https://hsdes.intel.com/resource/14013160580","14013160580")</f>
        <v>14013160580</v>
      </c>
      <c r="B489" s="2" t="s">
        <v>76</v>
      </c>
      <c r="C489" s="2" t="s">
        <v>833</v>
      </c>
      <c r="D489" s="2" t="s">
        <v>77</v>
      </c>
      <c r="E489" s="2" t="s">
        <v>11</v>
      </c>
      <c r="F489" s="2" t="s">
        <v>845</v>
      </c>
      <c r="G489" s="2" t="s">
        <v>363</v>
      </c>
      <c r="H489" s="2"/>
      <c r="I489" s="4">
        <v>44762</v>
      </c>
      <c r="J489" s="2" t="s">
        <v>13</v>
      </c>
      <c r="K489" s="2" t="s">
        <v>14</v>
      </c>
      <c r="L489" s="2" t="s">
        <v>15</v>
      </c>
      <c r="M489" s="2" t="s">
        <v>21</v>
      </c>
    </row>
    <row r="490" spans="1:13" x14ac:dyDescent="0.3">
      <c r="A490" s="2" t="str">
        <f>HYPERLINK("https://hsdes.intel.com/resource/14013160596","14013160596")</f>
        <v>14013160596</v>
      </c>
      <c r="B490" s="2" t="s">
        <v>78</v>
      </c>
      <c r="C490" s="2" t="s">
        <v>833</v>
      </c>
      <c r="D490" s="2" t="s">
        <v>79</v>
      </c>
      <c r="E490" s="2" t="s">
        <v>405</v>
      </c>
      <c r="F490" t="s">
        <v>591</v>
      </c>
      <c r="G490" s="2" t="s">
        <v>363</v>
      </c>
      <c r="H490" s="2"/>
      <c r="I490" s="4">
        <v>44761</v>
      </c>
      <c r="J490" s="2" t="s">
        <v>13</v>
      </c>
      <c r="K490" s="2" t="s">
        <v>14</v>
      </c>
      <c r="L490" s="2" t="s">
        <v>15</v>
      </c>
      <c r="M490" s="2" t="s">
        <v>21</v>
      </c>
    </row>
    <row r="491" spans="1:13" x14ac:dyDescent="0.3">
      <c r="A491" s="2" t="str">
        <f>HYPERLINK("https://hsdes.intel.com/resource/14013160618","14013160618")</f>
        <v>14013160618</v>
      </c>
      <c r="B491" s="2" t="s">
        <v>592</v>
      </c>
      <c r="C491" s="2" t="s">
        <v>833</v>
      </c>
      <c r="D491" s="2" t="s">
        <v>593</v>
      </c>
      <c r="E491" s="2" t="s">
        <v>11</v>
      </c>
      <c r="F491" s="2"/>
      <c r="G491" s="2" t="s">
        <v>363</v>
      </c>
      <c r="H491" s="2"/>
      <c r="I491" s="4">
        <v>44761</v>
      </c>
      <c r="J491" s="2" t="s">
        <v>13</v>
      </c>
      <c r="K491" s="2" t="s">
        <v>93</v>
      </c>
      <c r="L491" s="2" t="s">
        <v>94</v>
      </c>
      <c r="M491" s="2" t="s">
        <v>16</v>
      </c>
    </row>
    <row r="492" spans="1:13" x14ac:dyDescent="0.3">
      <c r="A492" s="2" t="str">
        <f>HYPERLINK("https://hsdes.intel.com/resource/14013160687","14013160687")</f>
        <v>14013160687</v>
      </c>
      <c r="B492" s="2" t="s">
        <v>594</v>
      </c>
      <c r="C492" s="2" t="s">
        <v>833</v>
      </c>
      <c r="D492" s="2" t="s">
        <v>595</v>
      </c>
      <c r="E492" s="2" t="s">
        <v>11</v>
      </c>
      <c r="F492" s="2"/>
      <c r="G492" s="2" t="s">
        <v>841</v>
      </c>
      <c r="H492" s="2"/>
      <c r="I492" s="4">
        <v>44754</v>
      </c>
      <c r="J492" s="2" t="s">
        <v>13</v>
      </c>
      <c r="K492" s="2" t="s">
        <v>93</v>
      </c>
      <c r="L492" s="2" t="s">
        <v>94</v>
      </c>
      <c r="M492" s="2" t="s">
        <v>24</v>
      </c>
    </row>
    <row r="493" spans="1:13" x14ac:dyDescent="0.3">
      <c r="A493" s="2" t="str">
        <f>HYPERLINK("https://hsdes.intel.com/resource/14013160724","14013160724")</f>
        <v>14013160724</v>
      </c>
      <c r="B493" s="2" t="s">
        <v>81</v>
      </c>
      <c r="C493" s="2" t="s">
        <v>833</v>
      </c>
      <c r="D493" s="2" t="s">
        <v>82</v>
      </c>
      <c r="E493" s="2" t="s">
        <v>11</v>
      </c>
      <c r="F493" s="2"/>
      <c r="G493" s="2" t="s">
        <v>363</v>
      </c>
      <c r="H493" s="2"/>
      <c r="I493" s="4">
        <v>44761</v>
      </c>
      <c r="J493" s="2" t="s">
        <v>13</v>
      </c>
      <c r="K493" s="2" t="s">
        <v>19</v>
      </c>
      <c r="L493" s="2" t="s">
        <v>20</v>
      </c>
      <c r="M493" s="2" t="s">
        <v>16</v>
      </c>
    </row>
    <row r="494" spans="1:13" x14ac:dyDescent="0.3">
      <c r="A494" s="2" t="str">
        <f>HYPERLINK("https://hsdes.intel.com/resource/14013160828","14013160828")</f>
        <v>14013160828</v>
      </c>
      <c r="B494" s="2" t="s">
        <v>596</v>
      </c>
      <c r="C494" s="2" t="s">
        <v>833</v>
      </c>
      <c r="D494" s="2" t="s">
        <v>597</v>
      </c>
      <c r="E494" s="2" t="s">
        <v>11</v>
      </c>
      <c r="F494" s="2"/>
      <c r="G494" s="2" t="s">
        <v>841</v>
      </c>
      <c r="H494" s="2"/>
      <c r="I494" s="4">
        <v>44755</v>
      </c>
      <c r="J494" s="2" t="s">
        <v>13</v>
      </c>
      <c r="K494" s="2" t="s">
        <v>93</v>
      </c>
      <c r="L494" s="2" t="s">
        <v>94</v>
      </c>
      <c r="M494" s="2" t="s">
        <v>16</v>
      </c>
    </row>
    <row r="495" spans="1:13" x14ac:dyDescent="0.3">
      <c r="A495" s="2" t="str">
        <f>HYPERLINK("https://hsdes.intel.com/resource/14013161173","14013161173")</f>
        <v>14013161173</v>
      </c>
      <c r="B495" s="2" t="s">
        <v>598</v>
      </c>
      <c r="C495" s="2" t="s">
        <v>833</v>
      </c>
      <c r="D495" s="2" t="s">
        <v>599</v>
      </c>
      <c r="E495" s="2" t="s">
        <v>11</v>
      </c>
      <c r="F495" s="2"/>
      <c r="G495" s="2" t="s">
        <v>841</v>
      </c>
      <c r="H495" s="2"/>
      <c r="I495" s="4">
        <v>44755</v>
      </c>
      <c r="J495" s="2" t="s">
        <v>13</v>
      </c>
      <c r="K495" s="2" t="s">
        <v>93</v>
      </c>
      <c r="L495" s="2" t="s">
        <v>94</v>
      </c>
      <c r="M495" s="2" t="s">
        <v>24</v>
      </c>
    </row>
    <row r="496" spans="1:13" x14ac:dyDescent="0.3">
      <c r="A496" s="2" t="str">
        <f>HYPERLINK("https://hsdes.intel.com/resource/14013161283","14013161283")</f>
        <v>14013161283</v>
      </c>
      <c r="B496" s="2" t="s">
        <v>3628</v>
      </c>
      <c r="C496" s="2" t="s">
        <v>833</v>
      </c>
      <c r="D496" s="2" t="s">
        <v>601</v>
      </c>
      <c r="E496" s="2" t="s">
        <v>32</v>
      </c>
      <c r="F496" s="2" t="s">
        <v>602</v>
      </c>
      <c r="G496" s="2" t="s">
        <v>841</v>
      </c>
      <c r="H496" s="2" t="s">
        <v>841</v>
      </c>
      <c r="I496" s="4">
        <v>44767</v>
      </c>
      <c r="J496" s="2" t="s">
        <v>13</v>
      </c>
      <c r="K496" s="2" t="s">
        <v>93</v>
      </c>
      <c r="L496" s="2" t="s">
        <v>94</v>
      </c>
      <c r="M496" s="2" t="s">
        <v>16</v>
      </c>
    </row>
    <row r="497" spans="1:13" x14ac:dyDescent="0.3">
      <c r="A497" s="2" t="str">
        <f>HYPERLINK("https://hsdes.intel.com/resource/14013161291","14013161291")</f>
        <v>14013161291</v>
      </c>
      <c r="B497" s="2" t="s">
        <v>846</v>
      </c>
      <c r="C497" s="2" t="s">
        <v>833</v>
      </c>
      <c r="D497" s="2" t="s">
        <v>847</v>
      </c>
      <c r="E497" s="2" t="s">
        <v>11</v>
      </c>
      <c r="F497" s="2"/>
      <c r="G497" s="2" t="s">
        <v>841</v>
      </c>
      <c r="H497" s="2"/>
      <c r="I497" s="4">
        <v>44755</v>
      </c>
      <c r="J497" s="2" t="s">
        <v>13</v>
      </c>
      <c r="K497" s="2" t="s">
        <v>93</v>
      </c>
      <c r="L497" s="2" t="s">
        <v>94</v>
      </c>
      <c r="M497" s="2" t="s">
        <v>16</v>
      </c>
    </row>
    <row r="498" spans="1:13" x14ac:dyDescent="0.3">
      <c r="A498" s="2" t="str">
        <f>HYPERLINK("https://hsdes.intel.com/resource/14013161320","14013161320")</f>
        <v>14013161320</v>
      </c>
      <c r="B498" s="2" t="s">
        <v>848</v>
      </c>
      <c r="C498" s="2" t="s">
        <v>833</v>
      </c>
      <c r="D498" s="2" t="s">
        <v>849</v>
      </c>
      <c r="E498" s="2" t="s">
        <v>11</v>
      </c>
      <c r="F498" s="2"/>
      <c r="G498" s="2" t="s">
        <v>841</v>
      </c>
      <c r="H498" s="2"/>
      <c r="I498" s="4">
        <v>44755</v>
      </c>
      <c r="J498" s="2" t="s">
        <v>13</v>
      </c>
      <c r="K498" s="2" t="s">
        <v>93</v>
      </c>
      <c r="L498" s="2" t="s">
        <v>94</v>
      </c>
      <c r="M498" s="2" t="s">
        <v>16</v>
      </c>
    </row>
    <row r="499" spans="1:13" x14ac:dyDescent="0.3">
      <c r="A499" s="18" t="str">
        <f>HYPERLINK("https://hsdes.intel.com/resource/14013161451","14013161451")</f>
        <v>14013161451</v>
      </c>
      <c r="B499" s="2" t="s">
        <v>85</v>
      </c>
      <c r="C499" s="2" t="s">
        <v>833</v>
      </c>
      <c r="D499" s="2" t="s">
        <v>86</v>
      </c>
      <c r="E499" s="2" t="s">
        <v>11</v>
      </c>
      <c r="F499" s="2"/>
      <c r="G499" t="s">
        <v>363</v>
      </c>
      <c r="I499" s="4">
        <v>44762</v>
      </c>
      <c r="J499" s="2" t="s">
        <v>13</v>
      </c>
      <c r="K499" s="2" t="s">
        <v>14</v>
      </c>
      <c r="L499" s="2" t="s">
        <v>88</v>
      </c>
      <c r="M499" s="2" t="s">
        <v>24</v>
      </c>
    </row>
    <row r="500" spans="1:13" x14ac:dyDescent="0.3">
      <c r="A500" s="2" t="str">
        <f>HYPERLINK("https://hsdes.intel.com/resource/14013161624","14013161624")</f>
        <v>14013161624</v>
      </c>
      <c r="B500" s="2" t="s">
        <v>603</v>
      </c>
      <c r="C500" s="2" t="s">
        <v>833</v>
      </c>
      <c r="D500" s="2" t="s">
        <v>604</v>
      </c>
      <c r="E500" s="2" t="s">
        <v>11</v>
      </c>
      <c r="F500" s="2"/>
      <c r="G500" s="2" t="s">
        <v>841</v>
      </c>
      <c r="H500" s="2"/>
      <c r="I500" s="4">
        <v>44755</v>
      </c>
      <c r="J500" s="2" t="s">
        <v>13</v>
      </c>
      <c r="K500" s="2" t="s">
        <v>562</v>
      </c>
      <c r="L500" s="2" t="s">
        <v>94</v>
      </c>
      <c r="M500" s="2" t="s">
        <v>16</v>
      </c>
    </row>
    <row r="501" spans="1:13" x14ac:dyDescent="0.3">
      <c r="A501" s="2" t="str">
        <f>HYPERLINK("https://hsdes.intel.com/resource/14013161628","14013161628")</f>
        <v>14013161628</v>
      </c>
      <c r="B501" s="2" t="s">
        <v>605</v>
      </c>
      <c r="C501" s="2" t="s">
        <v>833</v>
      </c>
      <c r="D501" s="2" t="s">
        <v>606</v>
      </c>
      <c r="E501" s="2" t="s">
        <v>342</v>
      </c>
      <c r="F501" s="2"/>
      <c r="G501" s="2" t="s">
        <v>841</v>
      </c>
      <c r="H501" s="2"/>
      <c r="I501" s="4">
        <v>44754</v>
      </c>
      <c r="J501" s="2" t="s">
        <v>13</v>
      </c>
      <c r="K501" s="2" t="s">
        <v>93</v>
      </c>
      <c r="L501" s="2" t="s">
        <v>94</v>
      </c>
      <c r="M501" s="2" t="s">
        <v>16</v>
      </c>
    </row>
    <row r="502" spans="1:13" x14ac:dyDescent="0.3">
      <c r="A502" s="2" t="str">
        <f>HYPERLINK("https://hsdes.intel.com/resource/14013161635","14013161635")</f>
        <v>14013161635</v>
      </c>
      <c r="B502" s="2" t="s">
        <v>607</v>
      </c>
      <c r="C502" s="2" t="s">
        <v>833</v>
      </c>
      <c r="D502" s="2" t="s">
        <v>608</v>
      </c>
      <c r="E502" s="2" t="s">
        <v>11</v>
      </c>
      <c r="F502" s="2"/>
      <c r="G502" s="2" t="s">
        <v>841</v>
      </c>
      <c r="H502" s="2"/>
      <c r="I502" s="4">
        <v>44756</v>
      </c>
      <c r="J502" s="2" t="s">
        <v>13</v>
      </c>
      <c r="K502" s="2" t="s">
        <v>93</v>
      </c>
      <c r="L502" s="2" t="s">
        <v>94</v>
      </c>
      <c r="M502" s="2" t="s">
        <v>16</v>
      </c>
    </row>
    <row r="503" spans="1:13" x14ac:dyDescent="0.3">
      <c r="A503" s="2" t="str">
        <f>HYPERLINK("https://hsdes.intel.com/resource/14013161649","14013161649")</f>
        <v>14013161649</v>
      </c>
      <c r="B503" s="2" t="s">
        <v>850</v>
      </c>
      <c r="C503" s="2" t="s">
        <v>833</v>
      </c>
      <c r="D503" s="2" t="s">
        <v>851</v>
      </c>
      <c r="E503" s="2" t="s">
        <v>342</v>
      </c>
      <c r="F503" s="2"/>
      <c r="G503" s="2" t="s">
        <v>841</v>
      </c>
      <c r="H503" s="2"/>
      <c r="I503" s="4">
        <v>44754</v>
      </c>
      <c r="J503" s="2" t="s">
        <v>13</v>
      </c>
      <c r="K503" s="2" t="s">
        <v>93</v>
      </c>
      <c r="L503" s="2" t="s">
        <v>94</v>
      </c>
      <c r="M503" s="2" t="s">
        <v>21</v>
      </c>
    </row>
    <row r="504" spans="1:13" x14ac:dyDescent="0.3">
      <c r="A504" s="2" t="str">
        <f>HYPERLINK("https://hsdes.intel.com/resource/14013161657","14013161657")</f>
        <v>14013161657</v>
      </c>
      <c r="B504" s="2" t="s">
        <v>609</v>
      </c>
      <c r="C504" s="2" t="s">
        <v>833</v>
      </c>
      <c r="D504" s="2" t="s">
        <v>610</v>
      </c>
      <c r="E504" s="2" t="s">
        <v>11</v>
      </c>
      <c r="F504" s="2"/>
      <c r="G504" s="2" t="s">
        <v>363</v>
      </c>
      <c r="H504" s="2"/>
      <c r="I504" s="4">
        <v>44761</v>
      </c>
      <c r="J504" s="2" t="s">
        <v>13</v>
      </c>
      <c r="K504" s="2" t="s">
        <v>93</v>
      </c>
      <c r="L504" s="2" t="s">
        <v>94</v>
      </c>
      <c r="M504" s="2" t="s">
        <v>24</v>
      </c>
    </row>
    <row r="505" spans="1:13" x14ac:dyDescent="0.3">
      <c r="A505" s="2" t="str">
        <f>HYPERLINK("https://hsdes.intel.com/resource/14013161663","14013161663")</f>
        <v>14013161663</v>
      </c>
      <c r="B505" s="2" t="s">
        <v>611</v>
      </c>
      <c r="C505" s="2" t="s">
        <v>833</v>
      </c>
      <c r="D505" s="2" t="s">
        <v>612</v>
      </c>
      <c r="E505" s="2" t="s">
        <v>11</v>
      </c>
      <c r="F505" s="2" t="s">
        <v>852</v>
      </c>
      <c r="G505" s="2" t="s">
        <v>841</v>
      </c>
      <c r="H505" s="2"/>
      <c r="I505" s="4">
        <v>44755</v>
      </c>
      <c r="J505" s="2" t="s">
        <v>13</v>
      </c>
      <c r="K505" s="2" t="s">
        <v>93</v>
      </c>
      <c r="L505" s="2" t="s">
        <v>94</v>
      </c>
      <c r="M505" s="2" t="s">
        <v>24</v>
      </c>
    </row>
    <row r="506" spans="1:13" x14ac:dyDescent="0.3">
      <c r="A506" s="2" t="str">
        <f>HYPERLINK("https://hsdes.intel.com/resource/14013161866","14013161866")</f>
        <v>14013161866</v>
      </c>
      <c r="B506" s="2" t="s">
        <v>853</v>
      </c>
      <c r="C506" s="2" t="s">
        <v>833</v>
      </c>
      <c r="D506" s="2" t="s">
        <v>854</v>
      </c>
      <c r="E506" s="2" t="s">
        <v>11</v>
      </c>
      <c r="F506" s="2"/>
      <c r="G506" s="2" t="s">
        <v>841</v>
      </c>
      <c r="H506" s="2"/>
      <c r="I506" s="4">
        <v>44755</v>
      </c>
      <c r="J506" s="2" t="s">
        <v>13</v>
      </c>
      <c r="K506" s="2" t="s">
        <v>93</v>
      </c>
      <c r="L506" s="2" t="s">
        <v>94</v>
      </c>
      <c r="M506" s="2" t="s">
        <v>24</v>
      </c>
    </row>
    <row r="507" spans="1:13" x14ac:dyDescent="0.3">
      <c r="A507" s="2" t="str">
        <f>HYPERLINK("https://hsdes.intel.com/resource/14013162078","14013162078")</f>
        <v>14013162078</v>
      </c>
      <c r="B507" s="2" t="s">
        <v>613</v>
      </c>
      <c r="C507" s="2" t="s">
        <v>833</v>
      </c>
      <c r="D507" s="2" t="s">
        <v>614</v>
      </c>
      <c r="E507" s="2" t="s">
        <v>11</v>
      </c>
      <c r="F507" s="2"/>
      <c r="G507" s="2" t="s">
        <v>841</v>
      </c>
      <c r="H507" s="2"/>
      <c r="I507" s="4">
        <v>44755</v>
      </c>
      <c r="J507" s="2" t="s">
        <v>13</v>
      </c>
      <c r="K507" s="2" t="s">
        <v>93</v>
      </c>
      <c r="L507" s="2" t="s">
        <v>94</v>
      </c>
      <c r="M507" s="2" t="s">
        <v>16</v>
      </c>
    </row>
    <row r="508" spans="1:13" x14ac:dyDescent="0.3">
      <c r="A508" s="2" t="str">
        <f>HYPERLINK("https://hsdes.intel.com/resource/14013162425","14013162425")</f>
        <v>14013162425</v>
      </c>
      <c r="B508" s="2" t="s">
        <v>616</v>
      </c>
      <c r="C508" s="2" t="s">
        <v>833</v>
      </c>
      <c r="D508" s="2" t="s">
        <v>617</v>
      </c>
      <c r="E508" s="2" t="s">
        <v>11</v>
      </c>
      <c r="F508" s="2"/>
      <c r="G508" s="2" t="s">
        <v>841</v>
      </c>
      <c r="H508" s="2"/>
      <c r="I508" s="4">
        <v>44755</v>
      </c>
      <c r="J508" s="2" t="s">
        <v>13</v>
      </c>
      <c r="K508" s="2" t="s">
        <v>93</v>
      </c>
      <c r="L508" s="2" t="s">
        <v>94</v>
      </c>
      <c r="M508" s="2" t="s">
        <v>21</v>
      </c>
    </row>
    <row r="509" spans="1:13" x14ac:dyDescent="0.3">
      <c r="A509" s="2" t="str">
        <f>HYPERLINK("https://hsdes.intel.com/resource/14013162427","14013162427")</f>
        <v>14013162427</v>
      </c>
      <c r="B509" s="2" t="s">
        <v>618</v>
      </c>
      <c r="C509" s="2" t="s">
        <v>833</v>
      </c>
      <c r="D509" s="2" t="s">
        <v>619</v>
      </c>
      <c r="E509" s="2" t="s">
        <v>342</v>
      </c>
      <c r="F509" s="2"/>
      <c r="G509" s="2" t="s">
        <v>841</v>
      </c>
      <c r="H509" s="2"/>
      <c r="I509" s="4">
        <v>44755</v>
      </c>
      <c r="J509" s="2" t="s">
        <v>13</v>
      </c>
      <c r="K509" s="2" t="s">
        <v>93</v>
      </c>
      <c r="L509" s="2" t="s">
        <v>94</v>
      </c>
      <c r="M509" s="2" t="s">
        <v>24</v>
      </c>
    </row>
    <row r="510" spans="1:13" x14ac:dyDescent="0.3">
      <c r="A510" s="2" t="str">
        <f>HYPERLINK("https://hsdes.intel.com/resource/14013162436","14013162436")</f>
        <v>14013162436</v>
      </c>
      <c r="B510" s="2" t="s">
        <v>620</v>
      </c>
      <c r="C510" s="2" t="s">
        <v>833</v>
      </c>
      <c r="D510" s="2" t="s">
        <v>621</v>
      </c>
      <c r="E510" s="2" t="s">
        <v>342</v>
      </c>
      <c r="F510" s="2"/>
      <c r="G510" s="2" t="s">
        <v>841</v>
      </c>
      <c r="H510" s="2"/>
      <c r="I510" s="4">
        <v>44755</v>
      </c>
      <c r="J510" s="2" t="s">
        <v>13</v>
      </c>
      <c r="K510" s="2" t="s">
        <v>93</v>
      </c>
      <c r="L510" s="2" t="s">
        <v>94</v>
      </c>
      <c r="M510" s="2" t="s">
        <v>21</v>
      </c>
    </row>
    <row r="511" spans="1:13" x14ac:dyDescent="0.3">
      <c r="A511" s="2" t="str">
        <f>HYPERLINK("https://hsdes.intel.com/resource/14013162443","14013162443")</f>
        <v>14013162443</v>
      </c>
      <c r="B511" s="2" t="s">
        <v>622</v>
      </c>
      <c r="C511" s="2" t="s">
        <v>833</v>
      </c>
      <c r="D511" s="2" t="s">
        <v>623</v>
      </c>
      <c r="E511" s="2" t="s">
        <v>342</v>
      </c>
      <c r="F511" s="2"/>
      <c r="G511" s="2" t="s">
        <v>841</v>
      </c>
      <c r="H511" s="2"/>
      <c r="I511" s="4">
        <v>44755</v>
      </c>
      <c r="J511" s="2" t="s">
        <v>13</v>
      </c>
      <c r="K511" s="2" t="s">
        <v>93</v>
      </c>
      <c r="L511" s="2" t="s">
        <v>94</v>
      </c>
      <c r="M511" s="2" t="s">
        <v>24</v>
      </c>
    </row>
    <row r="512" spans="1:13" x14ac:dyDescent="0.3">
      <c r="A512" s="2" t="str">
        <f>HYPERLINK("https://hsdes.intel.com/resource/14013162897","14013162897")</f>
        <v>14013162897</v>
      </c>
      <c r="B512" s="2" t="s">
        <v>624</v>
      </c>
      <c r="C512" s="2" t="s">
        <v>833</v>
      </c>
      <c r="D512" s="2" t="s">
        <v>625</v>
      </c>
      <c r="E512" s="2" t="s">
        <v>11</v>
      </c>
      <c r="F512" s="2"/>
      <c r="G512" s="2" t="s">
        <v>841</v>
      </c>
      <c r="H512" s="2"/>
      <c r="I512" s="4">
        <v>44757</v>
      </c>
      <c r="J512" s="2" t="s">
        <v>13</v>
      </c>
      <c r="K512" s="2" t="s">
        <v>93</v>
      </c>
      <c r="L512" s="2" t="s">
        <v>94</v>
      </c>
      <c r="M512" s="2" t="s">
        <v>24</v>
      </c>
    </row>
    <row r="513" spans="1:13" x14ac:dyDescent="0.3">
      <c r="A513" s="2" t="str">
        <f>HYPERLINK("https://hsdes.intel.com/resource/14013163811","14013163811")</f>
        <v>14013163811</v>
      </c>
      <c r="B513" s="2" t="s">
        <v>626</v>
      </c>
      <c r="C513" s="2" t="s">
        <v>833</v>
      </c>
      <c r="D513" s="2" t="s">
        <v>627</v>
      </c>
      <c r="E513" s="2" t="s">
        <v>11</v>
      </c>
      <c r="F513" s="2"/>
      <c r="G513" s="2" t="s">
        <v>841</v>
      </c>
      <c r="H513" s="2"/>
      <c r="I513" s="4">
        <v>44755</v>
      </c>
      <c r="J513" s="2" t="s">
        <v>13</v>
      </c>
      <c r="K513" s="2" t="s">
        <v>93</v>
      </c>
      <c r="L513" s="2" t="s">
        <v>94</v>
      </c>
      <c r="M513" s="2" t="s">
        <v>16</v>
      </c>
    </row>
    <row r="514" spans="1:13" x14ac:dyDescent="0.3">
      <c r="A514" s="2" t="str">
        <f>HYPERLINK("https://hsdes.intel.com/resource/14013163952","14013163952")</f>
        <v>14013163952</v>
      </c>
      <c r="B514" s="2" t="s">
        <v>101</v>
      </c>
      <c r="C514" s="2" t="s">
        <v>833</v>
      </c>
      <c r="D514" s="2" t="s">
        <v>102</v>
      </c>
      <c r="E514" s="2" t="s">
        <v>32</v>
      </c>
      <c r="F514" s="2" t="s">
        <v>628</v>
      </c>
      <c r="G514" s="2" t="s">
        <v>363</v>
      </c>
      <c r="H514" s="2" t="s">
        <v>841</v>
      </c>
      <c r="I514" s="4">
        <v>44764</v>
      </c>
      <c r="J514" s="2" t="s">
        <v>13</v>
      </c>
      <c r="K514" s="2" t="s">
        <v>33</v>
      </c>
      <c r="L514" s="2" t="s">
        <v>34</v>
      </c>
      <c r="M514" s="2" t="s">
        <v>16</v>
      </c>
    </row>
    <row r="515" spans="1:13" x14ac:dyDescent="0.3">
      <c r="A515" s="2" t="str">
        <f>HYPERLINK("https://hsdes.intel.com/resource/14013164076","14013164076")</f>
        <v>14013164076</v>
      </c>
      <c r="B515" s="2" t="s">
        <v>629</v>
      </c>
      <c r="C515" s="2" t="s">
        <v>833</v>
      </c>
      <c r="D515" s="2" t="s">
        <v>630</v>
      </c>
      <c r="E515" s="2" t="s">
        <v>11</v>
      </c>
      <c r="F515" s="2"/>
      <c r="G515" s="2" t="s">
        <v>841</v>
      </c>
      <c r="H515" s="2"/>
      <c r="I515" s="4">
        <v>44756</v>
      </c>
      <c r="J515" s="2" t="s">
        <v>13</v>
      </c>
      <c r="K515" s="2" t="s">
        <v>93</v>
      </c>
      <c r="L515" s="2" t="s">
        <v>94</v>
      </c>
      <c r="M515" s="2" t="s">
        <v>16</v>
      </c>
    </row>
    <row r="516" spans="1:13" x14ac:dyDescent="0.3">
      <c r="A516" s="2" t="str">
        <f>HYPERLINK("https://hsdes.intel.com/resource/14013164390","14013164390")</f>
        <v>14013164390</v>
      </c>
      <c r="B516" s="2" t="s">
        <v>633</v>
      </c>
      <c r="C516" s="2" t="s">
        <v>833</v>
      </c>
      <c r="D516" s="2" t="s">
        <v>634</v>
      </c>
      <c r="E516" s="2" t="s">
        <v>11</v>
      </c>
      <c r="F516" s="2"/>
      <c r="G516" s="2" t="s">
        <v>841</v>
      </c>
      <c r="H516" s="2"/>
      <c r="I516" s="4">
        <v>44756</v>
      </c>
      <c r="J516" s="2" t="s">
        <v>13</v>
      </c>
      <c r="K516" s="2" t="s">
        <v>93</v>
      </c>
      <c r="L516" s="2" t="s">
        <v>94</v>
      </c>
      <c r="M516" s="2" t="s">
        <v>24</v>
      </c>
    </row>
    <row r="517" spans="1:13" x14ac:dyDescent="0.3">
      <c r="A517" s="2" t="str">
        <f>HYPERLINK("https://hsdes.intel.com/resource/14013165066","14013165066")</f>
        <v>14013165066</v>
      </c>
      <c r="B517" s="2" t="s">
        <v>635</v>
      </c>
      <c r="C517" s="2" t="s">
        <v>833</v>
      </c>
      <c r="D517" s="2" t="s">
        <v>636</v>
      </c>
      <c r="E517" s="2" t="s">
        <v>11</v>
      </c>
      <c r="F517" s="2"/>
      <c r="G517" s="2" t="s">
        <v>841</v>
      </c>
      <c r="H517" s="2"/>
      <c r="I517" s="4">
        <v>44755</v>
      </c>
      <c r="J517" s="2" t="s">
        <v>13</v>
      </c>
      <c r="K517" s="2" t="s">
        <v>93</v>
      </c>
      <c r="L517" s="2" t="s">
        <v>94</v>
      </c>
      <c r="M517" s="2" t="s">
        <v>16</v>
      </c>
    </row>
    <row r="518" spans="1:13" x14ac:dyDescent="0.3">
      <c r="A518" s="18" t="str">
        <f>HYPERLINK("https://hsdes.intel.com/resource/14013165633","14013165633")</f>
        <v>14013165633</v>
      </c>
      <c r="B518" s="2" t="s">
        <v>855</v>
      </c>
      <c r="C518" s="2" t="s">
        <v>833</v>
      </c>
      <c r="D518" s="2" t="s">
        <v>856</v>
      </c>
      <c r="E518" s="2" t="s">
        <v>37</v>
      </c>
      <c r="F518" s="2" t="s">
        <v>857</v>
      </c>
      <c r="G518" s="2" t="s">
        <v>363</v>
      </c>
      <c r="H518" s="2"/>
      <c r="I518" s="4">
        <v>44762</v>
      </c>
      <c r="J518" s="2" t="s">
        <v>13</v>
      </c>
      <c r="K518" s="2" t="s">
        <v>33</v>
      </c>
      <c r="L518" s="2" t="s">
        <v>34</v>
      </c>
      <c r="M518" s="2" t="s">
        <v>16</v>
      </c>
    </row>
    <row r="519" spans="1:13" x14ac:dyDescent="0.3">
      <c r="A519" s="2" t="str">
        <f>HYPERLINK("https://hsdes.intel.com/resource/14013167005","14013167005")</f>
        <v>14013167005</v>
      </c>
      <c r="B519" s="2" t="s">
        <v>637</v>
      </c>
      <c r="C519" s="2" t="s">
        <v>833</v>
      </c>
      <c r="D519" s="2" t="s">
        <v>638</v>
      </c>
      <c r="E519" s="2" t="s">
        <v>11</v>
      </c>
      <c r="F519" s="2"/>
      <c r="G519" s="2" t="s">
        <v>543</v>
      </c>
      <c r="H519" s="2"/>
      <c r="I519" s="4">
        <v>44757</v>
      </c>
      <c r="J519" s="2" t="s">
        <v>13</v>
      </c>
      <c r="K519" s="2" t="s">
        <v>639</v>
      </c>
      <c r="L519" s="2" t="s">
        <v>110</v>
      </c>
      <c r="M519" s="2" t="s">
        <v>16</v>
      </c>
    </row>
    <row r="520" spans="1:13" x14ac:dyDescent="0.3">
      <c r="A520" s="2" t="str">
        <f>HYPERLINK("https://hsdes.intel.com/resource/14013167036","14013167036")</f>
        <v>14013167036</v>
      </c>
      <c r="B520" s="2" t="s">
        <v>640</v>
      </c>
      <c r="C520" s="2" t="s">
        <v>833</v>
      </c>
      <c r="D520" s="2" t="s">
        <v>641</v>
      </c>
      <c r="E520" s="2" t="s">
        <v>37</v>
      </c>
      <c r="F520" s="2"/>
      <c r="G520" s="2" t="s">
        <v>349</v>
      </c>
      <c r="H520" s="2"/>
      <c r="I520" s="2"/>
      <c r="J520" s="2" t="s">
        <v>13</v>
      </c>
      <c r="K520" s="2" t="s">
        <v>639</v>
      </c>
      <c r="L520" s="2" t="s">
        <v>110</v>
      </c>
      <c r="M520" s="2" t="s">
        <v>16</v>
      </c>
    </row>
    <row r="521" spans="1:13" x14ac:dyDescent="0.3">
      <c r="A521" s="2" t="str">
        <f>HYPERLINK("https://hsdes.intel.com/resource/14013167072","14013167072")</f>
        <v>14013167072</v>
      </c>
      <c r="B521" s="2" t="s">
        <v>643</v>
      </c>
      <c r="C521" s="2" t="s">
        <v>833</v>
      </c>
      <c r="D521" s="2" t="s">
        <v>644</v>
      </c>
      <c r="E521" s="2" t="s">
        <v>11</v>
      </c>
      <c r="F521" s="2"/>
      <c r="G521" s="2" t="s">
        <v>543</v>
      </c>
      <c r="H521" s="2"/>
      <c r="I521" s="4">
        <v>44757</v>
      </c>
      <c r="J521" s="2" t="s">
        <v>13</v>
      </c>
      <c r="K521" s="2" t="s">
        <v>639</v>
      </c>
      <c r="L521" s="2" t="s">
        <v>110</v>
      </c>
      <c r="M521" s="2" t="s">
        <v>16</v>
      </c>
    </row>
    <row r="522" spans="1:13" x14ac:dyDescent="0.3">
      <c r="A522" s="2" t="str">
        <f>HYPERLINK("https://hsdes.intel.com/resource/14013167109","14013167109")</f>
        <v>14013167109</v>
      </c>
      <c r="B522" s="2" t="s">
        <v>645</v>
      </c>
      <c r="C522" s="2" t="s">
        <v>833</v>
      </c>
      <c r="D522" s="2" t="s">
        <v>646</v>
      </c>
      <c r="E522" s="2" t="s">
        <v>37</v>
      </c>
      <c r="F522" s="2"/>
      <c r="G522" s="2" t="s">
        <v>349</v>
      </c>
      <c r="H522" s="2"/>
      <c r="I522" s="2"/>
      <c r="J522" s="2" t="s">
        <v>13</v>
      </c>
      <c r="K522" s="2" t="s">
        <v>639</v>
      </c>
      <c r="L522" s="2" t="s">
        <v>110</v>
      </c>
      <c r="M522" s="2" t="s">
        <v>21</v>
      </c>
    </row>
    <row r="523" spans="1:13" x14ac:dyDescent="0.3">
      <c r="A523" s="2" t="str">
        <f>HYPERLINK("https://hsdes.intel.com/resource/14013167560","14013167560")</f>
        <v>14013167560</v>
      </c>
      <c r="B523" s="2" t="s">
        <v>647</v>
      </c>
      <c r="C523" s="2" t="s">
        <v>833</v>
      </c>
      <c r="D523" s="2" t="s">
        <v>648</v>
      </c>
      <c r="E523" s="2" t="s">
        <v>37</v>
      </c>
      <c r="F523" s="2"/>
      <c r="G523" s="2" t="s">
        <v>349</v>
      </c>
      <c r="H523" s="2"/>
      <c r="I523" s="2"/>
      <c r="J523" s="2" t="s">
        <v>13</v>
      </c>
      <c r="K523" s="2" t="s">
        <v>639</v>
      </c>
      <c r="L523" s="2" t="s">
        <v>110</v>
      </c>
      <c r="M523" s="2" t="s">
        <v>21</v>
      </c>
    </row>
    <row r="524" spans="1:13" x14ac:dyDescent="0.3">
      <c r="A524" s="2" t="str">
        <f>HYPERLINK("https://hsdes.intel.com/resource/14013168340","14013168340")</f>
        <v>14013168340</v>
      </c>
      <c r="B524" s="2" t="s">
        <v>649</v>
      </c>
      <c r="C524" s="2" t="s">
        <v>833</v>
      </c>
      <c r="D524" s="2" t="s">
        <v>650</v>
      </c>
      <c r="E524" s="2" t="s">
        <v>11</v>
      </c>
      <c r="F524" s="2"/>
      <c r="G524" s="2" t="s">
        <v>349</v>
      </c>
      <c r="H524" s="2"/>
      <c r="I524" s="4">
        <v>44754</v>
      </c>
      <c r="J524" s="2" t="s">
        <v>13</v>
      </c>
      <c r="K524" s="2" t="s">
        <v>45</v>
      </c>
      <c r="L524" s="2" t="s">
        <v>110</v>
      </c>
      <c r="M524" s="2" t="s">
        <v>16</v>
      </c>
    </row>
    <row r="525" spans="1:13" x14ac:dyDescent="0.3">
      <c r="A525" s="2" t="str">
        <f>HYPERLINK("https://hsdes.intel.com/resource/14013168846","14013168846")</f>
        <v>14013168846</v>
      </c>
      <c r="B525" s="2" t="s">
        <v>103</v>
      </c>
      <c r="C525" s="2" t="s">
        <v>833</v>
      </c>
      <c r="D525" s="2" t="s">
        <v>104</v>
      </c>
      <c r="E525" s="2" t="s">
        <v>342</v>
      </c>
      <c r="F525" s="2"/>
      <c r="G525" s="2" t="s">
        <v>837</v>
      </c>
      <c r="H525" s="2"/>
      <c r="I525" s="4">
        <v>44754</v>
      </c>
      <c r="J525" s="2" t="s">
        <v>13</v>
      </c>
      <c r="K525" s="2" t="s">
        <v>105</v>
      </c>
      <c r="L525" s="2" t="s">
        <v>106</v>
      </c>
      <c r="M525" s="2" t="s">
        <v>24</v>
      </c>
    </row>
    <row r="526" spans="1:13" x14ac:dyDescent="0.3">
      <c r="A526" s="2" t="str">
        <f>HYPERLINK("https://hsdes.intel.com/resource/14013168950","14013168950")</f>
        <v>14013168950</v>
      </c>
      <c r="B526" s="2" t="s">
        <v>107</v>
      </c>
      <c r="C526" s="2" t="s">
        <v>833</v>
      </c>
      <c r="D526" s="2" t="s">
        <v>108</v>
      </c>
      <c r="E526" s="6" t="s">
        <v>37</v>
      </c>
      <c r="F526" s="19" t="s">
        <v>858</v>
      </c>
      <c r="G526" s="2"/>
      <c r="H526" s="2"/>
      <c r="I526" s="2"/>
      <c r="J526" s="2" t="s">
        <v>13</v>
      </c>
      <c r="K526" s="2" t="s">
        <v>105</v>
      </c>
      <c r="L526" s="2" t="s">
        <v>110</v>
      </c>
      <c r="M526" s="2" t="s">
        <v>24</v>
      </c>
    </row>
    <row r="527" spans="1:13" x14ac:dyDescent="0.3">
      <c r="A527" s="2" t="str">
        <f>HYPERLINK("https://hsdes.intel.com/resource/14013169130","14013169130")</f>
        <v>14013169130</v>
      </c>
      <c r="B527" s="2" t="s">
        <v>111</v>
      </c>
      <c r="C527" s="2" t="s">
        <v>833</v>
      </c>
      <c r="D527" s="2" t="s">
        <v>112</v>
      </c>
      <c r="E527" s="2" t="s">
        <v>11</v>
      </c>
      <c r="F527" s="2"/>
      <c r="G527" s="2" t="s">
        <v>543</v>
      </c>
      <c r="H527" s="2"/>
      <c r="I527" s="4">
        <v>44764</v>
      </c>
      <c r="J527" s="2" t="s">
        <v>13</v>
      </c>
      <c r="K527" s="2" t="s">
        <v>105</v>
      </c>
      <c r="L527" s="2" t="s">
        <v>110</v>
      </c>
      <c r="M527" s="2" t="s">
        <v>24</v>
      </c>
    </row>
    <row r="528" spans="1:13" x14ac:dyDescent="0.3">
      <c r="A528" s="2" t="str">
        <f>HYPERLINK("https://hsdes.intel.com/resource/14013173139","14013173139")</f>
        <v>14013173139</v>
      </c>
      <c r="B528" s="2" t="s">
        <v>652</v>
      </c>
      <c r="C528" s="2" t="s">
        <v>833</v>
      </c>
      <c r="D528" s="2" t="s">
        <v>653</v>
      </c>
      <c r="E528" s="2" t="s">
        <v>11</v>
      </c>
      <c r="F528" s="2" t="s">
        <v>845</v>
      </c>
      <c r="G528" s="2" t="s">
        <v>363</v>
      </c>
      <c r="H528" s="2"/>
      <c r="I528" s="4">
        <v>44762</v>
      </c>
      <c r="J528" s="2" t="s">
        <v>13</v>
      </c>
      <c r="K528" s="2" t="s">
        <v>45</v>
      </c>
      <c r="L528" s="2" t="s">
        <v>291</v>
      </c>
      <c r="M528" s="2" t="s">
        <v>16</v>
      </c>
    </row>
    <row r="529" spans="1:13" x14ac:dyDescent="0.3">
      <c r="A529" s="2" t="str">
        <f>HYPERLINK("https://hsdes.intel.com/resource/14013173153","14013173153")</f>
        <v>14013173153</v>
      </c>
      <c r="B529" s="2" t="s">
        <v>655</v>
      </c>
      <c r="C529" s="2" t="s">
        <v>833</v>
      </c>
      <c r="D529" s="2" t="s">
        <v>656</v>
      </c>
      <c r="E529" s="2" t="s">
        <v>11</v>
      </c>
      <c r="F529" s="2"/>
      <c r="G529" s="2" t="s">
        <v>837</v>
      </c>
      <c r="H529" s="2"/>
      <c r="I529" s="4">
        <v>44755</v>
      </c>
      <c r="J529" s="2" t="s">
        <v>13</v>
      </c>
      <c r="K529" s="2" t="s">
        <v>45</v>
      </c>
      <c r="L529" s="2" t="s">
        <v>581</v>
      </c>
      <c r="M529" s="2" t="s">
        <v>16</v>
      </c>
    </row>
    <row r="530" spans="1:13" x14ac:dyDescent="0.3">
      <c r="A530" s="2" t="str">
        <f>HYPERLINK("https://hsdes.intel.com/resource/14013173298","14013173298")</f>
        <v>14013173298</v>
      </c>
      <c r="B530" s="2" t="s">
        <v>657</v>
      </c>
      <c r="C530" s="2" t="s">
        <v>833</v>
      </c>
      <c r="D530" s="2" t="s">
        <v>658</v>
      </c>
      <c r="E530" s="2" t="s">
        <v>11</v>
      </c>
      <c r="F530" s="2"/>
      <c r="G530" s="2" t="s">
        <v>837</v>
      </c>
      <c r="H530" s="2"/>
      <c r="I530" s="4">
        <v>44755</v>
      </c>
      <c r="J530" s="2" t="s">
        <v>13</v>
      </c>
      <c r="K530" s="2" t="s">
        <v>523</v>
      </c>
      <c r="L530" s="2" t="s">
        <v>660</v>
      </c>
      <c r="M530" s="2" t="s">
        <v>24</v>
      </c>
    </row>
    <row r="531" spans="1:13" x14ac:dyDescent="0.3">
      <c r="A531" s="2" t="str">
        <f>HYPERLINK("https://hsdes.intel.com/resource/14013174254","14013174254")</f>
        <v>14013174254</v>
      </c>
      <c r="B531" s="2" t="s">
        <v>483</v>
      </c>
      <c r="C531" s="2" t="s">
        <v>833</v>
      </c>
      <c r="D531" s="2" t="s">
        <v>484</v>
      </c>
      <c r="E531" s="2" t="s">
        <v>11</v>
      </c>
      <c r="F531" s="2"/>
      <c r="G531" s="2" t="s">
        <v>363</v>
      </c>
      <c r="H531" s="2"/>
      <c r="I531" s="4">
        <v>44761</v>
      </c>
      <c r="J531" s="2" t="s">
        <v>13</v>
      </c>
      <c r="K531" s="2" t="s">
        <v>28</v>
      </c>
      <c r="L531" s="2" t="s">
        <v>29</v>
      </c>
      <c r="M531" s="2" t="s">
        <v>16</v>
      </c>
    </row>
    <row r="532" spans="1:13" x14ac:dyDescent="0.3">
      <c r="A532" s="2" t="str">
        <f>HYPERLINK("https://hsdes.intel.com/resource/14013175171","14013175171")</f>
        <v>14013175171</v>
      </c>
      <c r="B532" s="2" t="s">
        <v>499</v>
      </c>
      <c r="C532" s="2" t="s">
        <v>833</v>
      </c>
      <c r="D532" s="2" t="s">
        <v>500</v>
      </c>
      <c r="E532" s="2" t="s">
        <v>32</v>
      </c>
      <c r="F532" s="2" t="s">
        <v>859</v>
      </c>
      <c r="G532" s="2" t="s">
        <v>363</v>
      </c>
      <c r="H532" s="2" t="s">
        <v>841</v>
      </c>
      <c r="I532" s="4">
        <v>44769</v>
      </c>
      <c r="J532" s="2" t="s">
        <v>13</v>
      </c>
      <c r="K532" s="2" t="s">
        <v>28</v>
      </c>
      <c r="L532" s="2" t="s">
        <v>29</v>
      </c>
      <c r="M532" s="2" t="s">
        <v>24</v>
      </c>
    </row>
    <row r="533" spans="1:13" x14ac:dyDescent="0.3">
      <c r="A533" s="2" t="str">
        <f>HYPERLINK("https://hsdes.intel.com/resource/14013175174","14013175174")</f>
        <v>14013175174</v>
      </c>
      <c r="B533" s="2" t="s">
        <v>502</v>
      </c>
      <c r="C533" s="2" t="s">
        <v>833</v>
      </c>
      <c r="D533" s="2" t="s">
        <v>503</v>
      </c>
      <c r="E533" s="2" t="s">
        <v>11</v>
      </c>
      <c r="F533" s="2"/>
      <c r="G533" s="2" t="s">
        <v>363</v>
      </c>
      <c r="H533" s="2"/>
      <c r="I533" s="4">
        <v>44761</v>
      </c>
      <c r="J533" s="2" t="s">
        <v>13</v>
      </c>
      <c r="K533" s="2" t="s">
        <v>28</v>
      </c>
      <c r="L533" s="2" t="s">
        <v>29</v>
      </c>
      <c r="M533" s="2" t="s">
        <v>24</v>
      </c>
    </row>
    <row r="534" spans="1:13" x14ac:dyDescent="0.3">
      <c r="A534" s="2" t="str">
        <f>HYPERLINK("https://hsdes.intel.com/resource/14013175491","14013175491")</f>
        <v>14013175491</v>
      </c>
      <c r="B534" s="2" t="s">
        <v>507</v>
      </c>
      <c r="C534" s="2" t="s">
        <v>833</v>
      </c>
      <c r="D534" s="2" t="s">
        <v>508</v>
      </c>
      <c r="E534" s="2" t="s">
        <v>11</v>
      </c>
      <c r="F534" s="2"/>
      <c r="G534" s="2" t="s">
        <v>363</v>
      </c>
      <c r="H534" s="2"/>
      <c r="I534" s="4">
        <v>44761</v>
      </c>
      <c r="J534" s="2" t="s">
        <v>13</v>
      </c>
      <c r="K534" s="2" t="s">
        <v>28</v>
      </c>
      <c r="L534" s="2" t="s">
        <v>29</v>
      </c>
      <c r="M534" s="2" t="s">
        <v>24</v>
      </c>
    </row>
    <row r="535" spans="1:13" x14ac:dyDescent="0.3">
      <c r="A535" s="2" t="str">
        <f>HYPERLINK("https://hsdes.intel.com/resource/14013175721","14013175721")</f>
        <v>14013175721</v>
      </c>
      <c r="B535" s="2" t="s">
        <v>860</v>
      </c>
      <c r="C535" s="2" t="s">
        <v>833</v>
      </c>
      <c r="D535" s="2" t="s">
        <v>861</v>
      </c>
      <c r="E535" s="2" t="s">
        <v>11</v>
      </c>
      <c r="F535" s="2"/>
      <c r="G535" s="2" t="s">
        <v>841</v>
      </c>
      <c r="H535" s="2"/>
      <c r="I535" s="4">
        <v>44755</v>
      </c>
      <c r="J535" s="2" t="s">
        <v>13</v>
      </c>
      <c r="K535" s="2" t="s">
        <v>93</v>
      </c>
      <c r="L535" s="2" t="s">
        <v>94</v>
      </c>
      <c r="M535" s="2" t="s">
        <v>16</v>
      </c>
    </row>
    <row r="536" spans="1:13" x14ac:dyDescent="0.3">
      <c r="A536" s="2" t="str">
        <f>HYPERLINK("https://hsdes.intel.com/resource/14013176172","14013176172")</f>
        <v>14013176172</v>
      </c>
      <c r="B536" s="2" t="s">
        <v>153</v>
      </c>
      <c r="C536" s="2" t="s">
        <v>833</v>
      </c>
      <c r="D536" s="2" t="s">
        <v>154</v>
      </c>
      <c r="E536" s="2" t="s">
        <v>11</v>
      </c>
      <c r="F536" s="2"/>
      <c r="G536" s="2" t="s">
        <v>843</v>
      </c>
      <c r="H536" s="2"/>
      <c r="I536" s="4">
        <v>44756</v>
      </c>
      <c r="J536" s="2" t="s">
        <v>13</v>
      </c>
      <c r="K536" s="2" t="s">
        <v>33</v>
      </c>
      <c r="L536" s="2" t="s">
        <v>34</v>
      </c>
      <c r="M536" s="2" t="s">
        <v>16</v>
      </c>
    </row>
    <row r="537" spans="1:13" x14ac:dyDescent="0.3">
      <c r="A537" s="2" t="str">
        <f>HYPERLINK("https://hsdes.intel.com/resource/14013176478","14013176478")</f>
        <v>14013176478</v>
      </c>
      <c r="B537" s="2" t="s">
        <v>665</v>
      </c>
      <c r="C537" s="2" t="s">
        <v>833</v>
      </c>
      <c r="D537" s="2" t="s">
        <v>666</v>
      </c>
      <c r="E537" s="2" t="s">
        <v>11</v>
      </c>
      <c r="F537" s="2"/>
      <c r="G537" s="2" t="s">
        <v>841</v>
      </c>
      <c r="H537" s="2"/>
      <c r="I537" s="4">
        <v>44755</v>
      </c>
      <c r="J537" s="2" t="s">
        <v>13</v>
      </c>
      <c r="K537" s="2" t="s">
        <v>93</v>
      </c>
      <c r="L537" s="2" t="s">
        <v>94</v>
      </c>
      <c r="M537" s="2" t="s">
        <v>16</v>
      </c>
    </row>
    <row r="538" spans="1:13" x14ac:dyDescent="0.3">
      <c r="A538" s="2" t="str">
        <f>HYPERLINK("https://hsdes.intel.com/resource/14013176485","14013176485")</f>
        <v>14013176485</v>
      </c>
      <c r="B538" s="2" t="s">
        <v>667</v>
      </c>
      <c r="C538" s="2" t="s">
        <v>833</v>
      </c>
      <c r="D538" s="2" t="s">
        <v>668</v>
      </c>
      <c r="E538" s="2" t="s">
        <v>11</v>
      </c>
      <c r="F538" s="2"/>
      <c r="G538" s="2" t="s">
        <v>837</v>
      </c>
      <c r="H538" s="2"/>
      <c r="I538" s="4">
        <v>44755</v>
      </c>
      <c r="J538" s="2" t="s">
        <v>13</v>
      </c>
      <c r="K538" s="2" t="s">
        <v>157</v>
      </c>
      <c r="L538" s="2" t="s">
        <v>158</v>
      </c>
      <c r="M538" s="2" t="s">
        <v>16</v>
      </c>
    </row>
    <row r="539" spans="1:13" x14ac:dyDescent="0.3">
      <c r="A539" s="2" t="str">
        <f>HYPERLINK("https://hsdes.intel.com/resource/14013176742","14013176742")</f>
        <v>14013176742</v>
      </c>
      <c r="B539" s="2" t="s">
        <v>403</v>
      </c>
      <c r="C539" s="2" t="s">
        <v>833</v>
      </c>
      <c r="D539" s="2" t="s">
        <v>404</v>
      </c>
      <c r="E539" s="2" t="s">
        <v>11</v>
      </c>
      <c r="F539" s="2"/>
      <c r="G539" s="2" t="s">
        <v>837</v>
      </c>
      <c r="H539" s="2"/>
      <c r="I539" s="4">
        <v>44755</v>
      </c>
      <c r="J539" s="2" t="s">
        <v>13</v>
      </c>
      <c r="K539" s="2" t="s">
        <v>157</v>
      </c>
      <c r="L539" s="2" t="s">
        <v>158</v>
      </c>
      <c r="M539" s="2" t="s">
        <v>24</v>
      </c>
    </row>
    <row r="540" spans="1:13" x14ac:dyDescent="0.3">
      <c r="A540" s="2" t="str">
        <f>HYPERLINK("https://hsdes.intel.com/resource/14013177306","14013177306")</f>
        <v>14013177306</v>
      </c>
      <c r="B540" s="2" t="s">
        <v>672</v>
      </c>
      <c r="C540" s="2" t="s">
        <v>833</v>
      </c>
      <c r="D540" s="2" t="s">
        <v>673</v>
      </c>
      <c r="E540" s="2" t="s">
        <v>37</v>
      </c>
      <c r="F540" s="2" t="s">
        <v>675</v>
      </c>
      <c r="G540" s="2" t="s">
        <v>836</v>
      </c>
      <c r="H540" s="2"/>
      <c r="I540" s="2"/>
      <c r="J540" s="2" t="s">
        <v>13</v>
      </c>
      <c r="K540" s="2" t="s">
        <v>157</v>
      </c>
      <c r="L540" s="2" t="s">
        <v>158</v>
      </c>
      <c r="M540" s="2" t="s">
        <v>21</v>
      </c>
    </row>
    <row r="541" spans="1:13" x14ac:dyDescent="0.3">
      <c r="A541" s="2" t="str">
        <f>HYPERLINK("https://hsdes.intel.com/resource/14013177684","14013177684")</f>
        <v>14013177684</v>
      </c>
      <c r="B541" s="2" t="s">
        <v>409</v>
      </c>
      <c r="C541" s="2" t="s">
        <v>833</v>
      </c>
      <c r="D541" s="2" t="s">
        <v>410</v>
      </c>
      <c r="E541" s="2" t="s">
        <v>11</v>
      </c>
      <c r="F541" s="2"/>
      <c r="G541" s="2" t="s">
        <v>837</v>
      </c>
      <c r="H541" s="2"/>
      <c r="I541" s="4">
        <v>44755</v>
      </c>
      <c r="J541" s="2" t="s">
        <v>13</v>
      </c>
      <c r="K541" s="2" t="s">
        <v>157</v>
      </c>
      <c r="L541" s="2" t="s">
        <v>158</v>
      </c>
      <c r="M541" s="2" t="s">
        <v>21</v>
      </c>
    </row>
    <row r="542" spans="1:13" x14ac:dyDescent="0.3">
      <c r="A542" s="2" t="str">
        <f>HYPERLINK("https://hsdes.intel.com/resource/14013177887","14013177887")</f>
        <v>14013177887</v>
      </c>
      <c r="B542" s="2" t="s">
        <v>680</v>
      </c>
      <c r="C542" s="2" t="s">
        <v>833</v>
      </c>
      <c r="D542" s="2" t="s">
        <v>681</v>
      </c>
      <c r="E542" s="2" t="s">
        <v>11</v>
      </c>
      <c r="F542" s="2"/>
      <c r="G542" s="2" t="s">
        <v>841</v>
      </c>
      <c r="H542" s="2"/>
      <c r="I542" s="4">
        <v>44755</v>
      </c>
      <c r="J542" s="2" t="s">
        <v>13</v>
      </c>
      <c r="K542" s="2" t="s">
        <v>682</v>
      </c>
      <c r="L542" s="2" t="s">
        <v>29</v>
      </c>
      <c r="M542" s="2" t="s">
        <v>16</v>
      </c>
    </row>
    <row r="543" spans="1:13" x14ac:dyDescent="0.3">
      <c r="A543" s="2" t="str">
        <f>HYPERLINK("https://hsdes.intel.com/resource/14013178043","14013178043")</f>
        <v>14013178043</v>
      </c>
      <c r="B543" s="2" t="s">
        <v>159</v>
      </c>
      <c r="C543" s="2" t="s">
        <v>833</v>
      </c>
      <c r="D543" s="2" t="s">
        <v>160</v>
      </c>
      <c r="E543" s="2" t="s">
        <v>11</v>
      </c>
      <c r="F543" s="2"/>
      <c r="G543" s="2" t="s">
        <v>363</v>
      </c>
      <c r="H543" s="2"/>
      <c r="I543" s="4">
        <v>44761</v>
      </c>
      <c r="J543" s="2" t="s">
        <v>13</v>
      </c>
      <c r="K543" s="2" t="s">
        <v>33</v>
      </c>
      <c r="L543" s="2" t="s">
        <v>34</v>
      </c>
      <c r="M543" s="2" t="s">
        <v>24</v>
      </c>
    </row>
    <row r="544" spans="1:13" x14ac:dyDescent="0.3">
      <c r="A544" s="2" t="str">
        <f>HYPERLINK("https://hsdes.intel.com/resource/14013178913","14013178913")</f>
        <v>14013178913</v>
      </c>
      <c r="B544" s="2" t="s">
        <v>689</v>
      </c>
      <c r="C544" s="2" t="s">
        <v>833</v>
      </c>
      <c r="D544" s="2" t="s">
        <v>690</v>
      </c>
      <c r="E544" s="2" t="s">
        <v>37</v>
      </c>
      <c r="F544" s="2" t="s">
        <v>862</v>
      </c>
      <c r="G544" s="2" t="s">
        <v>363</v>
      </c>
      <c r="H544" s="2"/>
      <c r="I544" s="4">
        <v>44761</v>
      </c>
      <c r="J544" s="2" t="s">
        <v>13</v>
      </c>
      <c r="K544" s="2" t="s">
        <v>93</v>
      </c>
      <c r="L544" s="2" t="s">
        <v>94</v>
      </c>
      <c r="M544" s="2" t="s">
        <v>16</v>
      </c>
    </row>
    <row r="545" spans="1:13" x14ac:dyDescent="0.3">
      <c r="A545" s="2" t="str">
        <f>HYPERLINK("https://hsdes.intel.com/resource/14013178916","14013178916")</f>
        <v>14013178916</v>
      </c>
      <c r="B545" s="2" t="s">
        <v>3627</v>
      </c>
      <c r="C545" s="2" t="s">
        <v>833</v>
      </c>
      <c r="D545" s="2" t="s">
        <v>692</v>
      </c>
      <c r="E545" s="2" t="s">
        <v>32</v>
      </c>
      <c r="F545" s="2" t="s">
        <v>863</v>
      </c>
      <c r="G545" s="2" t="s">
        <v>841</v>
      </c>
      <c r="H545" s="2" t="s">
        <v>841</v>
      </c>
      <c r="I545" s="4">
        <v>44768</v>
      </c>
      <c r="J545" s="2" t="s">
        <v>13</v>
      </c>
      <c r="K545" s="2" t="s">
        <v>93</v>
      </c>
      <c r="L545" s="2" t="s">
        <v>94</v>
      </c>
      <c r="M545" s="2" t="s">
        <v>16</v>
      </c>
    </row>
    <row r="546" spans="1:13" x14ac:dyDescent="0.3">
      <c r="A546" s="2" t="str">
        <f>HYPERLINK("https://hsdes.intel.com/resource/14013178933","14013178933")</f>
        <v>14013178933</v>
      </c>
      <c r="B546" s="2" t="s">
        <v>161</v>
      </c>
      <c r="C546" s="2" t="s">
        <v>833</v>
      </c>
      <c r="D546" s="2" t="s">
        <v>162</v>
      </c>
      <c r="E546" s="2" t="s">
        <v>11</v>
      </c>
      <c r="F546" s="2"/>
      <c r="G546" s="2" t="s">
        <v>363</v>
      </c>
      <c r="H546" s="2"/>
      <c r="I546" s="4">
        <v>44761</v>
      </c>
      <c r="J546" s="2" t="s">
        <v>13</v>
      </c>
      <c r="K546" s="2" t="s">
        <v>147</v>
      </c>
      <c r="L546" s="2" t="s">
        <v>29</v>
      </c>
      <c r="M546" s="2" t="s">
        <v>24</v>
      </c>
    </row>
    <row r="547" spans="1:13" x14ac:dyDescent="0.3">
      <c r="A547" s="2" t="str">
        <f>HYPERLINK("https://hsdes.intel.com/resource/14013178938","14013178938")</f>
        <v>14013178938</v>
      </c>
      <c r="B547" s="2" t="s">
        <v>163</v>
      </c>
      <c r="C547" s="2" t="s">
        <v>833</v>
      </c>
      <c r="D547" s="2" t="s">
        <v>164</v>
      </c>
      <c r="E547" s="2" t="s">
        <v>11</v>
      </c>
      <c r="F547" s="2"/>
      <c r="G547" s="2" t="s">
        <v>363</v>
      </c>
      <c r="H547" s="2"/>
      <c r="I547" s="4">
        <v>44761</v>
      </c>
      <c r="J547" s="2" t="s">
        <v>13</v>
      </c>
      <c r="K547" s="2" t="s">
        <v>147</v>
      </c>
      <c r="L547" s="2" t="s">
        <v>29</v>
      </c>
      <c r="M547" s="2" t="s">
        <v>16</v>
      </c>
    </row>
    <row r="548" spans="1:13" x14ac:dyDescent="0.3">
      <c r="A548" s="2" t="str">
        <f>HYPERLINK("https://hsdes.intel.com/resource/14013178942","14013178942")</f>
        <v>14013178942</v>
      </c>
      <c r="B548" s="2" t="s">
        <v>165</v>
      </c>
      <c r="C548" s="2" t="s">
        <v>833</v>
      </c>
      <c r="D548" s="2" t="s">
        <v>166</v>
      </c>
      <c r="E548" s="2" t="s">
        <v>11</v>
      </c>
      <c r="F548" s="2"/>
      <c r="G548" s="2" t="s">
        <v>363</v>
      </c>
      <c r="H548" s="2"/>
      <c r="I548" s="4">
        <v>44761</v>
      </c>
      <c r="J548" s="2" t="s">
        <v>13</v>
      </c>
      <c r="K548" s="2" t="s">
        <v>147</v>
      </c>
      <c r="L548" s="2" t="s">
        <v>29</v>
      </c>
      <c r="M548" s="2" t="s">
        <v>16</v>
      </c>
    </row>
    <row r="549" spans="1:13" x14ac:dyDescent="0.3">
      <c r="A549" s="2" t="str">
        <f>HYPERLINK("https://hsdes.intel.com/resource/14013179066","14013179066")</f>
        <v>14013179066</v>
      </c>
      <c r="B549" s="2" t="s">
        <v>693</v>
      </c>
      <c r="C549" s="2" t="s">
        <v>833</v>
      </c>
      <c r="D549" s="2" t="s">
        <v>694</v>
      </c>
      <c r="E549" s="2" t="s">
        <v>342</v>
      </c>
      <c r="F549" s="2"/>
      <c r="G549" s="2" t="s">
        <v>841</v>
      </c>
      <c r="H549" s="2"/>
      <c r="I549" s="4">
        <v>44755</v>
      </c>
      <c r="J549" s="2" t="s">
        <v>13</v>
      </c>
      <c r="K549" s="2" t="s">
        <v>93</v>
      </c>
      <c r="L549" s="2" t="s">
        <v>94</v>
      </c>
      <c r="M549" s="2" t="s">
        <v>21</v>
      </c>
    </row>
    <row r="550" spans="1:13" x14ac:dyDescent="0.3">
      <c r="A550" s="2" t="str">
        <f>HYPERLINK("https://hsdes.intel.com/resource/14013179088","14013179088")</f>
        <v>14013179088</v>
      </c>
      <c r="B550" s="2" t="s">
        <v>695</v>
      </c>
      <c r="C550" s="2" t="s">
        <v>833</v>
      </c>
      <c r="D550" s="2" t="s">
        <v>696</v>
      </c>
      <c r="E550" s="2" t="s">
        <v>11</v>
      </c>
      <c r="F550" s="2"/>
      <c r="G550" s="2" t="s">
        <v>841</v>
      </c>
      <c r="H550" s="2"/>
      <c r="I550" s="4">
        <v>44756</v>
      </c>
      <c r="J550" s="2" t="s">
        <v>13</v>
      </c>
      <c r="K550" s="2" t="s">
        <v>93</v>
      </c>
      <c r="L550" s="2" t="s">
        <v>94</v>
      </c>
      <c r="M550" s="2" t="s">
        <v>21</v>
      </c>
    </row>
    <row r="551" spans="1:13" x14ac:dyDescent="0.3">
      <c r="A551" s="2" t="str">
        <f>HYPERLINK("https://hsdes.intel.com/resource/14013179185","14013179185")</f>
        <v>14013179185</v>
      </c>
      <c r="B551" s="2" t="s">
        <v>697</v>
      </c>
      <c r="C551" s="2" t="s">
        <v>833</v>
      </c>
      <c r="D551" s="2" t="s">
        <v>698</v>
      </c>
      <c r="E551" s="2" t="s">
        <v>11</v>
      </c>
      <c r="F551" s="2"/>
      <c r="G551" s="2" t="s">
        <v>841</v>
      </c>
      <c r="H551" s="2"/>
      <c r="I551" s="4">
        <v>44755</v>
      </c>
      <c r="J551" s="2" t="s">
        <v>13</v>
      </c>
      <c r="K551" s="2" t="s">
        <v>93</v>
      </c>
      <c r="L551" s="2" t="s">
        <v>94</v>
      </c>
      <c r="M551" s="2" t="s">
        <v>16</v>
      </c>
    </row>
    <row r="552" spans="1:13" x14ac:dyDescent="0.3">
      <c r="A552" s="2" t="str">
        <f>HYPERLINK("https://hsdes.intel.com/resource/14013179187","14013179187")</f>
        <v>14013179187</v>
      </c>
      <c r="B552" s="2" t="s">
        <v>699</v>
      </c>
      <c r="C552" s="2" t="s">
        <v>833</v>
      </c>
      <c r="D552" s="2" t="s">
        <v>700</v>
      </c>
      <c r="E552" s="2" t="s">
        <v>11</v>
      </c>
      <c r="F552" s="2"/>
      <c r="G552" s="2" t="s">
        <v>841</v>
      </c>
      <c r="H552" s="2"/>
      <c r="I552" s="4">
        <v>44755</v>
      </c>
      <c r="J552" s="2" t="s">
        <v>13</v>
      </c>
      <c r="K552" s="2" t="s">
        <v>93</v>
      </c>
      <c r="L552" s="2" t="s">
        <v>94</v>
      </c>
      <c r="M552" s="2" t="s">
        <v>16</v>
      </c>
    </row>
    <row r="553" spans="1:13" x14ac:dyDescent="0.3">
      <c r="A553" s="2" t="str">
        <f>HYPERLINK("https://hsdes.intel.com/resource/14013179431","14013179431")</f>
        <v>14013179431</v>
      </c>
      <c r="B553" s="2" t="s">
        <v>701</v>
      </c>
      <c r="C553" s="2" t="s">
        <v>833</v>
      </c>
      <c r="D553" s="2" t="s">
        <v>702</v>
      </c>
      <c r="E553" s="2" t="s">
        <v>11</v>
      </c>
      <c r="F553" s="2"/>
      <c r="G553" s="2" t="s">
        <v>363</v>
      </c>
      <c r="H553" s="2"/>
      <c r="I553" s="4">
        <v>44762</v>
      </c>
      <c r="J553" s="2" t="s">
        <v>13</v>
      </c>
      <c r="K553" s="2" t="s">
        <v>93</v>
      </c>
      <c r="L553" s="2" t="s">
        <v>94</v>
      </c>
      <c r="M553" s="2" t="s">
        <v>16</v>
      </c>
    </row>
    <row r="554" spans="1:13" x14ac:dyDescent="0.3">
      <c r="A554" s="2" t="str">
        <f>HYPERLINK("https://hsdes.intel.com/resource/14013179754","14013179754")</f>
        <v>14013179754</v>
      </c>
      <c r="B554" s="2" t="s">
        <v>704</v>
      </c>
      <c r="C554" s="2" t="s">
        <v>833</v>
      </c>
      <c r="D554" s="2" t="s">
        <v>705</v>
      </c>
      <c r="E554" s="2" t="s">
        <v>11</v>
      </c>
      <c r="F554" s="2" t="s">
        <v>864</v>
      </c>
      <c r="G554" s="2" t="s">
        <v>841</v>
      </c>
      <c r="H554" s="2"/>
      <c r="I554" s="4">
        <v>44755</v>
      </c>
      <c r="J554" s="2" t="s">
        <v>13</v>
      </c>
      <c r="K554" s="2" t="s">
        <v>93</v>
      </c>
      <c r="L554" s="2" t="s">
        <v>94</v>
      </c>
      <c r="M554" s="2" t="s">
        <v>16</v>
      </c>
    </row>
    <row r="555" spans="1:13" x14ac:dyDescent="0.3">
      <c r="A555" s="2" t="str">
        <f>HYPERLINK("https://hsdes.intel.com/resource/14013185599","14013185599")</f>
        <v>14013185599</v>
      </c>
      <c r="B555" s="2" t="s">
        <v>706</v>
      </c>
      <c r="C555" s="2" t="s">
        <v>833</v>
      </c>
      <c r="D555" s="2" t="s">
        <v>707</v>
      </c>
      <c r="E555" s="2" t="s">
        <v>11</v>
      </c>
      <c r="F555" s="2"/>
      <c r="G555" s="2" t="s">
        <v>543</v>
      </c>
      <c r="H555" s="2"/>
      <c r="I555" s="4">
        <v>44757</v>
      </c>
      <c r="J555" s="2" t="s">
        <v>394</v>
      </c>
      <c r="K555" s="2" t="s">
        <v>639</v>
      </c>
      <c r="L555" s="2" t="s">
        <v>110</v>
      </c>
      <c r="M555" s="2" t="s">
        <v>21</v>
      </c>
    </row>
    <row r="556" spans="1:13" x14ac:dyDescent="0.3">
      <c r="A556" s="2" t="str">
        <f>HYPERLINK("https://hsdes.intel.com/resource/14013185608","14013185608")</f>
        <v>14013185608</v>
      </c>
      <c r="B556" s="2" t="s">
        <v>708</v>
      </c>
      <c r="C556" s="2" t="s">
        <v>833</v>
      </c>
      <c r="D556" s="2" t="s">
        <v>709</v>
      </c>
      <c r="E556" s="2" t="s">
        <v>37</v>
      </c>
      <c r="F556" s="2"/>
      <c r="G556" s="2" t="s">
        <v>349</v>
      </c>
      <c r="H556" s="2"/>
      <c r="I556" s="2"/>
      <c r="J556" s="2" t="s">
        <v>13</v>
      </c>
      <c r="K556" s="2" t="s">
        <v>639</v>
      </c>
      <c r="L556" s="2" t="s">
        <v>110</v>
      </c>
      <c r="M556" s="2" t="s">
        <v>21</v>
      </c>
    </row>
    <row r="557" spans="1:13" x14ac:dyDescent="0.3">
      <c r="A557" s="2" t="str">
        <f>HYPERLINK("https://hsdes.intel.com/resource/14013185622","14013185622")</f>
        <v>14013185622</v>
      </c>
      <c r="B557" s="2" t="s">
        <v>710</v>
      </c>
      <c r="C557" s="2" t="s">
        <v>833</v>
      </c>
      <c r="D557" s="2" t="s">
        <v>711</v>
      </c>
      <c r="E557" s="2" t="s">
        <v>37</v>
      </c>
      <c r="F557" s="2"/>
      <c r="G557" s="2" t="s">
        <v>349</v>
      </c>
      <c r="H557" s="2"/>
      <c r="I557" s="2"/>
      <c r="J557" s="2" t="s">
        <v>13</v>
      </c>
      <c r="K557" s="2" t="s">
        <v>639</v>
      </c>
      <c r="L557" s="2" t="s">
        <v>110</v>
      </c>
      <c r="M557" s="2" t="s">
        <v>21</v>
      </c>
    </row>
    <row r="558" spans="1:13" x14ac:dyDescent="0.3">
      <c r="A558" s="2" t="str">
        <f>HYPERLINK("https://hsdes.intel.com/resource/14013185653","14013185653")</f>
        <v>14013185653</v>
      </c>
      <c r="B558" s="2" t="s">
        <v>712</v>
      </c>
      <c r="C558" s="2" t="s">
        <v>833</v>
      </c>
      <c r="D558" s="2" t="s">
        <v>713</v>
      </c>
      <c r="E558" s="2" t="s">
        <v>11</v>
      </c>
      <c r="F558" s="2"/>
      <c r="G558" s="2" t="s">
        <v>841</v>
      </c>
      <c r="H558" s="2"/>
      <c r="I558" s="4">
        <v>44755</v>
      </c>
      <c r="J558" s="2" t="s">
        <v>13</v>
      </c>
      <c r="K558" s="2" t="s">
        <v>93</v>
      </c>
      <c r="L558" s="2" t="s">
        <v>94</v>
      </c>
      <c r="M558" s="2" t="s">
        <v>16</v>
      </c>
    </row>
    <row r="559" spans="1:13" x14ac:dyDescent="0.3">
      <c r="A559" s="2" t="str">
        <f>HYPERLINK("https://hsdes.intel.com/resource/14013185661","14013185661")</f>
        <v>14013185661</v>
      </c>
      <c r="B559" s="2" t="s">
        <v>714</v>
      </c>
      <c r="C559" s="2" t="s">
        <v>833</v>
      </c>
      <c r="D559" s="2" t="s">
        <v>715</v>
      </c>
      <c r="E559" s="2" t="s">
        <v>11</v>
      </c>
      <c r="F559" s="2"/>
      <c r="G559" s="2" t="s">
        <v>841</v>
      </c>
      <c r="H559" s="2"/>
      <c r="I559" s="4">
        <v>44755</v>
      </c>
      <c r="J559" s="2" t="s">
        <v>13</v>
      </c>
      <c r="K559" s="2" t="s">
        <v>93</v>
      </c>
      <c r="L559" s="2" t="s">
        <v>94</v>
      </c>
      <c r="M559" s="2" t="s">
        <v>16</v>
      </c>
    </row>
    <row r="560" spans="1:13" x14ac:dyDescent="0.3">
      <c r="A560" s="2" t="str">
        <f>HYPERLINK("https://hsdes.intel.com/resource/14013185674","14013185674")</f>
        <v>14013185674</v>
      </c>
      <c r="B560" s="2" t="s">
        <v>716</v>
      </c>
      <c r="C560" s="2" t="s">
        <v>833</v>
      </c>
      <c r="D560" s="2" t="s">
        <v>717</v>
      </c>
      <c r="E560" s="2" t="s">
        <v>11</v>
      </c>
      <c r="F560" s="2" t="s">
        <v>865</v>
      </c>
      <c r="G560" s="2" t="s">
        <v>363</v>
      </c>
      <c r="H560" s="2"/>
      <c r="I560" s="4">
        <v>44762</v>
      </c>
      <c r="J560" s="2" t="s">
        <v>13</v>
      </c>
      <c r="K560" s="2" t="s">
        <v>93</v>
      </c>
      <c r="L560" s="2" t="s">
        <v>94</v>
      </c>
      <c r="M560" s="2" t="s">
        <v>16</v>
      </c>
    </row>
    <row r="561" spans="1:13" x14ac:dyDescent="0.3">
      <c r="A561" s="2" t="str">
        <f>HYPERLINK("https://hsdes.intel.com/resource/16013327902","16013327902")</f>
        <v>16013327902</v>
      </c>
      <c r="B561" s="2" t="s">
        <v>531</v>
      </c>
      <c r="C561" s="2" t="s">
        <v>833</v>
      </c>
      <c r="D561" s="2" t="s">
        <v>532</v>
      </c>
      <c r="E561" s="2" t="s">
        <v>32</v>
      </c>
      <c r="F561" s="2" t="s">
        <v>859</v>
      </c>
      <c r="G561" s="2" t="s">
        <v>363</v>
      </c>
      <c r="H561" s="2" t="s">
        <v>841</v>
      </c>
      <c r="I561" s="4">
        <v>44769</v>
      </c>
      <c r="J561" s="2" t="s">
        <v>13</v>
      </c>
      <c r="K561" s="2" t="s">
        <v>28</v>
      </c>
      <c r="L561" s="2" t="s">
        <v>29</v>
      </c>
      <c r="M561" s="2" t="s">
        <v>24</v>
      </c>
    </row>
    <row r="562" spans="1:13" x14ac:dyDescent="0.3">
      <c r="A562" s="2" t="str">
        <f>HYPERLINK("https://hsdes.intel.com/resource/16013328015","16013328015")</f>
        <v>16013328015</v>
      </c>
      <c r="B562" s="2" t="s">
        <v>534</v>
      </c>
      <c r="C562" s="2" t="s">
        <v>833</v>
      </c>
      <c r="D562" s="2" t="s">
        <v>532</v>
      </c>
      <c r="E562" s="2" t="s">
        <v>32</v>
      </c>
      <c r="F562" s="2" t="s">
        <v>859</v>
      </c>
      <c r="G562" s="2" t="s">
        <v>363</v>
      </c>
      <c r="H562" s="2" t="s">
        <v>841</v>
      </c>
      <c r="I562" s="4">
        <v>44769</v>
      </c>
      <c r="J562" s="2" t="s">
        <v>13</v>
      </c>
      <c r="K562" s="2" t="s">
        <v>28</v>
      </c>
      <c r="L562" s="2" t="s">
        <v>29</v>
      </c>
      <c r="M562" s="2" t="s">
        <v>24</v>
      </c>
    </row>
    <row r="563" spans="1:13" x14ac:dyDescent="0.3">
      <c r="A563" s="2" t="str">
        <f>HYPERLINK("https://hsdes.intel.com/resource/16013328615","16013328615")</f>
        <v>16013328615</v>
      </c>
      <c r="B563" s="2" t="s">
        <v>535</v>
      </c>
      <c r="C563" s="2" t="s">
        <v>833</v>
      </c>
      <c r="D563" s="2" t="s">
        <v>532</v>
      </c>
      <c r="E563" s="2" t="s">
        <v>11</v>
      </c>
      <c r="F563" s="2"/>
      <c r="G563" s="2" t="s">
        <v>363</v>
      </c>
      <c r="H563" s="2"/>
      <c r="I563" s="4">
        <v>44762</v>
      </c>
      <c r="J563" s="2" t="s">
        <v>13</v>
      </c>
      <c r="K563" s="2" t="s">
        <v>28</v>
      </c>
      <c r="L563" s="2" t="s">
        <v>29</v>
      </c>
      <c r="M563" s="2" t="s">
        <v>24</v>
      </c>
    </row>
    <row r="564" spans="1:13" x14ac:dyDescent="0.3">
      <c r="A564" s="2" t="str">
        <f>HYPERLINK("https://hsdes.intel.com/resource/16014777355","16014777355")</f>
        <v>16014777355</v>
      </c>
      <c r="B564" s="2" t="s">
        <v>177</v>
      </c>
      <c r="C564" s="2" t="s">
        <v>833</v>
      </c>
      <c r="D564" s="2" t="s">
        <v>178</v>
      </c>
      <c r="E564" s="2" t="s">
        <v>11</v>
      </c>
      <c r="F564" s="2"/>
      <c r="G564" s="2" t="s">
        <v>363</v>
      </c>
      <c r="H564" s="2"/>
      <c r="I564" s="4">
        <v>44761</v>
      </c>
      <c r="J564" s="2" t="s">
        <v>13</v>
      </c>
      <c r="K564" s="2" t="s">
        <v>147</v>
      </c>
      <c r="L564" s="2" t="s">
        <v>29</v>
      </c>
      <c r="M564" s="2" t="s">
        <v>16</v>
      </c>
    </row>
    <row r="565" spans="1:13" x14ac:dyDescent="0.3">
      <c r="A565" s="2" t="str">
        <f>HYPERLINK("https://hsdes.intel.com/resource/16015067899","16015067899")</f>
        <v>16015067899</v>
      </c>
      <c r="B565" s="2" t="s">
        <v>180</v>
      </c>
      <c r="C565" s="2" t="s">
        <v>833</v>
      </c>
      <c r="D565" s="2" t="s">
        <v>178</v>
      </c>
      <c r="E565" s="2" t="s">
        <v>11</v>
      </c>
      <c r="F565" s="2"/>
      <c r="G565" s="2" t="s">
        <v>363</v>
      </c>
      <c r="H565" s="2"/>
      <c r="I565" s="4">
        <v>44761</v>
      </c>
      <c r="J565" s="2" t="s">
        <v>13</v>
      </c>
      <c r="K565" s="2" t="s">
        <v>147</v>
      </c>
      <c r="L565" s="2" t="s">
        <v>29</v>
      </c>
      <c r="M565" s="2" t="s">
        <v>16</v>
      </c>
    </row>
    <row r="566" spans="1:13" x14ac:dyDescent="0.3">
      <c r="A566" s="18" t="str">
        <f>HYPERLINK("https://hsdes.intel.com/resource/16015089042","16015089042")</f>
        <v>16015089042</v>
      </c>
      <c r="B566" s="2" t="s">
        <v>718</v>
      </c>
      <c r="C566" s="2" t="s">
        <v>833</v>
      </c>
      <c r="D566" s="2"/>
      <c r="E566" s="2" t="s">
        <v>11</v>
      </c>
      <c r="F566" s="2"/>
      <c r="G566" s="2" t="s">
        <v>363</v>
      </c>
      <c r="H566" s="2"/>
      <c r="I566" s="4">
        <v>44762</v>
      </c>
      <c r="J566" s="2" t="s">
        <v>13</v>
      </c>
      <c r="K566" s="2" t="s">
        <v>639</v>
      </c>
      <c r="L566" s="2" t="s">
        <v>110</v>
      </c>
      <c r="M566" s="2" t="s">
        <v>21</v>
      </c>
    </row>
    <row r="567" spans="1:13" x14ac:dyDescent="0.3">
      <c r="A567" s="2" t="str">
        <f>HYPERLINK("https://hsdes.intel.com/resource/22011834358","22011834358")</f>
        <v>22011834358</v>
      </c>
      <c r="B567" s="2" t="s">
        <v>184</v>
      </c>
      <c r="C567" s="2" t="s">
        <v>833</v>
      </c>
      <c r="D567" s="2" t="s">
        <v>185</v>
      </c>
      <c r="E567" s="2" t="s">
        <v>342</v>
      </c>
      <c r="F567" s="20" t="s">
        <v>866</v>
      </c>
      <c r="G567" s="2" t="s">
        <v>837</v>
      </c>
      <c r="H567" s="2"/>
      <c r="I567" s="4">
        <v>44755</v>
      </c>
      <c r="J567" s="2" t="s">
        <v>13</v>
      </c>
      <c r="K567" s="2" t="s">
        <v>105</v>
      </c>
      <c r="L567" s="2" t="s">
        <v>106</v>
      </c>
      <c r="M567" s="2" t="s">
        <v>24</v>
      </c>
    </row>
    <row r="568" spans="1:13" x14ac:dyDescent="0.3">
      <c r="A568" s="2" t="str">
        <f>HYPERLINK("https://hsdes.intel.com/resource/22011834481","22011834481")</f>
        <v>22011834481</v>
      </c>
      <c r="B568" s="2" t="s">
        <v>721</v>
      </c>
      <c r="C568" s="2" t="s">
        <v>833</v>
      </c>
      <c r="D568" s="2" t="s">
        <v>722</v>
      </c>
      <c r="E568" s="2" t="s">
        <v>11</v>
      </c>
      <c r="F568" s="2"/>
      <c r="G568" s="2" t="s">
        <v>837</v>
      </c>
      <c r="H568" s="2"/>
      <c r="I568" s="4">
        <v>44755</v>
      </c>
      <c r="J568" s="2" t="s">
        <v>13</v>
      </c>
      <c r="K568" s="2" t="s">
        <v>45</v>
      </c>
      <c r="L568" s="2" t="s">
        <v>581</v>
      </c>
      <c r="M568" s="2" t="s">
        <v>16</v>
      </c>
    </row>
    <row r="569" spans="1:13" x14ac:dyDescent="0.3">
      <c r="A569" s="2" t="str">
        <f>HYPERLINK("https://hsdes.intel.com/resource/22011834488","22011834488")</f>
        <v>22011834488</v>
      </c>
      <c r="B569" s="2" t="s">
        <v>723</v>
      </c>
      <c r="C569" s="2" t="s">
        <v>833</v>
      </c>
      <c r="D569" s="2" t="s">
        <v>724</v>
      </c>
      <c r="E569" s="2" t="s">
        <v>11</v>
      </c>
      <c r="F569" s="2"/>
      <c r="G569" s="2" t="s">
        <v>837</v>
      </c>
      <c r="H569" s="2"/>
      <c r="I569" s="4">
        <v>44755</v>
      </c>
      <c r="J569" s="2" t="s">
        <v>13</v>
      </c>
      <c r="K569" s="2" t="s">
        <v>45</v>
      </c>
      <c r="L569" s="2" t="s">
        <v>581</v>
      </c>
      <c r="M569" s="2" t="s">
        <v>16</v>
      </c>
    </row>
    <row r="570" spans="1:13" x14ac:dyDescent="0.3">
      <c r="A570" s="2" t="str">
        <f>HYPERLINK("https://hsdes.intel.com/resource/22011834502","22011834502")</f>
        <v>22011834502</v>
      </c>
      <c r="B570" s="2" t="s">
        <v>725</v>
      </c>
      <c r="C570" s="2" t="s">
        <v>833</v>
      </c>
      <c r="D570" s="2" t="s">
        <v>726</v>
      </c>
      <c r="E570" s="2" t="s">
        <v>342</v>
      </c>
      <c r="F570" s="2"/>
      <c r="G570" s="2" t="s">
        <v>837</v>
      </c>
      <c r="H570" s="2"/>
      <c r="I570" s="4">
        <v>44754</v>
      </c>
      <c r="J570" s="2" t="s">
        <v>13</v>
      </c>
      <c r="K570" s="2" t="s">
        <v>45</v>
      </c>
      <c r="L570" s="2" t="s">
        <v>581</v>
      </c>
      <c r="M570" s="2" t="s">
        <v>16</v>
      </c>
    </row>
    <row r="571" spans="1:13" x14ac:dyDescent="0.3">
      <c r="A571" s="21">
        <v>14013165152</v>
      </c>
      <c r="B571" s="2" t="s">
        <v>867</v>
      </c>
      <c r="C571" s="2" t="s">
        <v>833</v>
      </c>
      <c r="D571" s="2" t="s">
        <v>868</v>
      </c>
      <c r="E571" s="2" t="s">
        <v>342</v>
      </c>
      <c r="F571" s="2"/>
      <c r="G571" s="2" t="s">
        <v>363</v>
      </c>
      <c r="H571" s="2"/>
      <c r="I571" s="4">
        <v>44762</v>
      </c>
      <c r="J571" s="2" t="s">
        <v>13</v>
      </c>
      <c r="K571" s="2" t="s">
        <v>19</v>
      </c>
      <c r="L571" s="2" t="s">
        <v>20</v>
      </c>
      <c r="M571" s="2" t="s">
        <v>21</v>
      </c>
    </row>
    <row r="572" spans="1:13" x14ac:dyDescent="0.3">
      <c r="A572" s="21">
        <v>14013165178</v>
      </c>
      <c r="B572" s="2" t="s">
        <v>869</v>
      </c>
      <c r="C572" s="2" t="s">
        <v>833</v>
      </c>
      <c r="D572" s="2" t="s">
        <v>870</v>
      </c>
      <c r="E572" s="2" t="s">
        <v>342</v>
      </c>
      <c r="F572" s="2"/>
      <c r="G572" s="2" t="s">
        <v>354</v>
      </c>
      <c r="H572" s="2"/>
      <c r="I572" s="4">
        <v>44757</v>
      </c>
      <c r="J572" s="2" t="s">
        <v>13</v>
      </c>
      <c r="K572" s="2" t="s">
        <v>19</v>
      </c>
      <c r="L572" s="2" t="s">
        <v>20</v>
      </c>
      <c r="M572" s="2" t="s">
        <v>21</v>
      </c>
    </row>
    <row r="573" spans="1:13" x14ac:dyDescent="0.3">
      <c r="A573" s="21">
        <v>14013165184</v>
      </c>
      <c r="B573" s="2" t="s">
        <v>871</v>
      </c>
      <c r="C573" s="2" t="s">
        <v>833</v>
      </c>
      <c r="D573" s="2" t="s">
        <v>872</v>
      </c>
      <c r="E573" s="2" t="s">
        <v>342</v>
      </c>
      <c r="F573" s="2"/>
      <c r="G573" s="2" t="s">
        <v>354</v>
      </c>
      <c r="H573" s="2"/>
      <c r="I573" s="4">
        <v>44757</v>
      </c>
      <c r="J573" s="2" t="s">
        <v>192</v>
      </c>
      <c r="K573" s="2" t="s">
        <v>19</v>
      </c>
      <c r="L573" s="2" t="s">
        <v>20</v>
      </c>
      <c r="M573" s="2" t="s">
        <v>21</v>
      </c>
    </row>
    <row r="574" spans="1:13" x14ac:dyDescent="0.3">
      <c r="A574" s="21">
        <v>14013165215</v>
      </c>
      <c r="B574" s="2" t="s">
        <v>873</v>
      </c>
      <c r="C574" s="2" t="s">
        <v>833</v>
      </c>
      <c r="D574" s="2" t="s">
        <v>874</v>
      </c>
      <c r="E574" s="2" t="s">
        <v>342</v>
      </c>
      <c r="F574" s="2"/>
      <c r="G574" s="2" t="s">
        <v>349</v>
      </c>
      <c r="H574" s="2"/>
      <c r="I574" s="4">
        <v>44760</v>
      </c>
      <c r="J574" s="2" t="s">
        <v>13</v>
      </c>
      <c r="K574" s="2" t="s">
        <v>19</v>
      </c>
      <c r="L574" s="2" t="s">
        <v>20</v>
      </c>
      <c r="M574" s="2" t="s">
        <v>21</v>
      </c>
    </row>
    <row r="575" spans="1:13" x14ac:dyDescent="0.3">
      <c r="A575" s="21">
        <v>14013165220</v>
      </c>
      <c r="B575" s="2" t="s">
        <v>875</v>
      </c>
      <c r="C575" s="2" t="s">
        <v>833</v>
      </c>
      <c r="D575" s="2" t="s">
        <v>876</v>
      </c>
      <c r="E575" s="2" t="s">
        <v>342</v>
      </c>
      <c r="F575" s="2"/>
      <c r="G575" s="2" t="s">
        <v>354</v>
      </c>
      <c r="H575" s="2"/>
      <c r="I575" s="4">
        <v>44757</v>
      </c>
      <c r="J575" s="2" t="s">
        <v>192</v>
      </c>
      <c r="K575" s="2" t="s">
        <v>19</v>
      </c>
      <c r="L575" s="2" t="s">
        <v>20</v>
      </c>
      <c r="M575" s="2" t="s">
        <v>21</v>
      </c>
    </row>
    <row r="576" spans="1:13" x14ac:dyDescent="0.3">
      <c r="A576" s="21">
        <v>14013165230</v>
      </c>
      <c r="B576" s="2" t="s">
        <v>877</v>
      </c>
      <c r="C576" s="2" t="s">
        <v>833</v>
      </c>
      <c r="D576" s="2" t="s">
        <v>878</v>
      </c>
      <c r="E576" s="2" t="s">
        <v>342</v>
      </c>
      <c r="F576" s="2"/>
      <c r="G576" s="2" t="s">
        <v>354</v>
      </c>
      <c r="H576" s="2"/>
      <c r="I576" s="4">
        <v>44757</v>
      </c>
      <c r="J576" s="2" t="s">
        <v>13</v>
      </c>
      <c r="K576" s="2" t="s">
        <v>19</v>
      </c>
      <c r="L576" s="2" t="s">
        <v>20</v>
      </c>
      <c r="M576" s="2" t="s">
        <v>21</v>
      </c>
    </row>
    <row r="577" spans="1:13" x14ac:dyDescent="0.3">
      <c r="A577" s="21">
        <v>14013165239</v>
      </c>
      <c r="B577" s="2" t="s">
        <v>879</v>
      </c>
      <c r="C577" s="2" t="s">
        <v>833</v>
      </c>
      <c r="D577" s="2" t="s">
        <v>880</v>
      </c>
      <c r="E577" s="2" t="s">
        <v>342</v>
      </c>
      <c r="F577" s="2"/>
      <c r="G577" s="2" t="s">
        <v>354</v>
      </c>
      <c r="H577" s="2"/>
      <c r="I577" s="4">
        <v>44757</v>
      </c>
      <c r="J577" s="2" t="s">
        <v>192</v>
      </c>
      <c r="K577" s="2" t="s">
        <v>19</v>
      </c>
      <c r="L577" s="2" t="s">
        <v>20</v>
      </c>
      <c r="M577" s="2" t="s">
        <v>21</v>
      </c>
    </row>
    <row r="578" spans="1:13" x14ac:dyDescent="0.3">
      <c r="A578" s="21">
        <v>14013165248</v>
      </c>
      <c r="B578" s="2" t="s">
        <v>881</v>
      </c>
      <c r="C578" s="2" t="s">
        <v>833</v>
      </c>
      <c r="D578" s="2" t="s">
        <v>882</v>
      </c>
      <c r="E578" s="2" t="s">
        <v>342</v>
      </c>
      <c r="F578" s="2"/>
      <c r="G578" s="2" t="s">
        <v>354</v>
      </c>
      <c r="H578" s="2"/>
      <c r="I578" s="4">
        <v>44757</v>
      </c>
      <c r="J578" s="2" t="s">
        <v>13</v>
      </c>
      <c r="K578" s="2" t="s">
        <v>19</v>
      </c>
      <c r="L578" s="2" t="s">
        <v>20</v>
      </c>
      <c r="M578" s="2" t="s">
        <v>21</v>
      </c>
    </row>
    <row r="579" spans="1:13" x14ac:dyDescent="0.3">
      <c r="A579" s="21">
        <v>14013165251</v>
      </c>
      <c r="B579" s="2" t="s">
        <v>883</v>
      </c>
      <c r="C579" s="2" t="s">
        <v>833</v>
      </c>
      <c r="D579" s="2" t="s">
        <v>884</v>
      </c>
      <c r="E579" s="2" t="s">
        <v>342</v>
      </c>
      <c r="F579" s="2"/>
      <c r="G579" s="2" t="s">
        <v>354</v>
      </c>
      <c r="H579" s="2"/>
      <c r="I579" s="4">
        <v>44757</v>
      </c>
      <c r="J579" s="2" t="s">
        <v>192</v>
      </c>
      <c r="K579" s="2" t="s">
        <v>19</v>
      </c>
      <c r="L579" s="2" t="s">
        <v>20</v>
      </c>
      <c r="M579" s="2" t="s">
        <v>21</v>
      </c>
    </row>
    <row r="580" spans="1:13" x14ac:dyDescent="0.3">
      <c r="A580" s="21">
        <v>14013165266</v>
      </c>
      <c r="B580" s="2" t="s">
        <v>885</v>
      </c>
      <c r="C580" s="2" t="s">
        <v>833</v>
      </c>
      <c r="D580" s="2" t="s">
        <v>886</v>
      </c>
      <c r="E580" s="2" t="s">
        <v>342</v>
      </c>
      <c r="F580" s="2"/>
      <c r="G580" s="2" t="s">
        <v>354</v>
      </c>
      <c r="H580" s="2"/>
      <c r="I580" s="4">
        <v>44759</v>
      </c>
      <c r="J580" s="2" t="s">
        <v>13</v>
      </c>
      <c r="K580" s="2" t="s">
        <v>19</v>
      </c>
      <c r="L580" s="2" t="s">
        <v>20</v>
      </c>
      <c r="M580" s="2" t="s">
        <v>21</v>
      </c>
    </row>
    <row r="581" spans="1:13" x14ac:dyDescent="0.3">
      <c r="A581" s="21">
        <v>14013165268</v>
      </c>
      <c r="B581" s="2" t="s">
        <v>887</v>
      </c>
      <c r="C581" s="2" t="s">
        <v>833</v>
      </c>
      <c r="D581" s="2" t="s">
        <v>888</v>
      </c>
      <c r="E581" s="2" t="s">
        <v>342</v>
      </c>
      <c r="F581" s="2"/>
      <c r="G581" s="2" t="s">
        <v>354</v>
      </c>
      <c r="H581" s="2"/>
      <c r="I581" s="4">
        <v>44759</v>
      </c>
      <c r="J581" s="2" t="s">
        <v>192</v>
      </c>
      <c r="K581" s="2" t="s">
        <v>19</v>
      </c>
      <c r="L581" s="2" t="s">
        <v>20</v>
      </c>
      <c r="M581" s="2" t="s">
        <v>21</v>
      </c>
    </row>
    <row r="582" spans="1:13" x14ac:dyDescent="0.3">
      <c r="A582" s="21">
        <v>14013165277</v>
      </c>
      <c r="B582" s="2" t="s">
        <v>889</v>
      </c>
      <c r="C582" s="2" t="s">
        <v>833</v>
      </c>
      <c r="D582" s="2" t="s">
        <v>890</v>
      </c>
      <c r="E582" s="2" t="s">
        <v>342</v>
      </c>
      <c r="F582" s="2"/>
      <c r="G582" s="2" t="s">
        <v>354</v>
      </c>
      <c r="H582" s="2"/>
      <c r="I582" s="4">
        <v>44759</v>
      </c>
      <c r="J582" s="2" t="s">
        <v>13</v>
      </c>
      <c r="K582" s="2" t="s">
        <v>19</v>
      </c>
      <c r="L582" s="2" t="s">
        <v>20</v>
      </c>
      <c r="M582" s="2" t="s">
        <v>21</v>
      </c>
    </row>
    <row r="583" spans="1:13" x14ac:dyDescent="0.3">
      <c r="A583" s="21">
        <v>14013165279</v>
      </c>
      <c r="B583" s="2" t="s">
        <v>891</v>
      </c>
      <c r="C583" s="2" t="s">
        <v>833</v>
      </c>
      <c r="D583" s="2" t="s">
        <v>892</v>
      </c>
      <c r="E583" s="2" t="s">
        <v>342</v>
      </c>
      <c r="F583" s="2"/>
      <c r="G583" s="2" t="s">
        <v>354</v>
      </c>
      <c r="H583" s="2"/>
      <c r="I583" s="4">
        <v>44759</v>
      </c>
      <c r="J583" s="2" t="s">
        <v>192</v>
      </c>
      <c r="K583" s="2" t="s">
        <v>19</v>
      </c>
      <c r="L583" s="2" t="s">
        <v>20</v>
      </c>
      <c r="M583" s="2" t="s">
        <v>21</v>
      </c>
    </row>
    <row r="584" spans="1:13" x14ac:dyDescent="0.3">
      <c r="A584" s="21">
        <v>14013165283</v>
      </c>
      <c r="B584" s="2" t="s">
        <v>893</v>
      </c>
      <c r="C584" s="2" t="s">
        <v>833</v>
      </c>
      <c r="D584" s="2" t="s">
        <v>894</v>
      </c>
      <c r="E584" s="2" t="s">
        <v>342</v>
      </c>
      <c r="F584" s="2"/>
      <c r="G584" s="2" t="s">
        <v>354</v>
      </c>
      <c r="H584" s="2"/>
      <c r="I584" s="4">
        <v>44759</v>
      </c>
      <c r="J584" s="2" t="s">
        <v>13</v>
      </c>
      <c r="K584" s="2" t="s">
        <v>19</v>
      </c>
      <c r="L584" s="2" t="s">
        <v>20</v>
      </c>
      <c r="M584" s="2" t="s">
        <v>21</v>
      </c>
    </row>
    <row r="585" spans="1:13" x14ac:dyDescent="0.3">
      <c r="A585" s="21">
        <v>14013165285</v>
      </c>
      <c r="B585" s="2" t="s">
        <v>895</v>
      </c>
      <c r="C585" s="2" t="s">
        <v>833</v>
      </c>
      <c r="D585" s="2" t="s">
        <v>896</v>
      </c>
      <c r="E585" s="2" t="s">
        <v>342</v>
      </c>
      <c r="F585" s="2"/>
      <c r="G585" s="2" t="s">
        <v>354</v>
      </c>
      <c r="H585" s="2"/>
      <c r="I585" s="4">
        <v>44759</v>
      </c>
      <c r="J585" s="2" t="s">
        <v>192</v>
      </c>
      <c r="K585" s="2" t="s">
        <v>19</v>
      </c>
      <c r="L585" s="2" t="s">
        <v>20</v>
      </c>
      <c r="M585" s="2" t="s">
        <v>21</v>
      </c>
    </row>
    <row r="586" spans="1:13" x14ac:dyDescent="0.3">
      <c r="A586" s="21">
        <v>14013165349</v>
      </c>
      <c r="B586" s="2" t="s">
        <v>3626</v>
      </c>
      <c r="C586" s="2" t="s">
        <v>833</v>
      </c>
      <c r="D586" s="2" t="s">
        <v>898</v>
      </c>
      <c r="E586" s="2" t="s">
        <v>32</v>
      </c>
      <c r="F586" s="2" t="s">
        <v>3636</v>
      </c>
      <c r="G586" s="2" t="s">
        <v>719</v>
      </c>
      <c r="H586" s="2" t="s">
        <v>841</v>
      </c>
      <c r="I586" s="4">
        <v>44769</v>
      </c>
      <c r="J586" s="2" t="s">
        <v>192</v>
      </c>
      <c r="K586" s="2" t="s">
        <v>19</v>
      </c>
      <c r="L586" s="2" t="s">
        <v>20</v>
      </c>
      <c r="M586" s="2" t="s">
        <v>24</v>
      </c>
    </row>
    <row r="587" spans="1:13" x14ac:dyDescent="0.3">
      <c r="A587" s="21">
        <v>14013165361</v>
      </c>
      <c r="B587" s="2" t="s">
        <v>900</v>
      </c>
      <c r="C587" s="2" t="s">
        <v>833</v>
      </c>
      <c r="D587" s="2" t="s">
        <v>901</v>
      </c>
      <c r="E587" s="2" t="s">
        <v>32</v>
      </c>
      <c r="F587" s="2" t="s">
        <v>3636</v>
      </c>
      <c r="G587" s="2" t="s">
        <v>719</v>
      </c>
      <c r="H587" s="2" t="s">
        <v>841</v>
      </c>
      <c r="I587" s="4">
        <v>44769</v>
      </c>
      <c r="J587" s="2" t="s">
        <v>192</v>
      </c>
      <c r="K587" s="2" t="s">
        <v>19</v>
      </c>
      <c r="L587" s="2" t="s">
        <v>20</v>
      </c>
      <c r="M587" s="2" t="s">
        <v>24</v>
      </c>
    </row>
    <row r="588" spans="1:13" x14ac:dyDescent="0.3">
      <c r="A588" s="21" t="s">
        <v>902</v>
      </c>
      <c r="B588" s="2" t="s">
        <v>903</v>
      </c>
      <c r="C588" s="2" t="s">
        <v>833</v>
      </c>
      <c r="D588" s="2" t="s">
        <v>904</v>
      </c>
      <c r="E588" s="2" t="s">
        <v>405</v>
      </c>
      <c r="F588" s="2" t="s">
        <v>899</v>
      </c>
      <c r="G588" s="2" t="s">
        <v>719</v>
      </c>
      <c r="H588" s="2" t="s">
        <v>841</v>
      </c>
      <c r="I588" s="4">
        <v>44768</v>
      </c>
      <c r="J588" s="2" t="s">
        <v>192</v>
      </c>
      <c r="K588" s="2" t="s">
        <v>19</v>
      </c>
      <c r="L588" s="2" t="s">
        <v>20</v>
      </c>
      <c r="M588" s="2" t="s">
        <v>24</v>
      </c>
    </row>
    <row r="589" spans="1:13" x14ac:dyDescent="0.3">
      <c r="A589" s="21">
        <v>14013165375</v>
      </c>
      <c r="B589" s="2" t="s">
        <v>905</v>
      </c>
      <c r="C589" s="2" t="s">
        <v>833</v>
      </c>
      <c r="D589" s="2" t="s">
        <v>906</v>
      </c>
      <c r="E589" s="2" t="s">
        <v>405</v>
      </c>
      <c r="F589" s="2" t="s">
        <v>899</v>
      </c>
      <c r="G589" s="2" t="s">
        <v>719</v>
      </c>
      <c r="H589" s="2" t="s">
        <v>841</v>
      </c>
      <c r="I589" s="4">
        <v>44768</v>
      </c>
      <c r="J589" s="2" t="s">
        <v>192</v>
      </c>
      <c r="K589" s="2" t="s">
        <v>19</v>
      </c>
      <c r="L589" s="2" t="s">
        <v>20</v>
      </c>
      <c r="M589" s="2" t="s">
        <v>24</v>
      </c>
    </row>
    <row r="590" spans="1:13" x14ac:dyDescent="0.3">
      <c r="A590" s="21">
        <v>14013165380</v>
      </c>
      <c r="B590" s="2" t="s">
        <v>907</v>
      </c>
      <c r="C590" s="2" t="s">
        <v>833</v>
      </c>
      <c r="D590" s="2" t="s">
        <v>908</v>
      </c>
      <c r="E590" s="2" t="s">
        <v>405</v>
      </c>
      <c r="F590" s="2" t="s">
        <v>899</v>
      </c>
      <c r="G590" s="2" t="s">
        <v>719</v>
      </c>
      <c r="H590" s="2" t="s">
        <v>841</v>
      </c>
      <c r="I590" s="4">
        <v>44768</v>
      </c>
      <c r="J590" s="2" t="s">
        <v>192</v>
      </c>
      <c r="K590" s="2" t="s">
        <v>19</v>
      </c>
      <c r="L590" s="2" t="s">
        <v>20</v>
      </c>
      <c r="M590" s="2" t="s">
        <v>21</v>
      </c>
    </row>
    <row r="591" spans="1:13" x14ac:dyDescent="0.3">
      <c r="A591" s="21">
        <v>14013165383</v>
      </c>
      <c r="B591" s="2" t="s">
        <v>909</v>
      </c>
      <c r="C591" s="2" t="s">
        <v>833</v>
      </c>
      <c r="D591" s="2" t="s">
        <v>910</v>
      </c>
      <c r="E591" s="2" t="s">
        <v>342</v>
      </c>
      <c r="F591" s="2"/>
      <c r="G591" s="2" t="s">
        <v>354</v>
      </c>
      <c r="H591" s="2"/>
      <c r="I591" s="4">
        <v>44757</v>
      </c>
      <c r="J591" s="2" t="s">
        <v>13</v>
      </c>
      <c r="K591" s="2" t="s">
        <v>19</v>
      </c>
      <c r="L591" s="2" t="s">
        <v>20</v>
      </c>
      <c r="M591" s="2" t="s">
        <v>24</v>
      </c>
    </row>
    <row r="592" spans="1:13" x14ac:dyDescent="0.3">
      <c r="A592" s="21">
        <v>14013165391</v>
      </c>
      <c r="B592" s="2" t="s">
        <v>911</v>
      </c>
      <c r="C592" s="2" t="s">
        <v>833</v>
      </c>
      <c r="D592" s="2" t="s">
        <v>912</v>
      </c>
      <c r="E592" s="2" t="s">
        <v>342</v>
      </c>
      <c r="F592" s="2"/>
      <c r="G592" s="2" t="s">
        <v>354</v>
      </c>
      <c r="H592" s="2"/>
      <c r="I592" s="4">
        <v>44757</v>
      </c>
      <c r="J592" s="2" t="s">
        <v>13</v>
      </c>
      <c r="K592" s="2" t="s">
        <v>19</v>
      </c>
      <c r="L592" s="2" t="s">
        <v>20</v>
      </c>
      <c r="M592" s="2" t="s">
        <v>24</v>
      </c>
    </row>
    <row r="593" spans="1:13" x14ac:dyDescent="0.3">
      <c r="A593" s="21">
        <v>14013165397</v>
      </c>
      <c r="B593" s="2" t="s">
        <v>913</v>
      </c>
      <c r="C593" s="2" t="s">
        <v>833</v>
      </c>
      <c r="D593" s="2" t="s">
        <v>914</v>
      </c>
      <c r="E593" s="2" t="s">
        <v>342</v>
      </c>
      <c r="F593" s="2"/>
      <c r="G593" s="2" t="s">
        <v>354</v>
      </c>
      <c r="H593" s="2"/>
      <c r="I593" s="4">
        <v>44757</v>
      </c>
      <c r="J593" s="2" t="s">
        <v>13</v>
      </c>
      <c r="K593" s="2" t="s">
        <v>19</v>
      </c>
      <c r="L593" s="2" t="s">
        <v>20</v>
      </c>
      <c r="M593" s="2" t="s">
        <v>24</v>
      </c>
    </row>
    <row r="594" spans="1:13" x14ac:dyDescent="0.3">
      <c r="A594" s="21">
        <v>14013165401</v>
      </c>
      <c r="B594" s="2" t="s">
        <v>915</v>
      </c>
      <c r="C594" s="2" t="s">
        <v>833</v>
      </c>
      <c r="D594" s="2" t="s">
        <v>916</v>
      </c>
      <c r="E594" s="2" t="s">
        <v>342</v>
      </c>
      <c r="F594" s="2"/>
      <c r="G594" s="2" t="s">
        <v>354</v>
      </c>
      <c r="H594" s="2"/>
      <c r="I594" s="4">
        <v>44757</v>
      </c>
      <c r="J594" s="2" t="s">
        <v>13</v>
      </c>
      <c r="K594" s="2" t="s">
        <v>19</v>
      </c>
      <c r="L594" s="2" t="s">
        <v>20</v>
      </c>
      <c r="M594" s="2" t="s">
        <v>24</v>
      </c>
    </row>
    <row r="595" spans="1:13" x14ac:dyDescent="0.3">
      <c r="A595" s="21">
        <v>14013165406</v>
      </c>
      <c r="B595" s="2" t="s">
        <v>917</v>
      </c>
      <c r="C595" s="2" t="s">
        <v>833</v>
      </c>
      <c r="D595" s="2" t="s">
        <v>918</v>
      </c>
      <c r="E595" s="2" t="s">
        <v>342</v>
      </c>
      <c r="F595" s="2"/>
      <c r="G595" s="2" t="s">
        <v>354</v>
      </c>
      <c r="H595" s="2"/>
      <c r="I595" s="4">
        <v>44757</v>
      </c>
      <c r="J595" s="2" t="s">
        <v>13</v>
      </c>
      <c r="K595" s="2" t="s">
        <v>19</v>
      </c>
      <c r="L595" s="2" t="s">
        <v>20</v>
      </c>
      <c r="M595" s="2" t="s">
        <v>24</v>
      </c>
    </row>
    <row r="596" spans="1:13" x14ac:dyDescent="0.3">
      <c r="A596" s="21">
        <v>14013165413</v>
      </c>
      <c r="B596" s="2" t="s">
        <v>919</v>
      </c>
      <c r="C596" s="2" t="s">
        <v>833</v>
      </c>
      <c r="D596" s="2" t="s">
        <v>920</v>
      </c>
      <c r="E596" s="2" t="s">
        <v>342</v>
      </c>
      <c r="F596" s="2"/>
      <c r="G596" s="2" t="s">
        <v>354</v>
      </c>
      <c r="H596" s="2"/>
      <c r="I596" s="4">
        <v>44757</v>
      </c>
      <c r="J596" s="2" t="s">
        <v>13</v>
      </c>
      <c r="K596" s="2" t="s">
        <v>19</v>
      </c>
      <c r="L596" s="2" t="s">
        <v>20</v>
      </c>
      <c r="M596" s="2" t="s">
        <v>24</v>
      </c>
    </row>
    <row r="597" spans="1:13" x14ac:dyDescent="0.3">
      <c r="A597" s="21">
        <v>14013165418</v>
      </c>
      <c r="B597" s="2" t="s">
        <v>921</v>
      </c>
      <c r="C597" s="2" t="s">
        <v>833</v>
      </c>
      <c r="D597" s="2" t="s">
        <v>922</v>
      </c>
      <c r="E597" s="2" t="s">
        <v>342</v>
      </c>
      <c r="F597" s="2"/>
      <c r="G597" s="2" t="s">
        <v>354</v>
      </c>
      <c r="H597" s="2"/>
      <c r="I597" s="4">
        <v>44757</v>
      </c>
      <c r="J597" s="2" t="s">
        <v>13</v>
      </c>
      <c r="K597" s="2" t="s">
        <v>19</v>
      </c>
      <c r="L597" s="2" t="s">
        <v>20</v>
      </c>
      <c r="M597" s="2" t="s">
        <v>24</v>
      </c>
    </row>
    <row r="598" spans="1:13" x14ac:dyDescent="0.3">
      <c r="A598" s="21">
        <v>14013165427</v>
      </c>
      <c r="B598" s="2" t="s">
        <v>923</v>
      </c>
      <c r="C598" s="2" t="s">
        <v>833</v>
      </c>
      <c r="D598" s="2" t="s">
        <v>924</v>
      </c>
      <c r="E598" s="2" t="s">
        <v>342</v>
      </c>
      <c r="F598" s="2"/>
      <c r="G598" s="2" t="s">
        <v>354</v>
      </c>
      <c r="H598" s="2"/>
      <c r="I598" s="4">
        <v>44757</v>
      </c>
      <c r="J598" s="2" t="s">
        <v>13</v>
      </c>
      <c r="K598" s="2" t="s">
        <v>19</v>
      </c>
      <c r="L598" s="2" t="s">
        <v>20</v>
      </c>
      <c r="M598" s="2" t="s">
        <v>24</v>
      </c>
    </row>
    <row r="599" spans="1:13" x14ac:dyDescent="0.3">
      <c r="A599" s="21">
        <v>14013165430</v>
      </c>
      <c r="B599" s="2" t="s">
        <v>925</v>
      </c>
      <c r="C599" s="2" t="s">
        <v>833</v>
      </c>
      <c r="D599" s="2" t="s">
        <v>926</v>
      </c>
      <c r="E599" s="2" t="s">
        <v>342</v>
      </c>
      <c r="F599" s="2"/>
      <c r="G599" s="2" t="s">
        <v>354</v>
      </c>
      <c r="H599" s="2"/>
      <c r="I599" s="4">
        <v>44759</v>
      </c>
      <c r="J599" s="2" t="s">
        <v>13</v>
      </c>
      <c r="K599" s="2" t="s">
        <v>19</v>
      </c>
      <c r="L599" s="2" t="s">
        <v>20</v>
      </c>
      <c r="M599" s="2" t="s">
        <v>24</v>
      </c>
    </row>
    <row r="600" spans="1:13" x14ac:dyDescent="0.3">
      <c r="A600" s="21">
        <v>14013165430</v>
      </c>
      <c r="B600" s="2" t="s">
        <v>927</v>
      </c>
      <c r="C600" s="2" t="s">
        <v>833</v>
      </c>
      <c r="D600" s="2" t="s">
        <v>928</v>
      </c>
      <c r="E600" s="2" t="s">
        <v>342</v>
      </c>
      <c r="F600" s="2"/>
      <c r="G600" s="2" t="s">
        <v>354</v>
      </c>
      <c r="H600" s="2"/>
      <c r="I600" s="4">
        <v>44759</v>
      </c>
      <c r="J600" s="2" t="s">
        <v>13</v>
      </c>
      <c r="K600" s="2" t="s">
        <v>19</v>
      </c>
      <c r="L600" s="2" t="s">
        <v>20</v>
      </c>
      <c r="M600" s="2" t="s">
        <v>24</v>
      </c>
    </row>
    <row r="601" spans="1:13" x14ac:dyDescent="0.3">
      <c r="A601" s="21">
        <v>14013165430</v>
      </c>
      <c r="B601" s="2" t="s">
        <v>929</v>
      </c>
      <c r="C601" s="2" t="s">
        <v>833</v>
      </c>
      <c r="D601" s="2" t="s">
        <v>930</v>
      </c>
      <c r="E601" s="2" t="s">
        <v>342</v>
      </c>
      <c r="F601" s="2"/>
      <c r="G601" s="2" t="s">
        <v>354</v>
      </c>
      <c r="H601" s="2"/>
      <c r="I601" s="4">
        <v>44759</v>
      </c>
      <c r="J601" s="2" t="s">
        <v>13</v>
      </c>
      <c r="K601" s="2" t="s">
        <v>19</v>
      </c>
      <c r="L601" s="2" t="s">
        <v>20</v>
      </c>
      <c r="M601" s="2" t="s">
        <v>24</v>
      </c>
    </row>
    <row r="602" spans="1:13" x14ac:dyDescent="0.3">
      <c r="A602" s="21">
        <v>14013165430</v>
      </c>
      <c r="B602" s="2" t="s">
        <v>931</v>
      </c>
      <c r="C602" s="2" t="s">
        <v>833</v>
      </c>
      <c r="D602" s="2" t="s">
        <v>932</v>
      </c>
      <c r="E602" s="2" t="s">
        <v>342</v>
      </c>
      <c r="F602" s="2"/>
      <c r="G602" s="2" t="s">
        <v>354</v>
      </c>
      <c r="H602" s="2"/>
      <c r="I602" s="4">
        <v>44759</v>
      </c>
      <c r="J602" s="2" t="s">
        <v>13</v>
      </c>
      <c r="K602" s="2" t="s">
        <v>19</v>
      </c>
      <c r="L602" s="2" t="s">
        <v>20</v>
      </c>
      <c r="M602" s="2" t="s">
        <v>24</v>
      </c>
    </row>
    <row r="603" spans="1:13" x14ac:dyDescent="0.3">
      <c r="A603" s="21">
        <v>14013165430</v>
      </c>
      <c r="B603" s="2" t="s">
        <v>933</v>
      </c>
      <c r="C603" s="2" t="s">
        <v>833</v>
      </c>
      <c r="D603" s="2" t="s">
        <v>934</v>
      </c>
      <c r="E603" s="2" t="s">
        <v>342</v>
      </c>
      <c r="F603" s="2"/>
      <c r="G603" s="2" t="s">
        <v>354</v>
      </c>
      <c r="H603" s="2"/>
      <c r="I603" s="4">
        <v>44759</v>
      </c>
      <c r="J603" s="2" t="s">
        <v>13</v>
      </c>
      <c r="K603" s="2" t="s">
        <v>19</v>
      </c>
      <c r="L603" s="2" t="s">
        <v>20</v>
      </c>
      <c r="M603" s="2" t="s">
        <v>24</v>
      </c>
    </row>
    <row r="604" spans="1:13" x14ac:dyDescent="0.3">
      <c r="A604" s="21">
        <v>14013165430</v>
      </c>
      <c r="B604" s="2" t="s">
        <v>935</v>
      </c>
      <c r="C604" s="2" t="s">
        <v>833</v>
      </c>
      <c r="D604" s="2" t="s">
        <v>936</v>
      </c>
      <c r="E604" s="2" t="s">
        <v>342</v>
      </c>
      <c r="F604" s="2"/>
      <c r="G604" s="2" t="s">
        <v>354</v>
      </c>
      <c r="H604" s="2"/>
      <c r="I604" s="4">
        <v>44759</v>
      </c>
      <c r="J604" s="2" t="s">
        <v>13</v>
      </c>
      <c r="K604" s="2" t="s">
        <v>19</v>
      </c>
      <c r="L604" s="2" t="s">
        <v>20</v>
      </c>
      <c r="M604" s="2" t="s">
        <v>24</v>
      </c>
    </row>
    <row r="605" spans="1:13" x14ac:dyDescent="0.3">
      <c r="A605" s="21">
        <v>14013165445</v>
      </c>
      <c r="B605" s="2" t="s">
        <v>937</v>
      </c>
      <c r="C605" s="2" t="s">
        <v>833</v>
      </c>
      <c r="D605" s="2" t="s">
        <v>938</v>
      </c>
      <c r="E605" s="2" t="s">
        <v>342</v>
      </c>
      <c r="F605" s="2" t="s">
        <v>939</v>
      </c>
      <c r="G605" s="2" t="s">
        <v>719</v>
      </c>
      <c r="H605" s="2"/>
      <c r="I605" s="4">
        <v>44763</v>
      </c>
      <c r="J605" s="2" t="s">
        <v>13</v>
      </c>
      <c r="K605" s="2" t="s">
        <v>19</v>
      </c>
      <c r="L605" s="2" t="s">
        <v>20</v>
      </c>
      <c r="M605" s="2" t="s">
        <v>24</v>
      </c>
    </row>
    <row r="606" spans="1:13" x14ac:dyDescent="0.3">
      <c r="A606" s="21">
        <v>14013165449</v>
      </c>
      <c r="B606" s="2" t="s">
        <v>940</v>
      </c>
      <c r="C606" s="2" t="s">
        <v>833</v>
      </c>
      <c r="D606" s="2" t="s">
        <v>941</v>
      </c>
      <c r="E606" s="2" t="s">
        <v>342</v>
      </c>
      <c r="F606" s="15"/>
      <c r="G606" s="2" t="s">
        <v>363</v>
      </c>
      <c r="H606" s="2"/>
      <c r="I606" s="4">
        <v>44762</v>
      </c>
      <c r="J606" s="2" t="s">
        <v>13</v>
      </c>
      <c r="K606" s="2" t="s">
        <v>19</v>
      </c>
      <c r="L606" s="2" t="s">
        <v>20</v>
      </c>
      <c r="M606" s="2" t="s">
        <v>24</v>
      </c>
    </row>
    <row r="607" spans="1:13" x14ac:dyDescent="0.3">
      <c r="A607" s="21">
        <v>14013165473</v>
      </c>
      <c r="B607" s="2" t="s">
        <v>942</v>
      </c>
      <c r="C607" s="2" t="s">
        <v>833</v>
      </c>
      <c r="D607" s="2" t="s">
        <v>943</v>
      </c>
      <c r="E607" s="2" t="s">
        <v>342</v>
      </c>
      <c r="F607" s="2"/>
      <c r="G607" s="2" t="s">
        <v>349</v>
      </c>
      <c r="H607" s="2"/>
      <c r="I607" s="4">
        <v>44760</v>
      </c>
      <c r="J607" s="2" t="s">
        <v>13</v>
      </c>
      <c r="K607" s="2" t="s">
        <v>19</v>
      </c>
      <c r="L607" s="2" t="s">
        <v>20</v>
      </c>
      <c r="M607" s="2" t="s">
        <v>21</v>
      </c>
    </row>
    <row r="608" spans="1:13" x14ac:dyDescent="0.3">
      <c r="A608" s="21">
        <v>14013165476</v>
      </c>
      <c r="B608" s="2" t="s">
        <v>944</v>
      </c>
      <c r="C608" s="2" t="s">
        <v>833</v>
      </c>
      <c r="D608" s="2" t="s">
        <v>945</v>
      </c>
      <c r="E608" s="2" t="s">
        <v>342</v>
      </c>
      <c r="F608" s="2"/>
      <c r="G608" s="2" t="s">
        <v>349</v>
      </c>
      <c r="H608" s="2"/>
      <c r="I608" s="4">
        <v>44760</v>
      </c>
      <c r="J608" s="2" t="s">
        <v>13</v>
      </c>
      <c r="K608" s="2" t="s">
        <v>19</v>
      </c>
      <c r="L608" s="2" t="s">
        <v>20</v>
      </c>
      <c r="M608" s="2" t="s">
        <v>21</v>
      </c>
    </row>
    <row r="609" spans="1:13" x14ac:dyDescent="0.3">
      <c r="A609" s="21">
        <v>14013114842</v>
      </c>
      <c r="B609" s="2" t="s">
        <v>946</v>
      </c>
      <c r="C609" s="2" t="s">
        <v>833</v>
      </c>
      <c r="D609" s="2" t="s">
        <v>947</v>
      </c>
      <c r="E609" s="2" t="s">
        <v>342</v>
      </c>
      <c r="F609" s="2"/>
      <c r="G609" s="2" t="s">
        <v>543</v>
      </c>
      <c r="H609" s="2"/>
      <c r="I609" s="4">
        <v>44760</v>
      </c>
      <c r="J609" s="2" t="s">
        <v>13</v>
      </c>
      <c r="K609" s="2" t="s">
        <v>639</v>
      </c>
      <c r="L609" s="2" t="s">
        <v>110</v>
      </c>
      <c r="M609" s="2" t="s">
        <v>24</v>
      </c>
    </row>
    <row r="610" spans="1:13" x14ac:dyDescent="0.3">
      <c r="A610" s="21" t="s">
        <v>948</v>
      </c>
      <c r="B610" s="2" t="s">
        <v>949</v>
      </c>
      <c r="C610" s="2" t="s">
        <v>833</v>
      </c>
      <c r="D610" s="2" t="s">
        <v>950</v>
      </c>
      <c r="E610" s="2" t="s">
        <v>342</v>
      </c>
      <c r="F610" s="2"/>
      <c r="G610" s="2" t="s">
        <v>543</v>
      </c>
      <c r="H610" s="2"/>
      <c r="I610" s="4">
        <v>44760</v>
      </c>
      <c r="J610" s="2" t="s">
        <v>13</v>
      </c>
      <c r="K610" s="2" t="s">
        <v>639</v>
      </c>
      <c r="L610" s="2" t="s">
        <v>110</v>
      </c>
      <c r="M610" s="2" t="s">
        <v>24</v>
      </c>
    </row>
    <row r="611" spans="1:13" x14ac:dyDescent="0.3">
      <c r="A611" s="21" t="s">
        <v>951</v>
      </c>
      <c r="B611" s="2" t="s">
        <v>952</v>
      </c>
      <c r="C611" s="2" t="s">
        <v>833</v>
      </c>
      <c r="D611" s="2" t="s">
        <v>953</v>
      </c>
      <c r="E611" s="2" t="s">
        <v>342</v>
      </c>
      <c r="F611" s="2"/>
      <c r="G611" s="2" t="s">
        <v>543</v>
      </c>
      <c r="H611" s="2"/>
      <c r="I611" s="4">
        <v>44760</v>
      </c>
      <c r="J611" s="2" t="s">
        <v>13</v>
      </c>
      <c r="K611" s="2" t="s">
        <v>639</v>
      </c>
      <c r="L611" s="2" t="s">
        <v>110</v>
      </c>
      <c r="M611" s="2" t="s">
        <v>16</v>
      </c>
    </row>
    <row r="612" spans="1:13" x14ac:dyDescent="0.3">
      <c r="A612" s="21" t="s">
        <v>954</v>
      </c>
      <c r="B612" s="2" t="s">
        <v>955</v>
      </c>
      <c r="C612" s="2" t="s">
        <v>833</v>
      </c>
      <c r="D612" s="2" t="s">
        <v>956</v>
      </c>
      <c r="E612" s="2" t="s">
        <v>342</v>
      </c>
      <c r="F612" s="2"/>
      <c r="G612" s="2" t="s">
        <v>543</v>
      </c>
      <c r="H612" s="2"/>
      <c r="I612" s="4">
        <v>44760</v>
      </c>
      <c r="J612" s="2" t="s">
        <v>13</v>
      </c>
      <c r="K612" s="2" t="s">
        <v>639</v>
      </c>
      <c r="L612" s="2" t="s">
        <v>110</v>
      </c>
      <c r="M612" s="2" t="s">
        <v>16</v>
      </c>
    </row>
    <row r="613" spans="1:13" x14ac:dyDescent="0.3">
      <c r="A613" s="21" t="s">
        <v>957</v>
      </c>
      <c r="B613" s="2" t="s">
        <v>958</v>
      </c>
      <c r="C613" s="2" t="s">
        <v>833</v>
      </c>
      <c r="D613" s="2" t="s">
        <v>959</v>
      </c>
      <c r="E613" s="2" t="s">
        <v>37</v>
      </c>
      <c r="F613" s="2" t="s">
        <v>642</v>
      </c>
      <c r="G613" s="2"/>
      <c r="H613" s="2"/>
      <c r="I613" s="2"/>
      <c r="J613" s="2" t="s">
        <v>13</v>
      </c>
      <c r="K613" s="2" t="s">
        <v>639</v>
      </c>
      <c r="L613" s="2" t="s">
        <v>110</v>
      </c>
      <c r="M613" s="2" t="s">
        <v>16</v>
      </c>
    </row>
    <row r="614" spans="1:13" x14ac:dyDescent="0.3">
      <c r="A614" s="21" t="s">
        <v>960</v>
      </c>
      <c r="B614" s="2" t="s">
        <v>961</v>
      </c>
      <c r="C614" s="2" t="s">
        <v>833</v>
      </c>
      <c r="D614" s="2" t="s">
        <v>962</v>
      </c>
      <c r="E614" s="2" t="s">
        <v>37</v>
      </c>
      <c r="F614" s="2" t="s">
        <v>642</v>
      </c>
      <c r="G614" s="2"/>
      <c r="H614" s="2"/>
      <c r="I614" s="2"/>
      <c r="J614" s="2" t="s">
        <v>13</v>
      </c>
      <c r="K614" s="2" t="s">
        <v>639</v>
      </c>
      <c r="L614" s="2" t="s">
        <v>110</v>
      </c>
      <c r="M614" s="2" t="s">
        <v>16</v>
      </c>
    </row>
    <row r="615" spans="1:13" x14ac:dyDescent="0.3">
      <c r="A615" s="21" t="s">
        <v>963</v>
      </c>
      <c r="B615" s="2" t="s">
        <v>964</v>
      </c>
      <c r="C615" s="2" t="s">
        <v>833</v>
      </c>
      <c r="D615" s="2" t="s">
        <v>965</v>
      </c>
      <c r="E615" s="2" t="s">
        <v>342</v>
      </c>
      <c r="F615" s="2"/>
      <c r="G615" s="2" t="s">
        <v>543</v>
      </c>
      <c r="H615" s="2"/>
      <c r="I615" s="4">
        <v>44760</v>
      </c>
      <c r="J615" s="2" t="s">
        <v>13</v>
      </c>
      <c r="K615" s="2" t="s">
        <v>639</v>
      </c>
      <c r="L615" s="2" t="s">
        <v>110</v>
      </c>
      <c r="M615" s="2" t="s">
        <v>16</v>
      </c>
    </row>
    <row r="616" spans="1:13" x14ac:dyDescent="0.3">
      <c r="A616" s="21" t="s">
        <v>966</v>
      </c>
      <c r="B616" s="2" t="s">
        <v>967</v>
      </c>
      <c r="C616" s="2" t="s">
        <v>833</v>
      </c>
      <c r="D616" s="2" t="s">
        <v>968</v>
      </c>
      <c r="E616" s="2" t="s">
        <v>342</v>
      </c>
      <c r="F616" s="2"/>
      <c r="G616" s="2" t="s">
        <v>543</v>
      </c>
      <c r="H616" s="2"/>
      <c r="I616" s="4">
        <v>44764</v>
      </c>
      <c r="J616" s="2" t="s">
        <v>13</v>
      </c>
      <c r="K616" s="2" t="s">
        <v>105</v>
      </c>
      <c r="L616" s="2" t="s">
        <v>110</v>
      </c>
      <c r="M616" s="2" t="s">
        <v>24</v>
      </c>
    </row>
    <row r="617" spans="1:13" x14ac:dyDescent="0.3">
      <c r="A617" s="21" t="s">
        <v>969</v>
      </c>
      <c r="B617" s="2" t="s">
        <v>970</v>
      </c>
      <c r="C617" s="2" t="s">
        <v>833</v>
      </c>
      <c r="D617" s="2" t="s">
        <v>971</v>
      </c>
      <c r="E617" s="2" t="s">
        <v>342</v>
      </c>
      <c r="F617" s="2"/>
      <c r="G617" s="2" t="s">
        <v>543</v>
      </c>
      <c r="H617" s="2"/>
      <c r="I617" s="4">
        <v>44760</v>
      </c>
      <c r="J617" s="2" t="s">
        <v>13</v>
      </c>
      <c r="K617" s="2" t="s">
        <v>639</v>
      </c>
      <c r="L617" s="2" t="s">
        <v>110</v>
      </c>
      <c r="M617" s="2" t="s">
        <v>16</v>
      </c>
    </row>
    <row r="618" spans="1:13" x14ac:dyDescent="0.3">
      <c r="A618" s="21" t="s">
        <v>972</v>
      </c>
      <c r="B618" s="2" t="s">
        <v>973</v>
      </c>
      <c r="C618" s="2" t="s">
        <v>833</v>
      </c>
      <c r="D618" s="2" t="s">
        <v>974</v>
      </c>
      <c r="E618" s="2" t="s">
        <v>342</v>
      </c>
      <c r="F618" s="2"/>
      <c r="G618" s="2" t="s">
        <v>543</v>
      </c>
      <c r="H618" s="2"/>
      <c r="I618" s="4">
        <v>44760</v>
      </c>
      <c r="J618" s="2" t="s">
        <v>13</v>
      </c>
      <c r="K618" s="2" t="s">
        <v>639</v>
      </c>
      <c r="L618" s="2" t="s">
        <v>110</v>
      </c>
      <c r="M618" s="2" t="s">
        <v>16</v>
      </c>
    </row>
    <row r="619" spans="1:13" x14ac:dyDescent="0.3">
      <c r="A619" s="21" t="s">
        <v>975</v>
      </c>
      <c r="B619" s="2" t="s">
        <v>976</v>
      </c>
      <c r="C619" s="2" t="s">
        <v>833</v>
      </c>
      <c r="D619" s="2" t="s">
        <v>977</v>
      </c>
      <c r="E619" s="2" t="s">
        <v>37</v>
      </c>
      <c r="F619" s="2"/>
      <c r="G619" s="2"/>
      <c r="H619" s="2"/>
      <c r="I619" s="2"/>
      <c r="J619" s="2" t="s">
        <v>13</v>
      </c>
      <c r="K619" s="2" t="s">
        <v>978</v>
      </c>
      <c r="L619" s="2" t="s">
        <v>979</v>
      </c>
      <c r="M619" s="2" t="s">
        <v>16</v>
      </c>
    </row>
    <row r="620" spans="1:13" x14ac:dyDescent="0.3">
      <c r="A620" s="21" t="s">
        <v>980</v>
      </c>
      <c r="B620" s="2" t="s">
        <v>981</v>
      </c>
      <c r="C620" s="2" t="s">
        <v>833</v>
      </c>
      <c r="D620" s="2" t="s">
        <v>982</v>
      </c>
      <c r="E620" s="2" t="s">
        <v>37</v>
      </c>
      <c r="F620" s="2"/>
      <c r="G620" s="2"/>
      <c r="H620" s="2"/>
      <c r="I620" s="2"/>
      <c r="J620" s="2" t="s">
        <v>13</v>
      </c>
      <c r="K620" s="2" t="s">
        <v>978</v>
      </c>
      <c r="L620" s="2" t="s">
        <v>979</v>
      </c>
      <c r="M620" s="2" t="s">
        <v>16</v>
      </c>
    </row>
    <row r="621" spans="1:13" x14ac:dyDescent="0.3">
      <c r="A621" s="21" t="s">
        <v>983</v>
      </c>
      <c r="B621" s="2" t="s">
        <v>984</v>
      </c>
      <c r="C621" s="2" t="s">
        <v>833</v>
      </c>
      <c r="D621" s="2" t="s">
        <v>985</v>
      </c>
      <c r="E621" s="2" t="s">
        <v>37</v>
      </c>
      <c r="F621" s="2"/>
      <c r="G621" s="2"/>
      <c r="H621" s="2"/>
      <c r="I621" s="2"/>
      <c r="J621" s="2" t="s">
        <v>13</v>
      </c>
      <c r="K621" s="2" t="s">
        <v>978</v>
      </c>
      <c r="L621" s="2" t="s">
        <v>979</v>
      </c>
      <c r="M621" s="2" t="s">
        <v>16</v>
      </c>
    </row>
    <row r="622" spans="1:13" x14ac:dyDescent="0.3">
      <c r="A622" s="21" t="s">
        <v>986</v>
      </c>
      <c r="B622" s="2" t="s">
        <v>987</v>
      </c>
      <c r="C622" s="2" t="s">
        <v>833</v>
      </c>
      <c r="D622" s="2" t="s">
        <v>988</v>
      </c>
      <c r="E622" s="2" t="s">
        <v>37</v>
      </c>
      <c r="F622" s="2"/>
      <c r="G622" s="2"/>
      <c r="H622" s="2"/>
      <c r="I622" s="2"/>
      <c r="J622" s="2" t="s">
        <v>13</v>
      </c>
      <c r="K622" s="2" t="s">
        <v>978</v>
      </c>
      <c r="L622" s="2" t="s">
        <v>979</v>
      </c>
      <c r="M622" s="2" t="s">
        <v>16</v>
      </c>
    </row>
    <row r="623" spans="1:13" x14ac:dyDescent="0.3">
      <c r="A623" s="21" t="s">
        <v>989</v>
      </c>
      <c r="B623" s="2" t="s">
        <v>990</v>
      </c>
      <c r="C623" s="2" t="s">
        <v>833</v>
      </c>
      <c r="D623" s="2" t="s">
        <v>991</v>
      </c>
      <c r="E623" s="2" t="s">
        <v>37</v>
      </c>
      <c r="F623" s="2"/>
      <c r="G623" s="2"/>
      <c r="H623" s="2"/>
      <c r="I623" s="2"/>
      <c r="J623" s="2" t="s">
        <v>13</v>
      </c>
      <c r="K623" s="2" t="s">
        <v>978</v>
      </c>
      <c r="L623" s="2" t="s">
        <v>979</v>
      </c>
      <c r="M623" s="2" t="s">
        <v>16</v>
      </c>
    </row>
    <row r="624" spans="1:13" x14ac:dyDescent="0.3">
      <c r="A624" s="21" t="s">
        <v>992</v>
      </c>
      <c r="B624" s="2" t="s">
        <v>993</v>
      </c>
      <c r="C624" s="2" t="s">
        <v>833</v>
      </c>
      <c r="D624" s="2" t="s">
        <v>994</v>
      </c>
      <c r="E624" s="2" t="s">
        <v>37</v>
      </c>
      <c r="F624" s="2"/>
      <c r="G624" s="2"/>
      <c r="H624" s="2"/>
      <c r="I624" s="2"/>
      <c r="J624" s="2" t="s">
        <v>13</v>
      </c>
      <c r="K624" s="2" t="s">
        <v>978</v>
      </c>
      <c r="L624" s="2" t="s">
        <v>979</v>
      </c>
      <c r="M624" s="2" t="s">
        <v>16</v>
      </c>
    </row>
    <row r="625" spans="1:13" x14ac:dyDescent="0.3">
      <c r="A625" s="21" t="s">
        <v>995</v>
      </c>
      <c r="B625" s="2" t="s">
        <v>996</v>
      </c>
      <c r="C625" s="2" t="s">
        <v>833</v>
      </c>
      <c r="D625" s="2" t="s">
        <v>997</v>
      </c>
      <c r="E625" s="2" t="s">
        <v>37</v>
      </c>
      <c r="F625" s="2"/>
      <c r="G625" s="2"/>
      <c r="H625" s="2"/>
      <c r="I625" s="2"/>
      <c r="J625" s="2" t="s">
        <v>13</v>
      </c>
      <c r="K625" s="2" t="s">
        <v>978</v>
      </c>
      <c r="L625" s="2" t="s">
        <v>979</v>
      </c>
      <c r="M625" s="2" t="s">
        <v>16</v>
      </c>
    </row>
    <row r="626" spans="1:13" x14ac:dyDescent="0.3">
      <c r="A626" s="21" t="s">
        <v>998</v>
      </c>
      <c r="B626" s="2" t="s">
        <v>999</v>
      </c>
      <c r="C626" s="2" t="s">
        <v>833</v>
      </c>
      <c r="D626" s="2" t="s">
        <v>1000</v>
      </c>
      <c r="E626" s="2" t="s">
        <v>37</v>
      </c>
      <c r="F626" s="2"/>
      <c r="G626" s="2"/>
      <c r="H626" s="2"/>
      <c r="I626" s="2"/>
      <c r="J626" s="2" t="s">
        <v>13</v>
      </c>
      <c r="K626" s="2" t="s">
        <v>978</v>
      </c>
      <c r="L626" s="2" t="s">
        <v>979</v>
      </c>
      <c r="M626" s="2" t="s">
        <v>16</v>
      </c>
    </row>
    <row r="627" spans="1:13" x14ac:dyDescent="0.3">
      <c r="A627" s="21" t="s">
        <v>1001</v>
      </c>
      <c r="B627" s="2" t="s">
        <v>1002</v>
      </c>
      <c r="C627" s="2" t="s">
        <v>833</v>
      </c>
      <c r="D627" s="2" t="s">
        <v>1003</v>
      </c>
      <c r="E627" s="2" t="s">
        <v>37</v>
      </c>
      <c r="F627" s="2"/>
      <c r="G627" s="2"/>
      <c r="H627" s="2"/>
      <c r="I627" s="2"/>
      <c r="J627" s="2" t="s">
        <v>13</v>
      </c>
      <c r="K627" s="2" t="s">
        <v>978</v>
      </c>
      <c r="L627" s="2" t="s">
        <v>979</v>
      </c>
      <c r="M627" s="2" t="s">
        <v>16</v>
      </c>
    </row>
    <row r="628" spans="1:13" x14ac:dyDescent="0.3">
      <c r="A628" s="21" t="s">
        <v>1004</v>
      </c>
      <c r="B628" s="2" t="s">
        <v>1005</v>
      </c>
      <c r="C628" s="2" t="s">
        <v>833</v>
      </c>
      <c r="D628" s="2" t="s">
        <v>1006</v>
      </c>
      <c r="E628" s="2" t="s">
        <v>342</v>
      </c>
      <c r="F628" s="2"/>
      <c r="G628" s="2" t="s">
        <v>543</v>
      </c>
      <c r="H628" s="2"/>
      <c r="I628" s="4">
        <v>44760</v>
      </c>
      <c r="J628" s="2" t="s">
        <v>13</v>
      </c>
      <c r="K628" s="2" t="s">
        <v>639</v>
      </c>
      <c r="L628" s="2" t="s">
        <v>110</v>
      </c>
      <c r="M628" s="2" t="s">
        <v>24</v>
      </c>
    </row>
    <row r="629" spans="1:13" x14ac:dyDescent="0.3">
      <c r="A629" s="21" t="s">
        <v>1007</v>
      </c>
      <c r="B629" s="2" t="s">
        <v>1008</v>
      </c>
      <c r="C629" s="2" t="s">
        <v>833</v>
      </c>
      <c r="D629" s="2" t="s">
        <v>1009</v>
      </c>
      <c r="E629" s="2" t="s">
        <v>342</v>
      </c>
      <c r="F629" s="2"/>
      <c r="G629" s="2" t="s">
        <v>543</v>
      </c>
      <c r="H629" s="2"/>
      <c r="I629" s="4">
        <v>44760</v>
      </c>
      <c r="J629" s="2" t="s">
        <v>13</v>
      </c>
      <c r="K629" s="2" t="s">
        <v>639</v>
      </c>
      <c r="L629" s="2" t="s">
        <v>110</v>
      </c>
      <c r="M629" s="2" t="s">
        <v>16</v>
      </c>
    </row>
    <row r="630" spans="1:13" x14ac:dyDescent="0.3">
      <c r="A630" s="21" t="s">
        <v>1010</v>
      </c>
      <c r="B630" s="2" t="s">
        <v>1011</v>
      </c>
      <c r="C630" s="2" t="s">
        <v>833</v>
      </c>
      <c r="D630" s="2" t="s">
        <v>1012</v>
      </c>
      <c r="E630" s="2" t="s">
        <v>342</v>
      </c>
      <c r="F630" s="2"/>
      <c r="G630" s="2" t="s">
        <v>543</v>
      </c>
      <c r="H630" s="2"/>
      <c r="I630" s="4">
        <v>44760</v>
      </c>
      <c r="J630" s="2" t="s">
        <v>13</v>
      </c>
      <c r="K630" s="2" t="s">
        <v>639</v>
      </c>
      <c r="L630" s="2" t="s">
        <v>110</v>
      </c>
      <c r="M630" s="2" t="s">
        <v>16</v>
      </c>
    </row>
    <row r="631" spans="1:13" x14ac:dyDescent="0.3">
      <c r="A631" s="21" t="s">
        <v>1013</v>
      </c>
      <c r="B631" s="2" t="s">
        <v>1014</v>
      </c>
      <c r="C631" s="2" t="s">
        <v>833</v>
      </c>
      <c r="D631" s="2" t="s">
        <v>1015</v>
      </c>
      <c r="E631" s="2" t="s">
        <v>37</v>
      </c>
      <c r="F631" s="2"/>
      <c r="G631" s="2"/>
      <c r="H631" s="2"/>
      <c r="I631" s="2"/>
      <c r="J631" s="2" t="s">
        <v>13</v>
      </c>
      <c r="K631" s="2" t="s">
        <v>639</v>
      </c>
      <c r="L631" s="2" t="s">
        <v>110</v>
      </c>
      <c r="M631" s="2" t="s">
        <v>16</v>
      </c>
    </row>
    <row r="632" spans="1:13" x14ac:dyDescent="0.3">
      <c r="A632" s="21" t="s">
        <v>1016</v>
      </c>
      <c r="B632" s="2" t="s">
        <v>1017</v>
      </c>
      <c r="C632" s="2" t="s">
        <v>833</v>
      </c>
      <c r="D632" s="2" t="s">
        <v>1018</v>
      </c>
      <c r="E632" s="2" t="s">
        <v>37</v>
      </c>
      <c r="F632" s="2"/>
      <c r="G632" s="2"/>
      <c r="H632" s="2"/>
      <c r="I632" s="2"/>
      <c r="J632" s="2" t="s">
        <v>13</v>
      </c>
      <c r="K632" s="2" t="s">
        <v>45</v>
      </c>
      <c r="L632" s="2" t="s">
        <v>110</v>
      </c>
      <c r="M632" s="2" t="s">
        <v>16</v>
      </c>
    </row>
    <row r="633" spans="1:13" x14ac:dyDescent="0.3">
      <c r="A633" s="21" t="s">
        <v>1019</v>
      </c>
      <c r="B633" s="2" t="s">
        <v>1020</v>
      </c>
      <c r="C633" s="2" t="s">
        <v>833</v>
      </c>
      <c r="D633" s="2" t="s">
        <v>1021</v>
      </c>
      <c r="E633" s="2" t="s">
        <v>342</v>
      </c>
      <c r="F633" s="2"/>
      <c r="G633" s="2" t="s">
        <v>543</v>
      </c>
      <c r="H633" s="2"/>
      <c r="I633" s="4">
        <v>44760</v>
      </c>
      <c r="J633" s="2" t="s">
        <v>13</v>
      </c>
      <c r="K633" s="2" t="s">
        <v>639</v>
      </c>
      <c r="L633" s="2" t="s">
        <v>110</v>
      </c>
      <c r="M633" s="2" t="s">
        <v>24</v>
      </c>
    </row>
    <row r="634" spans="1:13" x14ac:dyDescent="0.3">
      <c r="A634" s="21" t="s">
        <v>1022</v>
      </c>
      <c r="B634" s="2" t="s">
        <v>1023</v>
      </c>
      <c r="C634" s="2" t="s">
        <v>833</v>
      </c>
      <c r="D634" s="2" t="s">
        <v>1024</v>
      </c>
      <c r="E634" s="2" t="s">
        <v>342</v>
      </c>
      <c r="F634" s="2" t="s">
        <v>1025</v>
      </c>
      <c r="G634" s="2" t="s">
        <v>543</v>
      </c>
      <c r="H634" s="2"/>
      <c r="I634" s="4">
        <v>44760</v>
      </c>
      <c r="J634" s="2" t="s">
        <v>13</v>
      </c>
      <c r="K634" s="2" t="s">
        <v>639</v>
      </c>
      <c r="L634" s="2" t="s">
        <v>110</v>
      </c>
      <c r="M634" s="2" t="s">
        <v>16</v>
      </c>
    </row>
    <row r="635" spans="1:13" x14ac:dyDescent="0.3">
      <c r="A635" s="21" t="s">
        <v>1026</v>
      </c>
      <c r="B635" s="2" t="s">
        <v>1027</v>
      </c>
      <c r="C635" s="2" t="s">
        <v>833</v>
      </c>
      <c r="D635" s="2" t="s">
        <v>1028</v>
      </c>
      <c r="E635" s="2" t="s">
        <v>342</v>
      </c>
      <c r="F635" s="2" t="s">
        <v>1029</v>
      </c>
      <c r="G635" s="2" t="s">
        <v>543</v>
      </c>
      <c r="H635" s="2"/>
      <c r="I635" s="4">
        <v>44760</v>
      </c>
      <c r="J635" s="2" t="s">
        <v>394</v>
      </c>
      <c r="K635" s="2" t="s">
        <v>639</v>
      </c>
      <c r="L635" s="2" t="s">
        <v>110</v>
      </c>
      <c r="M635" s="2" t="s">
        <v>16</v>
      </c>
    </row>
    <row r="636" spans="1:13" x14ac:dyDescent="0.3">
      <c r="A636" s="21" t="s">
        <v>1030</v>
      </c>
      <c r="B636" s="2" t="s">
        <v>1031</v>
      </c>
      <c r="C636" s="2" t="s">
        <v>833</v>
      </c>
      <c r="D636" s="2" t="s">
        <v>1032</v>
      </c>
      <c r="E636" s="2" t="s">
        <v>342</v>
      </c>
      <c r="F636" s="2"/>
      <c r="G636" s="2" t="s">
        <v>543</v>
      </c>
      <c r="H636" s="2"/>
      <c r="I636" s="4">
        <v>44760</v>
      </c>
      <c r="J636" s="2" t="s">
        <v>13</v>
      </c>
      <c r="K636" s="2" t="s">
        <v>639</v>
      </c>
      <c r="L636" s="2" t="s">
        <v>110</v>
      </c>
      <c r="M636" s="2" t="s">
        <v>16</v>
      </c>
    </row>
    <row r="637" spans="1:13" x14ac:dyDescent="0.3">
      <c r="A637" s="21" t="s">
        <v>1033</v>
      </c>
      <c r="B637" s="2" t="s">
        <v>1034</v>
      </c>
      <c r="C637" s="2" t="s">
        <v>833</v>
      </c>
      <c r="D637" s="2" t="s">
        <v>1035</v>
      </c>
      <c r="E637" s="2" t="s">
        <v>342</v>
      </c>
      <c r="F637" s="2"/>
      <c r="G637" s="2" t="s">
        <v>543</v>
      </c>
      <c r="H637" s="2"/>
      <c r="I637" s="4">
        <v>44760</v>
      </c>
      <c r="J637" s="2" t="s">
        <v>13</v>
      </c>
      <c r="K637" s="2" t="s">
        <v>639</v>
      </c>
      <c r="L637" s="2" t="s">
        <v>110</v>
      </c>
      <c r="M637" s="2" t="s">
        <v>16</v>
      </c>
    </row>
    <row r="638" spans="1:13" x14ac:dyDescent="0.3">
      <c r="A638" s="21" t="s">
        <v>1036</v>
      </c>
      <c r="B638" s="2" t="s">
        <v>1037</v>
      </c>
      <c r="C638" s="2" t="s">
        <v>833</v>
      </c>
      <c r="D638" s="2" t="s">
        <v>1038</v>
      </c>
      <c r="E638" s="2" t="s">
        <v>342</v>
      </c>
      <c r="F638" s="2"/>
      <c r="G638" s="2" t="s">
        <v>543</v>
      </c>
      <c r="H638" s="2"/>
      <c r="I638" s="4">
        <v>44760</v>
      </c>
      <c r="J638" s="2" t="s">
        <v>13</v>
      </c>
      <c r="K638" s="2" t="s">
        <v>639</v>
      </c>
      <c r="L638" s="2" t="s">
        <v>110</v>
      </c>
      <c r="M638" s="2" t="s">
        <v>16</v>
      </c>
    </row>
    <row r="639" spans="1:13" x14ac:dyDescent="0.3">
      <c r="A639" s="21" t="s">
        <v>1039</v>
      </c>
      <c r="B639" s="2" t="s">
        <v>1040</v>
      </c>
      <c r="C639" s="2" t="s">
        <v>833</v>
      </c>
      <c r="D639" s="2" t="s">
        <v>1041</v>
      </c>
      <c r="E639" s="2" t="s">
        <v>37</v>
      </c>
      <c r="F639" s="2" t="s">
        <v>675</v>
      </c>
      <c r="G639" s="2"/>
      <c r="H639" s="2"/>
      <c r="I639" s="2"/>
      <c r="J639" s="2" t="s">
        <v>13</v>
      </c>
      <c r="K639" s="2" t="s">
        <v>639</v>
      </c>
      <c r="L639" s="2" t="s">
        <v>110</v>
      </c>
      <c r="M639" s="2" t="s">
        <v>24</v>
      </c>
    </row>
    <row r="640" spans="1:13" x14ac:dyDescent="0.3">
      <c r="A640" s="21" t="s">
        <v>1042</v>
      </c>
      <c r="B640" s="2" t="s">
        <v>1043</v>
      </c>
      <c r="C640" s="2" t="s">
        <v>833</v>
      </c>
      <c r="D640" s="2" t="s">
        <v>1044</v>
      </c>
      <c r="E640" s="2" t="s">
        <v>342</v>
      </c>
      <c r="F640" s="2"/>
      <c r="G640" s="2" t="s">
        <v>543</v>
      </c>
      <c r="H640" s="2"/>
      <c r="I640" s="4">
        <v>44760</v>
      </c>
      <c r="J640" s="2" t="s">
        <v>13</v>
      </c>
      <c r="K640" s="2" t="s">
        <v>639</v>
      </c>
      <c r="L640" s="2" t="s">
        <v>110</v>
      </c>
      <c r="M640" s="2" t="s">
        <v>16</v>
      </c>
    </row>
    <row r="641" spans="1:13" x14ac:dyDescent="0.3">
      <c r="A641" s="21" t="s">
        <v>1045</v>
      </c>
      <c r="B641" s="2" t="s">
        <v>1046</v>
      </c>
      <c r="C641" s="2" t="s">
        <v>833</v>
      </c>
      <c r="D641" s="2" t="s">
        <v>1047</v>
      </c>
      <c r="E641" s="2" t="s">
        <v>342</v>
      </c>
      <c r="F641" s="2"/>
      <c r="G641" s="2" t="s">
        <v>543</v>
      </c>
      <c r="H641" s="2"/>
      <c r="I641" s="4">
        <v>44760</v>
      </c>
      <c r="J641" s="2" t="s">
        <v>13</v>
      </c>
      <c r="K641" s="2" t="s">
        <v>639</v>
      </c>
      <c r="L641" s="2" t="s">
        <v>110</v>
      </c>
      <c r="M641" s="2" t="s">
        <v>16</v>
      </c>
    </row>
    <row r="642" spans="1:13" x14ac:dyDescent="0.3">
      <c r="A642" s="21" t="s">
        <v>1048</v>
      </c>
      <c r="B642" s="2" t="s">
        <v>1049</v>
      </c>
      <c r="C642" s="2" t="s">
        <v>833</v>
      </c>
      <c r="D642" s="2" t="s">
        <v>1050</v>
      </c>
      <c r="E642" s="2" t="s">
        <v>342</v>
      </c>
      <c r="F642" s="2" t="s">
        <v>1051</v>
      </c>
      <c r="G642" s="2" t="s">
        <v>543</v>
      </c>
      <c r="H642" s="2"/>
      <c r="I642" s="4">
        <v>44760</v>
      </c>
      <c r="J642" s="2" t="s">
        <v>13</v>
      </c>
      <c r="K642" s="2" t="s">
        <v>639</v>
      </c>
      <c r="L642" s="2" t="s">
        <v>110</v>
      </c>
      <c r="M642" s="2" t="s">
        <v>16</v>
      </c>
    </row>
    <row r="643" spans="1:13" x14ac:dyDescent="0.3">
      <c r="A643" s="21" t="s">
        <v>1052</v>
      </c>
      <c r="B643" s="2" t="s">
        <v>1053</v>
      </c>
      <c r="C643" s="2" t="s">
        <v>833</v>
      </c>
      <c r="D643" s="2" t="s">
        <v>1054</v>
      </c>
      <c r="E643" s="2" t="s">
        <v>342</v>
      </c>
      <c r="F643" s="2" t="s">
        <v>1055</v>
      </c>
      <c r="G643" s="2" t="s">
        <v>543</v>
      </c>
      <c r="H643" s="2"/>
      <c r="I643" s="4">
        <v>44760</v>
      </c>
      <c r="J643" s="2" t="s">
        <v>13</v>
      </c>
      <c r="K643" s="2" t="s">
        <v>639</v>
      </c>
      <c r="L643" s="2" t="s">
        <v>110</v>
      </c>
      <c r="M643" s="2" t="s">
        <v>24</v>
      </c>
    </row>
    <row r="644" spans="1:13" x14ac:dyDescent="0.3">
      <c r="A644" s="21" t="s">
        <v>1056</v>
      </c>
      <c r="B644" s="2" t="s">
        <v>1057</v>
      </c>
      <c r="C644" s="2" t="s">
        <v>833</v>
      </c>
      <c r="D644" s="2" t="s">
        <v>1058</v>
      </c>
      <c r="E644" s="2" t="s">
        <v>342</v>
      </c>
      <c r="F644" s="2"/>
      <c r="G644" s="2" t="s">
        <v>543</v>
      </c>
      <c r="H644" s="2"/>
      <c r="I644" s="4">
        <v>44760</v>
      </c>
      <c r="J644" s="2" t="s">
        <v>13</v>
      </c>
      <c r="K644" s="2" t="s">
        <v>639</v>
      </c>
      <c r="L644" s="2" t="s">
        <v>110</v>
      </c>
      <c r="M644" s="2" t="s">
        <v>16</v>
      </c>
    </row>
    <row r="645" spans="1:13" x14ac:dyDescent="0.3">
      <c r="A645" s="21" t="s">
        <v>1059</v>
      </c>
      <c r="B645" s="2" t="s">
        <v>1060</v>
      </c>
      <c r="C645" s="2" t="s">
        <v>833</v>
      </c>
      <c r="D645" s="2" t="s">
        <v>1061</v>
      </c>
      <c r="E645" s="2" t="s">
        <v>342</v>
      </c>
      <c r="F645" s="2"/>
      <c r="G645" s="2" t="s">
        <v>543</v>
      </c>
      <c r="H645" s="2"/>
      <c r="I645" s="4">
        <v>44760</v>
      </c>
      <c r="J645" s="2" t="s">
        <v>13</v>
      </c>
      <c r="K645" s="2" t="s">
        <v>639</v>
      </c>
      <c r="L645" s="2" t="s">
        <v>110</v>
      </c>
      <c r="M645" s="2" t="s">
        <v>16</v>
      </c>
    </row>
    <row r="646" spans="1:13" x14ac:dyDescent="0.3">
      <c r="A646" s="21" t="s">
        <v>1062</v>
      </c>
      <c r="B646" s="2" t="s">
        <v>1063</v>
      </c>
      <c r="C646" s="2" t="s">
        <v>833</v>
      </c>
      <c r="D646" s="2" t="s">
        <v>1064</v>
      </c>
      <c r="E646" s="2" t="s">
        <v>342</v>
      </c>
      <c r="F646" s="2"/>
      <c r="G646" s="2" t="s">
        <v>543</v>
      </c>
      <c r="H646" s="2"/>
      <c r="I646" s="4">
        <v>44760</v>
      </c>
      <c r="J646" s="2" t="s">
        <v>394</v>
      </c>
      <c r="K646" s="2" t="s">
        <v>639</v>
      </c>
      <c r="L646" s="2" t="s">
        <v>110</v>
      </c>
      <c r="M646" s="2" t="s">
        <v>24</v>
      </c>
    </row>
    <row r="647" spans="1:13" x14ac:dyDescent="0.3">
      <c r="A647" s="21" t="s">
        <v>1065</v>
      </c>
      <c r="B647" s="2" t="s">
        <v>1066</v>
      </c>
      <c r="C647" s="2" t="s">
        <v>833</v>
      </c>
      <c r="D647" s="2" t="s">
        <v>1067</v>
      </c>
      <c r="E647" s="2" t="s">
        <v>342</v>
      </c>
      <c r="F647" s="2"/>
      <c r="G647" s="2" t="s">
        <v>543</v>
      </c>
      <c r="H647" s="2"/>
      <c r="I647" s="4">
        <v>44760</v>
      </c>
      <c r="J647" s="2" t="s">
        <v>394</v>
      </c>
      <c r="K647" s="2" t="s">
        <v>639</v>
      </c>
      <c r="L647" s="2" t="s">
        <v>110</v>
      </c>
      <c r="M647" s="2" t="s">
        <v>24</v>
      </c>
    </row>
    <row r="648" spans="1:13" x14ac:dyDescent="0.3">
      <c r="A648" s="21" t="s">
        <v>1068</v>
      </c>
      <c r="B648" s="2" t="s">
        <v>1069</v>
      </c>
      <c r="C648" s="2" t="s">
        <v>833</v>
      </c>
      <c r="D648" s="2" t="s">
        <v>1070</v>
      </c>
      <c r="E648" s="2" t="s">
        <v>342</v>
      </c>
      <c r="F648" s="2"/>
      <c r="G648" s="2" t="s">
        <v>543</v>
      </c>
      <c r="H648" s="2"/>
      <c r="I648" s="4">
        <v>44760</v>
      </c>
      <c r="J648" s="2" t="s">
        <v>13</v>
      </c>
      <c r="K648" s="2" t="s">
        <v>639</v>
      </c>
      <c r="L648" s="2" t="s">
        <v>110</v>
      </c>
      <c r="M648" s="2" t="s">
        <v>16</v>
      </c>
    </row>
    <row r="649" spans="1:13" x14ac:dyDescent="0.3">
      <c r="A649" s="21" t="s">
        <v>1071</v>
      </c>
      <c r="B649" s="2" t="s">
        <v>1072</v>
      </c>
      <c r="C649" s="2" t="s">
        <v>833</v>
      </c>
      <c r="D649" s="2" t="s">
        <v>1073</v>
      </c>
      <c r="E649" s="2" t="s">
        <v>342</v>
      </c>
      <c r="F649" s="2" t="s">
        <v>1074</v>
      </c>
      <c r="G649" s="2" t="s">
        <v>543</v>
      </c>
      <c r="H649" s="2"/>
      <c r="I649" s="4">
        <v>44760</v>
      </c>
      <c r="J649" s="2" t="s">
        <v>13</v>
      </c>
      <c r="K649" s="2" t="s">
        <v>639</v>
      </c>
      <c r="L649" s="2" t="s">
        <v>110</v>
      </c>
      <c r="M649" s="2" t="s">
        <v>21</v>
      </c>
    </row>
    <row r="650" spans="1:13" x14ac:dyDescent="0.3">
      <c r="A650" s="21" t="s">
        <v>1075</v>
      </c>
      <c r="B650" s="2" t="s">
        <v>1076</v>
      </c>
      <c r="C650" s="2" t="s">
        <v>833</v>
      </c>
      <c r="D650" s="2" t="s">
        <v>1077</v>
      </c>
      <c r="E650" s="2" t="s">
        <v>342</v>
      </c>
      <c r="F650" s="2" t="s">
        <v>1074</v>
      </c>
      <c r="G650" s="2" t="s">
        <v>543</v>
      </c>
      <c r="H650" s="2"/>
      <c r="I650" s="4">
        <v>44760</v>
      </c>
      <c r="J650" s="2" t="s">
        <v>13</v>
      </c>
      <c r="K650" s="2" t="s">
        <v>639</v>
      </c>
      <c r="L650" s="2" t="s">
        <v>110</v>
      </c>
      <c r="M650" s="2" t="s">
        <v>21</v>
      </c>
    </row>
    <row r="651" spans="1:13" x14ac:dyDescent="0.3">
      <c r="A651" s="21" t="s">
        <v>1078</v>
      </c>
      <c r="B651" s="2" t="s">
        <v>1079</v>
      </c>
      <c r="C651" s="2" t="s">
        <v>833</v>
      </c>
      <c r="D651" s="2" t="s">
        <v>1080</v>
      </c>
      <c r="E651" s="2" t="s">
        <v>342</v>
      </c>
      <c r="F651" s="2" t="s">
        <v>1074</v>
      </c>
      <c r="G651" s="2" t="s">
        <v>543</v>
      </c>
      <c r="H651" s="2"/>
      <c r="I651" s="4">
        <v>44760</v>
      </c>
      <c r="J651" s="2" t="s">
        <v>13</v>
      </c>
      <c r="K651" s="2" t="s">
        <v>639</v>
      </c>
      <c r="L651" s="2" t="s">
        <v>110</v>
      </c>
      <c r="M651" s="2" t="s">
        <v>21</v>
      </c>
    </row>
    <row r="652" spans="1:13" x14ac:dyDescent="0.3">
      <c r="A652" s="21" t="s">
        <v>1081</v>
      </c>
      <c r="B652" s="2" t="s">
        <v>1082</v>
      </c>
      <c r="C652" s="2" t="s">
        <v>833</v>
      </c>
      <c r="D652" s="2" t="s">
        <v>1083</v>
      </c>
      <c r="E652" s="2" t="s">
        <v>342</v>
      </c>
      <c r="F652" s="2" t="s">
        <v>1074</v>
      </c>
      <c r="G652" s="2" t="s">
        <v>543</v>
      </c>
      <c r="H652" s="2"/>
      <c r="I652" s="4">
        <v>44760</v>
      </c>
      <c r="J652" s="2" t="s">
        <v>13</v>
      </c>
      <c r="K652" s="2" t="s">
        <v>639</v>
      </c>
      <c r="L652" s="2" t="s">
        <v>110</v>
      </c>
      <c r="M652" s="2" t="s">
        <v>21</v>
      </c>
    </row>
    <row r="653" spans="1:13" x14ac:dyDescent="0.3">
      <c r="A653" s="21" t="s">
        <v>1084</v>
      </c>
      <c r="B653" s="2" t="s">
        <v>1085</v>
      </c>
      <c r="C653" s="2" t="s">
        <v>833</v>
      </c>
      <c r="D653" s="2" t="s">
        <v>1086</v>
      </c>
      <c r="E653" s="2" t="s">
        <v>342</v>
      </c>
      <c r="F653" s="2" t="s">
        <v>1074</v>
      </c>
      <c r="G653" s="2" t="s">
        <v>543</v>
      </c>
      <c r="H653" s="2"/>
      <c r="I653" s="4">
        <v>44760</v>
      </c>
      <c r="J653" s="2" t="s">
        <v>13</v>
      </c>
      <c r="K653" s="2" t="s">
        <v>639</v>
      </c>
      <c r="L653" s="2" t="s">
        <v>110</v>
      </c>
      <c r="M653" s="2" t="s">
        <v>24</v>
      </c>
    </row>
    <row r="654" spans="1:13" x14ac:dyDescent="0.3">
      <c r="A654" s="21" t="s">
        <v>1087</v>
      </c>
      <c r="B654" s="2" t="s">
        <v>1088</v>
      </c>
      <c r="C654" s="2" t="s">
        <v>833</v>
      </c>
      <c r="D654" s="2" t="s">
        <v>1089</v>
      </c>
      <c r="E654" s="2" t="s">
        <v>342</v>
      </c>
      <c r="F654" s="2" t="s">
        <v>1074</v>
      </c>
      <c r="G654" s="2" t="s">
        <v>543</v>
      </c>
      <c r="H654" s="2"/>
      <c r="I654" s="4">
        <v>44760</v>
      </c>
      <c r="J654" s="2" t="s">
        <v>13</v>
      </c>
      <c r="K654" s="2" t="s">
        <v>639</v>
      </c>
      <c r="L654" s="2" t="s">
        <v>110</v>
      </c>
      <c r="M654" s="2" t="s">
        <v>21</v>
      </c>
    </row>
    <row r="655" spans="1:13" x14ac:dyDescent="0.3">
      <c r="A655" s="21" t="s">
        <v>1090</v>
      </c>
      <c r="B655" s="2" t="s">
        <v>1091</v>
      </c>
      <c r="C655" s="2" t="s">
        <v>833</v>
      </c>
      <c r="D655" s="2" t="s">
        <v>1092</v>
      </c>
      <c r="E655" s="2" t="s">
        <v>342</v>
      </c>
      <c r="F655" s="2" t="s">
        <v>1074</v>
      </c>
      <c r="G655" s="2" t="s">
        <v>543</v>
      </c>
      <c r="H655" s="2"/>
      <c r="I655" s="4">
        <v>44760</v>
      </c>
      <c r="J655" s="2" t="s">
        <v>13</v>
      </c>
      <c r="K655" s="2" t="s">
        <v>639</v>
      </c>
      <c r="L655" s="2" t="s">
        <v>110</v>
      </c>
      <c r="M655" s="2" t="s">
        <v>24</v>
      </c>
    </row>
    <row r="656" spans="1:13" x14ac:dyDescent="0.3">
      <c r="A656" s="21" t="s">
        <v>1093</v>
      </c>
      <c r="B656" s="2" t="s">
        <v>1094</v>
      </c>
      <c r="C656" s="2" t="s">
        <v>833</v>
      </c>
      <c r="D656" s="2" t="s">
        <v>1095</v>
      </c>
      <c r="E656" s="2" t="s">
        <v>342</v>
      </c>
      <c r="F656" s="2"/>
      <c r="G656" s="2" t="s">
        <v>543</v>
      </c>
      <c r="H656" s="2"/>
      <c r="I656" s="4">
        <v>44760</v>
      </c>
      <c r="J656" s="2" t="s">
        <v>13</v>
      </c>
      <c r="K656" s="2" t="s">
        <v>639</v>
      </c>
      <c r="L656" s="2" t="s">
        <v>110</v>
      </c>
      <c r="M656" s="2" t="s">
        <v>24</v>
      </c>
    </row>
    <row r="657" spans="1:13" x14ac:dyDescent="0.3">
      <c r="A657" s="21" t="s">
        <v>1096</v>
      </c>
      <c r="B657" s="2" t="s">
        <v>1097</v>
      </c>
      <c r="C657" s="2" t="s">
        <v>833</v>
      </c>
      <c r="D657" s="2" t="s">
        <v>1098</v>
      </c>
      <c r="E657" s="2" t="s">
        <v>342</v>
      </c>
      <c r="F657" s="2"/>
      <c r="G657" s="2" t="s">
        <v>543</v>
      </c>
      <c r="H657" s="2"/>
      <c r="I657" s="4">
        <v>44760</v>
      </c>
      <c r="J657" s="2" t="s">
        <v>13</v>
      </c>
      <c r="K657" s="2" t="s">
        <v>639</v>
      </c>
      <c r="L657" s="2" t="s">
        <v>110</v>
      </c>
      <c r="M657" s="2" t="s">
        <v>21</v>
      </c>
    </row>
    <row r="658" spans="1:13" x14ac:dyDescent="0.3">
      <c r="A658" s="21" t="s">
        <v>1099</v>
      </c>
      <c r="B658" s="2" t="s">
        <v>1100</v>
      </c>
      <c r="C658" s="2" t="s">
        <v>833</v>
      </c>
      <c r="D658" s="2" t="s">
        <v>1101</v>
      </c>
      <c r="E658" s="2" t="s">
        <v>342</v>
      </c>
      <c r="F658" s="2"/>
      <c r="G658" s="2" t="s">
        <v>543</v>
      </c>
      <c r="H658" s="2"/>
      <c r="I658" s="4">
        <v>44760</v>
      </c>
      <c r="J658" s="2" t="s">
        <v>13</v>
      </c>
      <c r="K658" s="2" t="s">
        <v>639</v>
      </c>
      <c r="L658" s="2" t="s">
        <v>110</v>
      </c>
      <c r="M658" s="2" t="s">
        <v>21</v>
      </c>
    </row>
    <row r="659" spans="1:13" x14ac:dyDescent="0.3">
      <c r="A659" s="21" t="s">
        <v>1102</v>
      </c>
      <c r="B659" s="2" t="s">
        <v>1103</v>
      </c>
      <c r="C659" s="2" t="s">
        <v>833</v>
      </c>
      <c r="D659" s="2" t="s">
        <v>1104</v>
      </c>
      <c r="E659" s="2" t="s">
        <v>342</v>
      </c>
      <c r="F659" s="2"/>
      <c r="G659" s="2" t="s">
        <v>543</v>
      </c>
      <c r="H659" s="2"/>
      <c r="I659" s="4">
        <v>44760</v>
      </c>
      <c r="J659" s="2" t="s">
        <v>13</v>
      </c>
      <c r="K659" s="2" t="s">
        <v>639</v>
      </c>
      <c r="L659" s="2" t="s">
        <v>110</v>
      </c>
      <c r="M659" s="2" t="s">
        <v>16</v>
      </c>
    </row>
    <row r="660" spans="1:13" x14ac:dyDescent="0.3">
      <c r="A660" s="21" t="s">
        <v>1105</v>
      </c>
      <c r="B660" s="2" t="s">
        <v>1106</v>
      </c>
      <c r="C660" s="2" t="s">
        <v>833</v>
      </c>
      <c r="D660" s="2" t="s">
        <v>1107</v>
      </c>
      <c r="E660" s="2" t="s">
        <v>342</v>
      </c>
      <c r="F660" s="2"/>
      <c r="G660" s="2" t="s">
        <v>543</v>
      </c>
      <c r="H660" s="2"/>
      <c r="I660" s="4">
        <v>44760</v>
      </c>
      <c r="J660" s="2" t="s">
        <v>394</v>
      </c>
      <c r="K660" s="2" t="s">
        <v>639</v>
      </c>
      <c r="L660" s="2" t="s">
        <v>110</v>
      </c>
      <c r="M660" s="2" t="s">
        <v>24</v>
      </c>
    </row>
    <row r="661" spans="1:13" x14ac:dyDescent="0.3">
      <c r="A661" s="21" t="s">
        <v>1108</v>
      </c>
      <c r="B661" s="2" t="s">
        <v>1109</v>
      </c>
      <c r="C661" s="2" t="s">
        <v>833</v>
      </c>
      <c r="D661" s="2" t="s">
        <v>1110</v>
      </c>
      <c r="E661" s="2" t="s">
        <v>342</v>
      </c>
      <c r="F661" s="2"/>
      <c r="G661" s="2" t="s">
        <v>543</v>
      </c>
      <c r="H661" s="2"/>
      <c r="I661" s="4">
        <v>44764</v>
      </c>
      <c r="J661" s="2" t="s">
        <v>13</v>
      </c>
      <c r="K661" s="2" t="s">
        <v>105</v>
      </c>
      <c r="L661" s="2" t="s">
        <v>110</v>
      </c>
      <c r="M661" s="2" t="s">
        <v>24</v>
      </c>
    </row>
    <row r="662" spans="1:13" x14ac:dyDescent="0.3">
      <c r="A662" s="21" t="s">
        <v>1111</v>
      </c>
      <c r="B662" s="2" t="s">
        <v>1112</v>
      </c>
      <c r="C662" s="2" t="s">
        <v>833</v>
      </c>
      <c r="D662" s="2" t="s">
        <v>959</v>
      </c>
      <c r="E662" s="2" t="s">
        <v>342</v>
      </c>
      <c r="F662" s="2"/>
      <c r="G662" s="2" t="s">
        <v>543</v>
      </c>
      <c r="H662" s="2"/>
      <c r="I662" s="4">
        <v>44760</v>
      </c>
      <c r="J662" s="2" t="s">
        <v>13</v>
      </c>
      <c r="K662" s="2" t="s">
        <v>639</v>
      </c>
      <c r="L662" s="2" t="s">
        <v>110</v>
      </c>
      <c r="M662" s="2" t="s">
        <v>16</v>
      </c>
    </row>
    <row r="663" spans="1:13" x14ac:dyDescent="0.3">
      <c r="A663" s="21">
        <v>14013160046</v>
      </c>
      <c r="B663" s="2" t="s">
        <v>1113</v>
      </c>
      <c r="C663" s="2" t="s">
        <v>833</v>
      </c>
      <c r="D663" s="2" t="s">
        <v>1114</v>
      </c>
      <c r="E663" s="2" t="s">
        <v>11</v>
      </c>
      <c r="F663" s="2"/>
      <c r="G663" s="2" t="s">
        <v>349</v>
      </c>
      <c r="H663" s="2"/>
      <c r="I663" s="4">
        <v>44760</v>
      </c>
      <c r="J663" s="2" t="s">
        <v>13</v>
      </c>
      <c r="K663" s="2" t="s">
        <v>19</v>
      </c>
      <c r="L663" s="2" t="s">
        <v>20</v>
      </c>
      <c r="M663" s="2" t="s">
        <v>21</v>
      </c>
    </row>
    <row r="664" spans="1:13" x14ac:dyDescent="0.3">
      <c r="A664" s="21">
        <v>14013160048</v>
      </c>
      <c r="B664" s="2" t="s">
        <v>1115</v>
      </c>
      <c r="C664" s="2" t="s">
        <v>833</v>
      </c>
      <c r="D664" s="2" t="s">
        <v>1116</v>
      </c>
      <c r="E664" s="2" t="s">
        <v>37</v>
      </c>
      <c r="F664" s="2"/>
      <c r="G664" s="2" t="s">
        <v>84</v>
      </c>
      <c r="H664" s="2"/>
      <c r="I664" s="4">
        <v>44760</v>
      </c>
      <c r="J664" s="2" t="s">
        <v>13</v>
      </c>
      <c r="K664" s="2" t="s">
        <v>19</v>
      </c>
      <c r="L664" s="2" t="s">
        <v>20</v>
      </c>
      <c r="M664" s="2" t="s">
        <v>21</v>
      </c>
    </row>
    <row r="665" spans="1:13" x14ac:dyDescent="0.3">
      <c r="A665" s="21">
        <v>14013160052</v>
      </c>
      <c r="B665" s="2" t="s">
        <v>1117</v>
      </c>
      <c r="C665" s="2" t="s">
        <v>833</v>
      </c>
      <c r="D665" s="2" t="s">
        <v>1118</v>
      </c>
      <c r="E665" s="2" t="s">
        <v>11</v>
      </c>
      <c r="F665" s="2"/>
      <c r="G665" s="2" t="s">
        <v>349</v>
      </c>
      <c r="H665" s="2"/>
      <c r="I665" s="4">
        <v>44760</v>
      </c>
      <c r="J665" s="2" t="s">
        <v>13</v>
      </c>
      <c r="K665" s="2" t="s">
        <v>19</v>
      </c>
      <c r="L665" s="2" t="s">
        <v>20</v>
      </c>
      <c r="M665" s="2" t="s">
        <v>16</v>
      </c>
    </row>
    <row r="666" spans="1:13" x14ac:dyDescent="0.3">
      <c r="A666" s="21">
        <v>14013160054</v>
      </c>
      <c r="B666" s="2" t="s">
        <v>1119</v>
      </c>
      <c r="C666" s="2" t="s">
        <v>833</v>
      </c>
      <c r="D666" s="2" t="s">
        <v>1120</v>
      </c>
      <c r="E666" s="2" t="s">
        <v>11</v>
      </c>
      <c r="F666" s="2"/>
      <c r="G666" s="2" t="s">
        <v>349</v>
      </c>
      <c r="H666" s="2"/>
      <c r="I666" s="4">
        <v>44760</v>
      </c>
      <c r="J666" s="2" t="s">
        <v>13</v>
      </c>
      <c r="K666" s="2" t="s">
        <v>19</v>
      </c>
      <c r="L666" s="2" t="s">
        <v>20</v>
      </c>
      <c r="M666" s="2" t="s">
        <v>16</v>
      </c>
    </row>
    <row r="667" spans="1:13" x14ac:dyDescent="0.3">
      <c r="A667" s="21">
        <v>14013160057</v>
      </c>
      <c r="B667" s="2" t="s">
        <v>1121</v>
      </c>
      <c r="C667" s="2" t="s">
        <v>833</v>
      </c>
      <c r="D667" s="2" t="s">
        <v>1122</v>
      </c>
      <c r="E667" s="2" t="s">
        <v>11</v>
      </c>
      <c r="F667" s="2"/>
      <c r="G667" s="2" t="s">
        <v>349</v>
      </c>
      <c r="H667" s="2"/>
      <c r="I667" s="4">
        <v>44760</v>
      </c>
      <c r="J667" s="2" t="s">
        <v>13</v>
      </c>
      <c r="K667" s="2" t="s">
        <v>19</v>
      </c>
      <c r="L667" s="2" t="s">
        <v>20</v>
      </c>
      <c r="M667" s="2" t="s">
        <v>16</v>
      </c>
    </row>
    <row r="668" spans="1:13" x14ac:dyDescent="0.3">
      <c r="A668" s="21">
        <v>14013160059</v>
      </c>
      <c r="B668" s="2" t="s">
        <v>1123</v>
      </c>
      <c r="C668" s="2" t="s">
        <v>833</v>
      </c>
      <c r="D668" s="2" t="s">
        <v>1124</v>
      </c>
      <c r="E668" s="2" t="s">
        <v>342</v>
      </c>
      <c r="F668" s="2"/>
      <c r="G668" s="2" t="s">
        <v>349</v>
      </c>
      <c r="H668" s="2"/>
      <c r="I668" s="4">
        <v>44760</v>
      </c>
      <c r="J668" s="2" t="s">
        <v>13</v>
      </c>
      <c r="K668" s="2" t="s">
        <v>19</v>
      </c>
      <c r="L668" s="2" t="s">
        <v>20</v>
      </c>
      <c r="M668" s="2" t="s">
        <v>21</v>
      </c>
    </row>
    <row r="669" spans="1:13" x14ac:dyDescent="0.3">
      <c r="A669" s="21">
        <v>14013160061</v>
      </c>
      <c r="B669" s="2" t="s">
        <v>1123</v>
      </c>
      <c r="C669" s="2" t="s">
        <v>833</v>
      </c>
      <c r="D669" s="2" t="s">
        <v>1125</v>
      </c>
      <c r="E669" s="2" t="s">
        <v>342</v>
      </c>
      <c r="F669" s="2"/>
      <c r="G669" s="2" t="s">
        <v>349</v>
      </c>
      <c r="H669" s="2"/>
      <c r="I669" s="4">
        <v>44760</v>
      </c>
      <c r="J669" s="2" t="s">
        <v>13</v>
      </c>
      <c r="K669" s="2" t="s">
        <v>19</v>
      </c>
      <c r="L669" s="2" t="s">
        <v>20</v>
      </c>
      <c r="M669" s="2" t="s">
        <v>16</v>
      </c>
    </row>
    <row r="670" spans="1:13" x14ac:dyDescent="0.3">
      <c r="A670" s="21">
        <v>14013160063</v>
      </c>
      <c r="B670" s="2" t="s">
        <v>1123</v>
      </c>
      <c r="C670" s="2" t="s">
        <v>833</v>
      </c>
      <c r="D670" s="2" t="s">
        <v>1126</v>
      </c>
      <c r="E670" s="2" t="s">
        <v>342</v>
      </c>
      <c r="F670" s="2"/>
      <c r="G670" s="2" t="s">
        <v>349</v>
      </c>
      <c r="H670" s="2"/>
      <c r="I670" s="4">
        <v>44760</v>
      </c>
      <c r="J670" s="2" t="s">
        <v>13</v>
      </c>
      <c r="K670" s="2" t="s">
        <v>19</v>
      </c>
      <c r="L670" s="2" t="s">
        <v>20</v>
      </c>
      <c r="M670" s="2" t="s">
        <v>16</v>
      </c>
    </row>
    <row r="671" spans="1:13" x14ac:dyDescent="0.3">
      <c r="A671" s="21">
        <v>14013160066</v>
      </c>
      <c r="B671" s="2" t="s">
        <v>1123</v>
      </c>
      <c r="C671" s="2" t="s">
        <v>833</v>
      </c>
      <c r="D671" s="2" t="s">
        <v>1127</v>
      </c>
      <c r="E671" s="2" t="s">
        <v>342</v>
      </c>
      <c r="F671" s="2"/>
      <c r="G671" s="2" t="s">
        <v>349</v>
      </c>
      <c r="H671" s="2"/>
      <c r="I671" s="4">
        <v>44760</v>
      </c>
      <c r="J671" s="2" t="s">
        <v>13</v>
      </c>
      <c r="K671" s="2" t="s">
        <v>19</v>
      </c>
      <c r="L671" s="2" t="s">
        <v>20</v>
      </c>
      <c r="M671" s="2" t="s">
        <v>24</v>
      </c>
    </row>
    <row r="672" spans="1:13" x14ac:dyDescent="0.3">
      <c r="A672" s="21">
        <v>14013160069</v>
      </c>
      <c r="B672" s="2" t="s">
        <v>1123</v>
      </c>
      <c r="C672" s="2" t="s">
        <v>833</v>
      </c>
      <c r="D672" s="2" t="s">
        <v>1128</v>
      </c>
      <c r="E672" s="2" t="s">
        <v>342</v>
      </c>
      <c r="F672" s="2"/>
      <c r="G672" s="2" t="s">
        <v>349</v>
      </c>
      <c r="H672" s="2"/>
      <c r="I672" s="4">
        <v>44760</v>
      </c>
      <c r="J672" s="2" t="s">
        <v>13</v>
      </c>
      <c r="K672" s="2" t="s">
        <v>19</v>
      </c>
      <c r="L672" s="2" t="s">
        <v>20</v>
      </c>
      <c r="M672" s="2" t="s">
        <v>21</v>
      </c>
    </row>
    <row r="673" spans="1:13" x14ac:dyDescent="0.3">
      <c r="A673" s="21">
        <v>14013160080</v>
      </c>
      <c r="B673" s="2" t="s">
        <v>1123</v>
      </c>
      <c r="C673" s="2" t="s">
        <v>833</v>
      </c>
      <c r="D673" s="2" t="s">
        <v>1129</v>
      </c>
      <c r="E673" s="2" t="s">
        <v>342</v>
      </c>
      <c r="F673" s="2"/>
      <c r="G673" s="2" t="s">
        <v>349</v>
      </c>
      <c r="H673" s="2"/>
      <c r="I673" s="4">
        <v>44760</v>
      </c>
      <c r="J673" s="2" t="s">
        <v>13</v>
      </c>
      <c r="K673" s="2" t="s">
        <v>19</v>
      </c>
      <c r="L673" s="2" t="s">
        <v>20</v>
      </c>
      <c r="M673" s="2" t="s">
        <v>21</v>
      </c>
    </row>
    <row r="674" spans="1:13" x14ac:dyDescent="0.3">
      <c r="A674" s="21">
        <v>14013160082</v>
      </c>
      <c r="B674" s="2" t="s">
        <v>3633</v>
      </c>
      <c r="C674" s="2" t="s">
        <v>833</v>
      </c>
      <c r="D674" s="2" t="s">
        <v>1131</v>
      </c>
      <c r="E674" s="2" t="s">
        <v>470</v>
      </c>
      <c r="F674" s="48" t="s">
        <v>3641</v>
      </c>
      <c r="G674" s="2" t="s">
        <v>719</v>
      </c>
      <c r="H674" s="2" t="s">
        <v>841</v>
      </c>
      <c r="I674" s="4"/>
      <c r="J674" s="2" t="s">
        <v>13</v>
      </c>
      <c r="K674" s="2" t="s">
        <v>19</v>
      </c>
      <c r="L674" s="2" t="s">
        <v>20</v>
      </c>
      <c r="M674" s="2" t="s">
        <v>21</v>
      </c>
    </row>
    <row r="675" spans="1:13" x14ac:dyDescent="0.3">
      <c r="A675" s="21" t="s">
        <v>1132</v>
      </c>
      <c r="B675" s="2" t="s">
        <v>1133</v>
      </c>
      <c r="C675" s="2" t="s">
        <v>833</v>
      </c>
      <c r="D675" s="2" t="s">
        <v>1134</v>
      </c>
      <c r="E675" s="2" t="s">
        <v>342</v>
      </c>
      <c r="F675" s="2" t="s">
        <v>1135</v>
      </c>
      <c r="G675" s="2" t="s">
        <v>719</v>
      </c>
      <c r="H675" s="2"/>
      <c r="I675" s="4">
        <v>44763</v>
      </c>
      <c r="J675" s="2" t="s">
        <v>192</v>
      </c>
      <c r="K675" s="2" t="s">
        <v>19</v>
      </c>
      <c r="L675" s="2" t="s">
        <v>20</v>
      </c>
      <c r="M675" s="2" t="s">
        <v>21</v>
      </c>
    </row>
    <row r="676" spans="1:13" x14ac:dyDescent="0.3">
      <c r="A676" s="21" t="s">
        <v>1136</v>
      </c>
      <c r="B676" s="2" t="s">
        <v>1137</v>
      </c>
      <c r="C676" s="2" t="s">
        <v>833</v>
      </c>
      <c r="D676" s="2" t="s">
        <v>1138</v>
      </c>
      <c r="E676" s="2" t="s">
        <v>342</v>
      </c>
      <c r="F676" s="2" t="s">
        <v>1139</v>
      </c>
      <c r="G676" s="2" t="s">
        <v>719</v>
      </c>
      <c r="H676" s="2"/>
      <c r="I676" s="4">
        <v>44763</v>
      </c>
      <c r="J676" s="2" t="s">
        <v>192</v>
      </c>
      <c r="K676" s="2" t="s">
        <v>19</v>
      </c>
      <c r="L676" s="2" t="s">
        <v>20</v>
      </c>
      <c r="M676" s="2" t="s">
        <v>24</v>
      </c>
    </row>
    <row r="677" spans="1:13" x14ac:dyDescent="0.3">
      <c r="A677" s="21">
        <v>14013162840</v>
      </c>
      <c r="B677" s="2" t="s">
        <v>1140</v>
      </c>
      <c r="C677" s="2" t="s">
        <v>833</v>
      </c>
      <c r="D677" s="2" t="s">
        <v>1141</v>
      </c>
      <c r="E677" s="2" t="s">
        <v>342</v>
      </c>
      <c r="F677" s="2" t="s">
        <v>1139</v>
      </c>
      <c r="G677" s="2" t="s">
        <v>719</v>
      </c>
      <c r="H677" s="2"/>
      <c r="I677" s="4">
        <v>44763</v>
      </c>
      <c r="J677" s="2" t="s">
        <v>192</v>
      </c>
      <c r="K677" s="2" t="s">
        <v>19</v>
      </c>
      <c r="L677" s="2" t="s">
        <v>20</v>
      </c>
      <c r="M677" s="2" t="s">
        <v>24</v>
      </c>
    </row>
    <row r="678" spans="1:13" x14ac:dyDescent="0.3">
      <c r="A678" s="21">
        <v>14013162849</v>
      </c>
      <c r="B678" s="2" t="s">
        <v>3634</v>
      </c>
      <c r="C678" s="2" t="s">
        <v>833</v>
      </c>
      <c r="D678" s="2" t="s">
        <v>1143</v>
      </c>
      <c r="E678" s="2" t="s">
        <v>3639</v>
      </c>
      <c r="F678" s="2" t="s">
        <v>1144</v>
      </c>
      <c r="G678" s="2" t="s">
        <v>719</v>
      </c>
      <c r="H678" s="2" t="s">
        <v>841</v>
      </c>
      <c r="I678" s="4">
        <v>44763</v>
      </c>
      <c r="J678" s="2" t="s">
        <v>192</v>
      </c>
      <c r="K678" s="2" t="s">
        <v>19</v>
      </c>
      <c r="L678" s="2" t="s">
        <v>20</v>
      </c>
      <c r="M678" s="2" t="s">
        <v>21</v>
      </c>
    </row>
    <row r="679" spans="1:13" x14ac:dyDescent="0.3">
      <c r="A679" s="21">
        <v>14013162900</v>
      </c>
      <c r="B679" s="2" t="s">
        <v>1145</v>
      </c>
      <c r="C679" s="2" t="s">
        <v>833</v>
      </c>
      <c r="D679" s="2" t="s">
        <v>1146</v>
      </c>
      <c r="E679" s="2" t="s">
        <v>11</v>
      </c>
      <c r="F679" s="2"/>
      <c r="G679" s="2" t="s">
        <v>349</v>
      </c>
      <c r="H679" s="2"/>
      <c r="I679" s="4">
        <v>44760</v>
      </c>
      <c r="J679" s="2" t="s">
        <v>13</v>
      </c>
      <c r="K679" s="2" t="s">
        <v>19</v>
      </c>
      <c r="L679" s="2" t="s">
        <v>20</v>
      </c>
      <c r="M679" s="2" t="s">
        <v>21</v>
      </c>
    </row>
    <row r="680" spans="1:13" x14ac:dyDescent="0.3">
      <c r="A680" s="21">
        <v>14013162903</v>
      </c>
      <c r="B680" s="2" t="s">
        <v>1147</v>
      </c>
      <c r="C680" s="2" t="s">
        <v>833</v>
      </c>
      <c r="D680" s="2" t="s">
        <v>1148</v>
      </c>
      <c r="E680" s="2" t="s">
        <v>11</v>
      </c>
      <c r="F680" s="2"/>
      <c r="G680" s="2" t="s">
        <v>349</v>
      </c>
      <c r="H680" s="2"/>
      <c r="I680" s="4">
        <v>44760</v>
      </c>
      <c r="J680" s="2" t="s">
        <v>13</v>
      </c>
      <c r="K680" s="2" t="s">
        <v>19</v>
      </c>
      <c r="L680" s="2" t="s">
        <v>20</v>
      </c>
      <c r="M680" s="2" t="s">
        <v>21</v>
      </c>
    </row>
    <row r="681" spans="1:13" x14ac:dyDescent="0.3">
      <c r="A681" s="21">
        <v>14013162907</v>
      </c>
      <c r="B681" s="2" t="s">
        <v>1149</v>
      </c>
      <c r="C681" s="2" t="s">
        <v>833</v>
      </c>
      <c r="D681" s="2" t="s">
        <v>1150</v>
      </c>
      <c r="E681" s="2" t="s">
        <v>11</v>
      </c>
      <c r="F681" s="2"/>
      <c r="G681" s="2" t="s">
        <v>349</v>
      </c>
      <c r="H681" s="2"/>
      <c r="I681" s="4">
        <v>44760</v>
      </c>
      <c r="J681" s="2" t="s">
        <v>13</v>
      </c>
      <c r="K681" s="2" t="s">
        <v>19</v>
      </c>
      <c r="L681" s="2" t="s">
        <v>20</v>
      </c>
      <c r="M681" s="2" t="s">
        <v>21</v>
      </c>
    </row>
    <row r="682" spans="1:13" x14ac:dyDescent="0.3">
      <c r="A682" s="21">
        <v>14013162911</v>
      </c>
      <c r="B682" s="2" t="s">
        <v>1151</v>
      </c>
      <c r="C682" s="2" t="s">
        <v>833</v>
      </c>
      <c r="D682" s="2" t="s">
        <v>1152</v>
      </c>
      <c r="E682" s="2" t="s">
        <v>11</v>
      </c>
      <c r="F682" s="2"/>
      <c r="G682" s="2" t="s">
        <v>349</v>
      </c>
      <c r="H682" s="2"/>
      <c r="I682" s="4">
        <v>44759</v>
      </c>
      <c r="J682" s="2" t="s">
        <v>13</v>
      </c>
      <c r="K682" s="2" t="s">
        <v>19</v>
      </c>
      <c r="L682" s="2" t="s">
        <v>20</v>
      </c>
      <c r="M682" s="2" t="s">
        <v>21</v>
      </c>
    </row>
    <row r="683" spans="1:13" x14ac:dyDescent="0.3">
      <c r="A683" s="21">
        <v>14013162916</v>
      </c>
      <c r="B683" s="2" t="s">
        <v>1153</v>
      </c>
      <c r="C683" s="2" t="s">
        <v>833</v>
      </c>
      <c r="D683" s="2" t="s">
        <v>1154</v>
      </c>
      <c r="E683" s="2" t="s">
        <v>11</v>
      </c>
      <c r="F683" s="2"/>
      <c r="G683" s="2" t="s">
        <v>349</v>
      </c>
      <c r="H683" s="2"/>
      <c r="I683" s="4">
        <v>44759</v>
      </c>
      <c r="J683" s="2" t="s">
        <v>13</v>
      </c>
      <c r="K683" s="2" t="s">
        <v>19</v>
      </c>
      <c r="L683" s="2" t="s">
        <v>20</v>
      </c>
      <c r="M683" s="2" t="s">
        <v>21</v>
      </c>
    </row>
    <row r="684" spans="1:13" x14ac:dyDescent="0.3">
      <c r="A684" s="21">
        <v>14013162920</v>
      </c>
      <c r="B684" s="2" t="s">
        <v>1155</v>
      </c>
      <c r="C684" s="2" t="s">
        <v>833</v>
      </c>
      <c r="D684" s="2" t="s">
        <v>1156</v>
      </c>
      <c r="E684" s="2" t="s">
        <v>11</v>
      </c>
      <c r="F684" s="2"/>
      <c r="G684" s="2" t="s">
        <v>349</v>
      </c>
      <c r="H684" s="2"/>
      <c r="I684" s="4">
        <v>44759</v>
      </c>
      <c r="J684" s="2" t="s">
        <v>13</v>
      </c>
      <c r="K684" s="2" t="s">
        <v>19</v>
      </c>
      <c r="L684" s="2" t="s">
        <v>20</v>
      </c>
      <c r="M684" s="2" t="s">
        <v>21</v>
      </c>
    </row>
    <row r="685" spans="1:13" x14ac:dyDescent="0.3">
      <c r="A685" s="21">
        <v>14013157679</v>
      </c>
      <c r="B685" s="2" t="s">
        <v>1157</v>
      </c>
      <c r="C685" s="2" t="s">
        <v>833</v>
      </c>
      <c r="D685" s="2" t="s">
        <v>1158</v>
      </c>
      <c r="E685" s="2" t="s">
        <v>11</v>
      </c>
      <c r="F685" s="2" t="s">
        <v>1159</v>
      </c>
      <c r="G685" s="2" t="s">
        <v>1160</v>
      </c>
      <c r="H685" s="2"/>
      <c r="I685" s="4">
        <v>44757</v>
      </c>
      <c r="J685" s="2" t="s">
        <v>13</v>
      </c>
      <c r="K685" s="2" t="s">
        <v>14</v>
      </c>
      <c r="L685" s="2" t="s">
        <v>88</v>
      </c>
      <c r="M685" s="2" t="s">
        <v>16</v>
      </c>
    </row>
    <row r="686" spans="1:13" x14ac:dyDescent="0.3">
      <c r="A686" s="21">
        <v>14013157684</v>
      </c>
      <c r="B686" s="2" t="s">
        <v>1161</v>
      </c>
      <c r="C686" s="2" t="s">
        <v>833</v>
      </c>
      <c r="D686" s="2" t="s">
        <v>1162</v>
      </c>
      <c r="E686" s="2" t="s">
        <v>342</v>
      </c>
      <c r="F686" s="7"/>
      <c r="G686" s="2" t="s">
        <v>543</v>
      </c>
      <c r="H686" s="2"/>
      <c r="I686" s="4">
        <v>44763</v>
      </c>
      <c r="J686" s="2" t="s">
        <v>13</v>
      </c>
      <c r="K686" s="2" t="s">
        <v>14</v>
      </c>
      <c r="L686" s="2" t="s">
        <v>88</v>
      </c>
      <c r="M686" s="2" t="s">
        <v>16</v>
      </c>
    </row>
    <row r="687" spans="1:13" x14ac:dyDescent="0.3">
      <c r="A687" s="21" t="s">
        <v>1163</v>
      </c>
      <c r="B687" s="2" t="s">
        <v>1164</v>
      </c>
      <c r="C687" s="2" t="s">
        <v>833</v>
      </c>
      <c r="D687" s="2" t="s">
        <v>1165</v>
      </c>
      <c r="E687" s="2" t="s">
        <v>11</v>
      </c>
      <c r="F687" s="2" t="s">
        <v>1159</v>
      </c>
      <c r="G687" s="2" t="s">
        <v>1160</v>
      </c>
      <c r="H687" s="2"/>
      <c r="I687" s="4">
        <v>44757</v>
      </c>
      <c r="J687" s="2" t="s">
        <v>13</v>
      </c>
      <c r="K687" s="2" t="s">
        <v>14</v>
      </c>
      <c r="L687" s="2" t="s">
        <v>88</v>
      </c>
      <c r="M687" s="2" t="s">
        <v>16</v>
      </c>
    </row>
    <row r="688" spans="1:13" x14ac:dyDescent="0.3">
      <c r="A688" s="21">
        <v>14013157817</v>
      </c>
      <c r="B688" s="2" t="s">
        <v>1166</v>
      </c>
      <c r="C688" s="2" t="s">
        <v>833</v>
      </c>
      <c r="D688" s="2" t="s">
        <v>1167</v>
      </c>
      <c r="E688" s="2" t="s">
        <v>342</v>
      </c>
      <c r="F688" s="2"/>
      <c r="G688" s="2" t="s">
        <v>363</v>
      </c>
      <c r="H688" s="2"/>
      <c r="I688" s="4">
        <v>44762</v>
      </c>
      <c r="J688" s="2" t="s">
        <v>13</v>
      </c>
      <c r="K688" s="2" t="s">
        <v>14</v>
      </c>
      <c r="L688" s="2" t="s">
        <v>88</v>
      </c>
      <c r="M688" s="2" t="s">
        <v>16</v>
      </c>
    </row>
    <row r="689" spans="1:13" x14ac:dyDescent="0.3">
      <c r="A689" s="21" t="s">
        <v>1168</v>
      </c>
      <c r="B689" s="2" t="s">
        <v>1169</v>
      </c>
      <c r="C689" s="2" t="s">
        <v>833</v>
      </c>
      <c r="D689" s="2" t="s">
        <v>1170</v>
      </c>
      <c r="E689" s="2" t="s">
        <v>11</v>
      </c>
      <c r="F689" s="2"/>
      <c r="G689" s="2" t="s">
        <v>1160</v>
      </c>
      <c r="H689" s="2"/>
      <c r="I689" s="4">
        <v>44757</v>
      </c>
      <c r="J689" s="2" t="s">
        <v>13</v>
      </c>
      <c r="K689" s="2" t="s">
        <v>14</v>
      </c>
      <c r="L689" s="2" t="s">
        <v>88</v>
      </c>
      <c r="M689" s="2" t="s">
        <v>16</v>
      </c>
    </row>
    <row r="690" spans="1:13" x14ac:dyDescent="0.3">
      <c r="A690" s="21">
        <v>14013158099</v>
      </c>
      <c r="B690" s="2" t="s">
        <v>1171</v>
      </c>
      <c r="C690" s="2" t="s">
        <v>833</v>
      </c>
      <c r="D690" s="2" t="s">
        <v>1172</v>
      </c>
      <c r="E690" s="2" t="s">
        <v>342</v>
      </c>
      <c r="F690" s="2" t="s">
        <v>1173</v>
      </c>
      <c r="G690" s="2" t="s">
        <v>363</v>
      </c>
      <c r="H690" s="2"/>
      <c r="I690" s="4">
        <v>44763</v>
      </c>
      <c r="J690" s="2" t="s">
        <v>13</v>
      </c>
      <c r="K690" s="2" t="s">
        <v>14</v>
      </c>
      <c r="L690" s="2" t="s">
        <v>88</v>
      </c>
      <c r="M690" s="2" t="s">
        <v>24</v>
      </c>
    </row>
    <row r="691" spans="1:13" x14ac:dyDescent="0.3">
      <c r="A691" s="21">
        <v>14013158101</v>
      </c>
      <c r="B691" s="2" t="s">
        <v>1174</v>
      </c>
      <c r="C691" s="2" t="s">
        <v>833</v>
      </c>
      <c r="D691" s="2" t="s">
        <v>1175</v>
      </c>
      <c r="E691" s="2" t="s">
        <v>342</v>
      </c>
      <c r="F691" s="2"/>
      <c r="G691" s="2" t="s">
        <v>363</v>
      </c>
      <c r="H691" s="2"/>
      <c r="I691" s="4">
        <v>44762</v>
      </c>
      <c r="J691" s="2" t="s">
        <v>13</v>
      </c>
      <c r="K691" s="2" t="s">
        <v>14</v>
      </c>
      <c r="L691" s="2" t="s">
        <v>88</v>
      </c>
      <c r="M691" s="2" t="s">
        <v>24</v>
      </c>
    </row>
    <row r="692" spans="1:13" x14ac:dyDescent="0.3">
      <c r="A692" s="21" t="s">
        <v>1176</v>
      </c>
      <c r="B692" s="2" t="s">
        <v>1177</v>
      </c>
      <c r="C692" s="2" t="s">
        <v>833</v>
      </c>
      <c r="D692" s="2" t="s">
        <v>1178</v>
      </c>
      <c r="E692" s="2" t="s">
        <v>342</v>
      </c>
      <c r="F692" s="2" t="s">
        <v>1179</v>
      </c>
      <c r="G692" s="2" t="s">
        <v>363</v>
      </c>
      <c r="H692" s="2"/>
      <c r="I692" s="4">
        <v>44762</v>
      </c>
      <c r="J692" s="2" t="s">
        <v>13</v>
      </c>
      <c r="K692" s="2" t="s">
        <v>14</v>
      </c>
      <c r="L692" s="2" t="s">
        <v>88</v>
      </c>
      <c r="M692" s="2" t="s">
        <v>16</v>
      </c>
    </row>
    <row r="693" spans="1:13" x14ac:dyDescent="0.3">
      <c r="A693" s="21">
        <v>14013158290</v>
      </c>
      <c r="B693" s="2" t="s">
        <v>1180</v>
      </c>
      <c r="C693" s="2" t="s">
        <v>833</v>
      </c>
      <c r="D693" s="2" t="s">
        <v>1181</v>
      </c>
      <c r="E693" s="2" t="s">
        <v>37</v>
      </c>
      <c r="F693" s="2" t="s">
        <v>642</v>
      </c>
      <c r="G693" s="2" t="s">
        <v>363</v>
      </c>
      <c r="H693" s="2"/>
      <c r="I693" s="4">
        <v>44762</v>
      </c>
      <c r="J693" s="2" t="s">
        <v>13</v>
      </c>
      <c r="K693" s="2" t="s">
        <v>14</v>
      </c>
      <c r="L693" s="2" t="s">
        <v>88</v>
      </c>
      <c r="M693" s="2" t="s">
        <v>16</v>
      </c>
    </row>
    <row r="694" spans="1:13" x14ac:dyDescent="0.3">
      <c r="A694" s="21" t="s">
        <v>1182</v>
      </c>
      <c r="B694" s="2" t="s">
        <v>1183</v>
      </c>
      <c r="C694" s="2" t="s">
        <v>833</v>
      </c>
      <c r="D694" s="2" t="s">
        <v>1184</v>
      </c>
      <c r="E694" s="2" t="s">
        <v>1185</v>
      </c>
      <c r="F694" s="2"/>
      <c r="G694" s="2" t="s">
        <v>1160</v>
      </c>
      <c r="H694" s="2"/>
      <c r="I694" s="4">
        <v>44757</v>
      </c>
      <c r="J694" s="2" t="s">
        <v>13</v>
      </c>
      <c r="K694" s="2" t="s">
        <v>14</v>
      </c>
      <c r="L694" s="2" t="s">
        <v>88</v>
      </c>
      <c r="M694" s="2" t="s">
        <v>21</v>
      </c>
    </row>
    <row r="695" spans="1:13" x14ac:dyDescent="0.3">
      <c r="A695" s="21" t="s">
        <v>1186</v>
      </c>
      <c r="B695" s="2" t="s">
        <v>1187</v>
      </c>
      <c r="C695" s="2" t="s">
        <v>833</v>
      </c>
      <c r="D695" s="2" t="s">
        <v>1188</v>
      </c>
      <c r="E695" s="2" t="s">
        <v>1185</v>
      </c>
      <c r="F695" s="2"/>
      <c r="G695" s="2" t="s">
        <v>1160</v>
      </c>
      <c r="H695" s="2"/>
      <c r="I695" s="4">
        <v>44757</v>
      </c>
      <c r="J695" s="2" t="s">
        <v>13</v>
      </c>
      <c r="K695" s="2" t="s">
        <v>14</v>
      </c>
      <c r="L695" s="2" t="s">
        <v>88</v>
      </c>
      <c r="M695" s="2" t="s">
        <v>16</v>
      </c>
    </row>
    <row r="696" spans="1:13" x14ac:dyDescent="0.3">
      <c r="A696" s="21" t="s">
        <v>1189</v>
      </c>
      <c r="B696" s="2" t="s">
        <v>1190</v>
      </c>
      <c r="C696" s="2" t="s">
        <v>833</v>
      </c>
      <c r="D696" s="2" t="s">
        <v>1191</v>
      </c>
      <c r="E696" s="2" t="s">
        <v>11</v>
      </c>
      <c r="F696" s="2"/>
      <c r="G696" s="2" t="s">
        <v>1160</v>
      </c>
      <c r="H696" s="2"/>
      <c r="I696" s="4">
        <v>44757</v>
      </c>
      <c r="J696" s="2" t="s">
        <v>13</v>
      </c>
      <c r="K696" s="2" t="s">
        <v>14</v>
      </c>
      <c r="L696" s="2" t="s">
        <v>88</v>
      </c>
      <c r="M696" s="2" t="s">
        <v>16</v>
      </c>
    </row>
    <row r="697" spans="1:13" x14ac:dyDescent="0.3">
      <c r="A697" s="21" t="s">
        <v>1192</v>
      </c>
      <c r="B697" s="2" t="s">
        <v>1193</v>
      </c>
      <c r="C697" s="2" t="s">
        <v>833</v>
      </c>
      <c r="D697" s="2" t="s">
        <v>1194</v>
      </c>
      <c r="E697" s="2" t="s">
        <v>11</v>
      </c>
      <c r="F697" s="2"/>
      <c r="G697" s="2" t="s">
        <v>1160</v>
      </c>
      <c r="H697" s="2"/>
      <c r="I697" s="4">
        <v>44757</v>
      </c>
      <c r="J697" s="2" t="s">
        <v>13</v>
      </c>
      <c r="K697" s="2" t="s">
        <v>14</v>
      </c>
      <c r="L697" s="2" t="s">
        <v>88</v>
      </c>
      <c r="M697" s="2" t="s">
        <v>16</v>
      </c>
    </row>
    <row r="698" spans="1:13" x14ac:dyDescent="0.3">
      <c r="A698" s="21" t="s">
        <v>1195</v>
      </c>
      <c r="B698" s="2" t="s">
        <v>1196</v>
      </c>
      <c r="C698" s="2" t="s">
        <v>833</v>
      </c>
      <c r="D698" s="2" t="s">
        <v>1197</v>
      </c>
      <c r="E698" s="7" t="s">
        <v>37</v>
      </c>
      <c r="F698" s="2" t="s">
        <v>1198</v>
      </c>
      <c r="G698" s="2" t="s">
        <v>363</v>
      </c>
      <c r="H698" s="2" t="s">
        <v>369</v>
      </c>
      <c r="I698" s="4">
        <v>44762</v>
      </c>
      <c r="J698" s="2" t="s">
        <v>13</v>
      </c>
      <c r="K698" s="2" t="s">
        <v>14</v>
      </c>
      <c r="L698" s="2" t="s">
        <v>88</v>
      </c>
      <c r="M698" s="2" t="s">
        <v>16</v>
      </c>
    </row>
    <row r="699" spans="1:13" x14ac:dyDescent="0.3">
      <c r="A699" s="21" t="s">
        <v>1199</v>
      </c>
      <c r="B699" s="2" t="s">
        <v>1200</v>
      </c>
      <c r="C699" s="2" t="s">
        <v>833</v>
      </c>
      <c r="D699" s="2" t="s">
        <v>1201</v>
      </c>
      <c r="E699" s="2" t="s">
        <v>1185</v>
      </c>
      <c r="F699" s="2"/>
      <c r="G699" s="2" t="s">
        <v>1160</v>
      </c>
      <c r="H699" s="2"/>
      <c r="I699" s="4">
        <v>44757</v>
      </c>
      <c r="J699" s="2" t="s">
        <v>13</v>
      </c>
      <c r="K699" s="2" t="s">
        <v>14</v>
      </c>
      <c r="L699" s="2" t="s">
        <v>88</v>
      </c>
      <c r="M699" s="2" t="s">
        <v>16</v>
      </c>
    </row>
    <row r="700" spans="1:13" x14ac:dyDescent="0.3">
      <c r="A700" s="21" t="s">
        <v>1202</v>
      </c>
      <c r="B700" s="2" t="s">
        <v>1203</v>
      </c>
      <c r="C700" s="2" t="s">
        <v>833</v>
      </c>
      <c r="D700" s="2" t="s">
        <v>1204</v>
      </c>
      <c r="E700" s="2" t="s">
        <v>37</v>
      </c>
      <c r="F700" s="2" t="s">
        <v>642</v>
      </c>
      <c r="G700" s="2" t="s">
        <v>363</v>
      </c>
      <c r="H700" s="2"/>
      <c r="I700" s="4">
        <v>44762</v>
      </c>
      <c r="J700" s="2" t="s">
        <v>13</v>
      </c>
      <c r="K700" s="2" t="s">
        <v>14</v>
      </c>
      <c r="L700" t="str">
        <f>HYPERLINK("https://hsdes.intel.com/resource/14013158967","14013158967")</f>
        <v>14013158967</v>
      </c>
      <c r="M700" s="2" t="s">
        <v>16</v>
      </c>
    </row>
    <row r="701" spans="1:13" x14ac:dyDescent="0.3">
      <c r="A701" s="21" t="s">
        <v>1205</v>
      </c>
      <c r="B701" s="2" t="s">
        <v>1206</v>
      </c>
      <c r="C701" s="2" t="s">
        <v>833</v>
      </c>
      <c r="D701" s="2" t="s">
        <v>1207</v>
      </c>
      <c r="E701" s="2" t="s">
        <v>342</v>
      </c>
      <c r="F701" s="2"/>
      <c r="G701" s="2" t="s">
        <v>363</v>
      </c>
      <c r="H701" s="2"/>
      <c r="I701" s="4">
        <v>44762</v>
      </c>
      <c r="J701" s="2" t="s">
        <v>13</v>
      </c>
      <c r="K701" s="2" t="s">
        <v>14</v>
      </c>
      <c r="L701" s="2" t="s">
        <v>88</v>
      </c>
      <c r="M701" s="2" t="s">
        <v>16</v>
      </c>
    </row>
    <row r="702" spans="1:13" x14ac:dyDescent="0.3">
      <c r="A702" s="21" t="s">
        <v>1208</v>
      </c>
      <c r="B702" s="2" t="s">
        <v>1209</v>
      </c>
      <c r="C702" s="2" t="s">
        <v>833</v>
      </c>
      <c r="D702" s="2" t="s">
        <v>1210</v>
      </c>
      <c r="E702" s="2" t="s">
        <v>11</v>
      </c>
      <c r="F702" s="2"/>
      <c r="G702" s="2" t="s">
        <v>1160</v>
      </c>
      <c r="H702" s="2"/>
      <c r="I702" s="4">
        <v>44757</v>
      </c>
      <c r="J702" s="2" t="s">
        <v>13</v>
      </c>
      <c r="K702" s="2" t="s">
        <v>439</v>
      </c>
      <c r="L702" s="2" t="s">
        <v>158</v>
      </c>
      <c r="M702" s="2" t="s">
        <v>16</v>
      </c>
    </row>
    <row r="703" spans="1:13" x14ac:dyDescent="0.3">
      <c r="A703" s="21" t="s">
        <v>1211</v>
      </c>
      <c r="B703" s="2" t="s">
        <v>1212</v>
      </c>
      <c r="C703" s="2" t="s">
        <v>833</v>
      </c>
      <c r="D703" s="2" t="s">
        <v>1213</v>
      </c>
      <c r="E703" s="2" t="s">
        <v>11</v>
      </c>
      <c r="F703" s="2"/>
      <c r="G703" s="2" t="s">
        <v>1160</v>
      </c>
      <c r="H703" s="2"/>
      <c r="I703" s="4">
        <v>44757</v>
      </c>
      <c r="J703" s="2" t="s">
        <v>13</v>
      </c>
      <c r="K703" s="2" t="s">
        <v>439</v>
      </c>
      <c r="L703" s="2" t="s">
        <v>158</v>
      </c>
      <c r="M703" s="2" t="s">
        <v>16</v>
      </c>
    </row>
    <row r="704" spans="1:13" x14ac:dyDescent="0.3">
      <c r="A704" s="21" t="s">
        <v>1214</v>
      </c>
      <c r="B704" s="2" t="s">
        <v>1215</v>
      </c>
      <c r="C704" s="2" t="s">
        <v>833</v>
      </c>
      <c r="D704" s="2" t="s">
        <v>1216</v>
      </c>
      <c r="E704" s="2" t="s">
        <v>11</v>
      </c>
      <c r="F704" s="2"/>
      <c r="G704" s="2" t="s">
        <v>1160</v>
      </c>
      <c r="H704" s="2"/>
      <c r="I704" s="4">
        <v>44757</v>
      </c>
      <c r="J704" s="2" t="s">
        <v>13</v>
      </c>
      <c r="K704" s="2" t="s">
        <v>439</v>
      </c>
      <c r="L704" s="2" t="s">
        <v>158</v>
      </c>
      <c r="M704" s="2" t="s">
        <v>16</v>
      </c>
    </row>
    <row r="705" spans="1:13" x14ac:dyDescent="0.3">
      <c r="A705" s="21" t="s">
        <v>1217</v>
      </c>
      <c r="B705" s="2" t="s">
        <v>1218</v>
      </c>
      <c r="C705" s="2" t="s">
        <v>833</v>
      </c>
      <c r="D705" s="2" t="s">
        <v>1219</v>
      </c>
      <c r="E705" s="2" t="s">
        <v>11</v>
      </c>
      <c r="F705" s="2"/>
      <c r="G705" s="2" t="s">
        <v>1160</v>
      </c>
      <c r="H705" s="2"/>
      <c r="I705" s="4">
        <v>44757</v>
      </c>
      <c r="J705" s="2" t="s">
        <v>13</v>
      </c>
      <c r="K705" s="2" t="s">
        <v>14</v>
      </c>
      <c r="L705" s="2" t="s">
        <v>88</v>
      </c>
      <c r="M705" s="2" t="s">
        <v>24</v>
      </c>
    </row>
    <row r="706" spans="1:13" x14ac:dyDescent="0.3">
      <c r="A706" s="21" t="s">
        <v>1220</v>
      </c>
      <c r="B706" s="2" t="s">
        <v>1221</v>
      </c>
      <c r="C706" s="2" t="s">
        <v>833</v>
      </c>
      <c r="D706" s="2" t="s">
        <v>1222</v>
      </c>
      <c r="E706" s="2" t="s">
        <v>11</v>
      </c>
      <c r="F706" s="2"/>
      <c r="G706" s="2" t="s">
        <v>1160</v>
      </c>
      <c r="H706" s="2"/>
      <c r="I706" s="4">
        <v>44757</v>
      </c>
      <c r="J706" s="2" t="s">
        <v>13</v>
      </c>
      <c r="K706" s="2" t="s">
        <v>14</v>
      </c>
      <c r="L706" s="2" t="s">
        <v>88</v>
      </c>
      <c r="M706" s="2" t="s">
        <v>24</v>
      </c>
    </row>
    <row r="707" spans="1:13" x14ac:dyDescent="0.3">
      <c r="A707" s="21" t="s">
        <v>1223</v>
      </c>
      <c r="B707" s="2" t="s">
        <v>1224</v>
      </c>
      <c r="C707" s="2" t="s">
        <v>833</v>
      </c>
      <c r="D707" s="2" t="s">
        <v>1225</v>
      </c>
      <c r="E707" s="2" t="s">
        <v>37</v>
      </c>
      <c r="F707" s="2"/>
      <c r="G707" s="2" t="s">
        <v>1160</v>
      </c>
      <c r="H707" s="2"/>
      <c r="I707" s="4">
        <v>44757</v>
      </c>
      <c r="J707" s="2" t="s">
        <v>13</v>
      </c>
      <c r="K707" s="2" t="s">
        <v>14</v>
      </c>
      <c r="L707" s="2" t="s">
        <v>88</v>
      </c>
      <c r="M707" s="2" t="s">
        <v>24</v>
      </c>
    </row>
    <row r="708" spans="1:13" x14ac:dyDescent="0.3">
      <c r="A708" s="21">
        <v>14013159310</v>
      </c>
      <c r="B708" s="2" t="s">
        <v>1226</v>
      </c>
      <c r="C708" s="2" t="s">
        <v>833</v>
      </c>
      <c r="D708" s="2" t="s">
        <v>1227</v>
      </c>
      <c r="E708" s="2" t="s">
        <v>11</v>
      </c>
      <c r="F708" s="2"/>
      <c r="G708" s="2" t="s">
        <v>1160</v>
      </c>
      <c r="H708" s="2"/>
      <c r="I708" s="4">
        <v>44757</v>
      </c>
      <c r="J708" s="2" t="s">
        <v>13</v>
      </c>
      <c r="K708" s="2" t="s">
        <v>14</v>
      </c>
      <c r="L708" s="2" t="s">
        <v>88</v>
      </c>
      <c r="M708" s="2" t="s">
        <v>24</v>
      </c>
    </row>
    <row r="709" spans="1:13" x14ac:dyDescent="0.3">
      <c r="A709" s="21" t="s">
        <v>1228</v>
      </c>
      <c r="B709" s="2" t="s">
        <v>1229</v>
      </c>
      <c r="C709" s="2" t="s">
        <v>833</v>
      </c>
      <c r="D709" s="2" t="s">
        <v>1230</v>
      </c>
      <c r="E709" s="2" t="s">
        <v>37</v>
      </c>
      <c r="F709" s="2" t="s">
        <v>1231</v>
      </c>
      <c r="G709" s="2" t="s">
        <v>1160</v>
      </c>
      <c r="H709" s="2"/>
      <c r="I709" s="4">
        <v>44757</v>
      </c>
      <c r="J709" s="2" t="s">
        <v>13</v>
      </c>
      <c r="K709" s="2" t="s">
        <v>14</v>
      </c>
      <c r="L709" s="2" t="s">
        <v>88</v>
      </c>
      <c r="M709" s="2" t="s">
        <v>24</v>
      </c>
    </row>
    <row r="710" spans="1:13" x14ac:dyDescent="0.3">
      <c r="A710" s="21" t="s">
        <v>1232</v>
      </c>
      <c r="B710" s="2" t="s">
        <v>1233</v>
      </c>
      <c r="C710" s="2" t="s">
        <v>833</v>
      </c>
      <c r="D710" s="2" t="s">
        <v>1234</v>
      </c>
      <c r="E710" s="2" t="s">
        <v>11</v>
      </c>
      <c r="F710" s="2"/>
      <c r="G710" s="2" t="s">
        <v>1160</v>
      </c>
      <c r="H710" s="2"/>
      <c r="I710" s="4">
        <v>44757</v>
      </c>
      <c r="J710" s="2" t="s">
        <v>13</v>
      </c>
      <c r="K710" s="2" t="s">
        <v>14</v>
      </c>
      <c r="L710" s="2" t="s">
        <v>88</v>
      </c>
      <c r="M710" s="2" t="s">
        <v>16</v>
      </c>
    </row>
    <row r="711" spans="1:13" x14ac:dyDescent="0.3">
      <c r="A711" s="21" t="s">
        <v>1235</v>
      </c>
      <c r="B711" s="2" t="s">
        <v>1236</v>
      </c>
      <c r="C711" s="2" t="s">
        <v>833</v>
      </c>
      <c r="D711" s="2" t="s">
        <v>1237</v>
      </c>
      <c r="E711" s="2" t="s">
        <v>342</v>
      </c>
      <c r="F711" s="2"/>
      <c r="G711" s="2" t="s">
        <v>363</v>
      </c>
      <c r="H711" s="2"/>
      <c r="I711" s="4">
        <v>44761</v>
      </c>
      <c r="J711" s="2" t="s">
        <v>13</v>
      </c>
      <c r="K711" s="2" t="s">
        <v>14</v>
      </c>
      <c r="L711" s="2" t="s">
        <v>88</v>
      </c>
      <c r="M711" s="2" t="s">
        <v>16</v>
      </c>
    </row>
    <row r="712" spans="1:13" x14ac:dyDescent="0.3">
      <c r="A712" s="21" t="s">
        <v>1238</v>
      </c>
      <c r="B712" s="2" t="s">
        <v>1239</v>
      </c>
      <c r="C712" s="2" t="s">
        <v>833</v>
      </c>
      <c r="D712" s="2" t="s">
        <v>1240</v>
      </c>
      <c r="E712" s="2" t="s">
        <v>342</v>
      </c>
      <c r="F712" s="2"/>
      <c r="G712" s="2" t="s">
        <v>363</v>
      </c>
      <c r="H712" s="2"/>
      <c r="I712" s="4">
        <v>44761</v>
      </c>
      <c r="J712" s="2" t="s">
        <v>13</v>
      </c>
      <c r="K712" s="2" t="s">
        <v>14</v>
      </c>
      <c r="L712" s="2" t="s">
        <v>88</v>
      </c>
      <c r="M712" s="2" t="s">
        <v>16</v>
      </c>
    </row>
    <row r="713" spans="1:13" x14ac:dyDescent="0.3">
      <c r="A713" s="21" t="s">
        <v>1241</v>
      </c>
      <c r="B713" s="2" t="s">
        <v>1242</v>
      </c>
      <c r="C713" s="2" t="s">
        <v>833</v>
      </c>
      <c r="D713" s="2" t="s">
        <v>1243</v>
      </c>
      <c r="E713" s="2" t="s">
        <v>342</v>
      </c>
      <c r="F713" s="2"/>
      <c r="G713" s="2" t="s">
        <v>363</v>
      </c>
      <c r="H713" s="2"/>
      <c r="I713" s="4">
        <v>44761</v>
      </c>
      <c r="J713" s="2" t="s">
        <v>13</v>
      </c>
      <c r="K713" s="2" t="s">
        <v>14</v>
      </c>
      <c r="L713" s="2" t="s">
        <v>88</v>
      </c>
      <c r="M713" s="2" t="s">
        <v>16</v>
      </c>
    </row>
    <row r="714" spans="1:13" x14ac:dyDescent="0.3">
      <c r="A714" s="21" t="s">
        <v>1244</v>
      </c>
      <c r="B714" s="2" t="s">
        <v>1245</v>
      </c>
      <c r="C714" s="2" t="s">
        <v>833</v>
      </c>
      <c r="D714" s="2" t="s">
        <v>1246</v>
      </c>
      <c r="E714" s="2" t="s">
        <v>342</v>
      </c>
      <c r="F714" s="2"/>
      <c r="G714" s="2" t="s">
        <v>363</v>
      </c>
      <c r="H714" s="2"/>
      <c r="I714" s="4">
        <v>44761</v>
      </c>
      <c r="J714" s="2" t="s">
        <v>13</v>
      </c>
      <c r="K714" s="2" t="s">
        <v>14</v>
      </c>
      <c r="L714" s="2" t="s">
        <v>88</v>
      </c>
      <c r="M714" s="2" t="s">
        <v>16</v>
      </c>
    </row>
    <row r="715" spans="1:13" x14ac:dyDescent="0.3">
      <c r="A715" s="21" t="s">
        <v>1247</v>
      </c>
      <c r="B715" s="2" t="s">
        <v>1248</v>
      </c>
      <c r="C715" s="2" t="s">
        <v>833</v>
      </c>
      <c r="D715" s="2" t="s">
        <v>1249</v>
      </c>
      <c r="E715" s="2" t="s">
        <v>342</v>
      </c>
      <c r="F715" s="2"/>
      <c r="G715" s="2" t="s">
        <v>363</v>
      </c>
      <c r="H715" s="2"/>
      <c r="I715" s="4">
        <v>44761</v>
      </c>
      <c r="J715" s="2" t="s">
        <v>13</v>
      </c>
      <c r="K715" s="2" t="s">
        <v>14</v>
      </c>
      <c r="L715" s="2" t="s">
        <v>88</v>
      </c>
      <c r="M715" s="2" t="s">
        <v>16</v>
      </c>
    </row>
    <row r="716" spans="1:13" x14ac:dyDescent="0.3">
      <c r="A716" s="21" t="s">
        <v>1250</v>
      </c>
      <c r="B716" s="2" t="s">
        <v>1251</v>
      </c>
      <c r="C716" s="2" t="s">
        <v>833</v>
      </c>
      <c r="D716" s="2" t="s">
        <v>1252</v>
      </c>
      <c r="E716" s="2" t="s">
        <v>342</v>
      </c>
      <c r="F716" s="2"/>
      <c r="G716" s="2" t="s">
        <v>543</v>
      </c>
      <c r="H716" s="2"/>
      <c r="I716" s="4">
        <v>44761</v>
      </c>
      <c r="J716" s="2" t="s">
        <v>13</v>
      </c>
      <c r="K716" s="2" t="s">
        <v>14</v>
      </c>
      <c r="L716" s="2" t="s">
        <v>88</v>
      </c>
      <c r="M716" s="2" t="s">
        <v>16</v>
      </c>
    </row>
    <row r="717" spans="1:13" x14ac:dyDescent="0.3">
      <c r="A717" s="21" t="s">
        <v>1253</v>
      </c>
      <c r="B717" s="2" t="s">
        <v>1254</v>
      </c>
      <c r="C717" s="2" t="s">
        <v>833</v>
      </c>
      <c r="D717" s="2" t="s">
        <v>1255</v>
      </c>
      <c r="E717" s="2" t="s">
        <v>342</v>
      </c>
      <c r="F717" s="2"/>
      <c r="G717" s="2" t="s">
        <v>543</v>
      </c>
      <c r="H717" s="2"/>
      <c r="I717" s="4">
        <v>44761</v>
      </c>
      <c r="J717" s="2" t="s">
        <v>13</v>
      </c>
      <c r="K717" s="2" t="s">
        <v>14</v>
      </c>
      <c r="L717" s="2" t="s">
        <v>88</v>
      </c>
      <c r="M717" s="2" t="s">
        <v>16</v>
      </c>
    </row>
    <row r="718" spans="1:13" x14ac:dyDescent="0.3">
      <c r="A718" s="21" t="s">
        <v>1256</v>
      </c>
      <c r="B718" s="2" t="s">
        <v>1257</v>
      </c>
      <c r="C718" s="2" t="s">
        <v>833</v>
      </c>
      <c r="D718" s="2" t="s">
        <v>1258</v>
      </c>
      <c r="E718" s="2" t="s">
        <v>342</v>
      </c>
      <c r="F718" s="2"/>
      <c r="G718" s="2" t="s">
        <v>543</v>
      </c>
      <c r="H718" s="2"/>
      <c r="I718" s="4">
        <v>44761</v>
      </c>
      <c r="J718" s="2" t="s">
        <v>13</v>
      </c>
      <c r="K718" s="2" t="s">
        <v>14</v>
      </c>
      <c r="L718" s="2" t="s">
        <v>88</v>
      </c>
      <c r="M718" s="2" t="s">
        <v>16</v>
      </c>
    </row>
    <row r="719" spans="1:13" x14ac:dyDescent="0.3">
      <c r="A719" s="21" t="s">
        <v>1259</v>
      </c>
      <c r="B719" s="2" t="s">
        <v>1260</v>
      </c>
      <c r="C719" s="2" t="s">
        <v>833</v>
      </c>
      <c r="D719" s="2" t="s">
        <v>1261</v>
      </c>
      <c r="E719" s="2" t="s">
        <v>342</v>
      </c>
      <c r="F719" s="2"/>
      <c r="G719" s="2" t="s">
        <v>543</v>
      </c>
      <c r="H719" s="2"/>
      <c r="I719" s="4">
        <v>44761</v>
      </c>
      <c r="J719" s="2" t="s">
        <v>13</v>
      </c>
      <c r="K719" s="2" t="s">
        <v>14</v>
      </c>
      <c r="L719" s="2" t="s">
        <v>88</v>
      </c>
      <c r="M719" s="2" t="s">
        <v>16</v>
      </c>
    </row>
    <row r="720" spans="1:13" x14ac:dyDescent="0.3">
      <c r="A720" s="21">
        <v>14013156842</v>
      </c>
      <c r="B720" s="2" t="s">
        <v>1262</v>
      </c>
      <c r="C720" s="2" t="s">
        <v>833</v>
      </c>
      <c r="D720" s="2" t="s">
        <v>1263</v>
      </c>
      <c r="E720" s="2" t="s">
        <v>342</v>
      </c>
      <c r="F720" s="2"/>
      <c r="G720" s="2" t="s">
        <v>543</v>
      </c>
      <c r="H720" s="2"/>
      <c r="I720" s="4">
        <v>44761</v>
      </c>
      <c r="J720" s="2" t="s">
        <v>13</v>
      </c>
      <c r="K720" s="2" t="s">
        <v>14</v>
      </c>
      <c r="L720" s="2" t="s">
        <v>88</v>
      </c>
      <c r="M720" s="2" t="s">
        <v>16</v>
      </c>
    </row>
    <row r="721" spans="1:13" x14ac:dyDescent="0.3">
      <c r="A721" s="21">
        <v>14013156846</v>
      </c>
      <c r="B721" s="2" t="s">
        <v>1264</v>
      </c>
      <c r="C721" s="2" t="s">
        <v>833</v>
      </c>
      <c r="D721" s="2" t="s">
        <v>1265</v>
      </c>
      <c r="E721" s="2" t="s">
        <v>342</v>
      </c>
      <c r="F721" s="2"/>
      <c r="G721" s="2" t="s">
        <v>543</v>
      </c>
      <c r="H721" s="2"/>
      <c r="I721" s="4">
        <v>44761</v>
      </c>
      <c r="J721" s="2" t="s">
        <v>13</v>
      </c>
      <c r="K721" s="2" t="s">
        <v>14</v>
      </c>
      <c r="L721" s="2" t="s">
        <v>88</v>
      </c>
      <c r="M721" s="2" t="s">
        <v>21</v>
      </c>
    </row>
    <row r="722" spans="1:13" x14ac:dyDescent="0.3">
      <c r="A722" s="21" t="s">
        <v>1266</v>
      </c>
      <c r="B722" s="2" t="s">
        <v>1267</v>
      </c>
      <c r="C722" s="2" t="s">
        <v>833</v>
      </c>
      <c r="D722" s="2" t="s">
        <v>1268</v>
      </c>
      <c r="E722" s="2" t="s">
        <v>342</v>
      </c>
      <c r="F722" s="2"/>
      <c r="G722" s="2" t="s">
        <v>543</v>
      </c>
      <c r="H722" s="2"/>
      <c r="I722" s="4">
        <v>44761</v>
      </c>
      <c r="J722" s="2" t="s">
        <v>13</v>
      </c>
      <c r="K722" s="2" t="s">
        <v>14</v>
      </c>
      <c r="L722" s="2" t="s">
        <v>88</v>
      </c>
      <c r="M722" s="2" t="s">
        <v>16</v>
      </c>
    </row>
    <row r="723" spans="1:13" x14ac:dyDescent="0.3">
      <c r="A723" s="21" t="s">
        <v>1269</v>
      </c>
      <c r="B723" s="2" t="s">
        <v>1270</v>
      </c>
      <c r="C723" s="2" t="s">
        <v>833</v>
      </c>
      <c r="D723" s="2" t="s">
        <v>1271</v>
      </c>
      <c r="E723" s="2" t="s">
        <v>11</v>
      </c>
      <c r="F723" s="2"/>
      <c r="G723" s="2" t="s">
        <v>1160</v>
      </c>
      <c r="H723" s="2"/>
      <c r="I723" s="4">
        <v>44757</v>
      </c>
      <c r="J723" s="2" t="s">
        <v>192</v>
      </c>
      <c r="K723" s="2" t="s">
        <v>14</v>
      </c>
      <c r="L723" s="2" t="s">
        <v>88</v>
      </c>
      <c r="M723" s="2" t="s">
        <v>16</v>
      </c>
    </row>
    <row r="724" spans="1:13" x14ac:dyDescent="0.3">
      <c r="A724" s="21" t="s">
        <v>1272</v>
      </c>
      <c r="B724" s="2" t="s">
        <v>1273</v>
      </c>
      <c r="C724" s="2" t="s">
        <v>833</v>
      </c>
      <c r="D724" s="2" t="s">
        <v>1274</v>
      </c>
      <c r="E724" s="2" t="s">
        <v>342</v>
      </c>
      <c r="F724" s="2"/>
      <c r="G724" s="2" t="s">
        <v>543</v>
      </c>
      <c r="H724" s="2"/>
      <c r="I724" s="4">
        <v>44761</v>
      </c>
      <c r="J724" s="2" t="s">
        <v>13</v>
      </c>
      <c r="K724" s="2" t="s">
        <v>14</v>
      </c>
      <c r="L724" s="2" t="s">
        <v>88</v>
      </c>
      <c r="M724" s="2" t="s">
        <v>16</v>
      </c>
    </row>
    <row r="725" spans="1:13" x14ac:dyDescent="0.3">
      <c r="A725" s="21" t="s">
        <v>1275</v>
      </c>
      <c r="B725" s="2" t="s">
        <v>1276</v>
      </c>
      <c r="C725" s="2" t="s">
        <v>833</v>
      </c>
      <c r="D725" s="2" t="s">
        <v>1277</v>
      </c>
      <c r="E725" s="2" t="s">
        <v>11</v>
      </c>
      <c r="F725" s="2"/>
      <c r="G725" s="2" t="s">
        <v>1160</v>
      </c>
      <c r="H725" s="2"/>
      <c r="I725" s="4">
        <v>44757</v>
      </c>
      <c r="J725" s="2" t="s">
        <v>13</v>
      </c>
      <c r="K725" s="2" t="s">
        <v>14</v>
      </c>
      <c r="L725" s="2" t="s">
        <v>88</v>
      </c>
      <c r="M725" s="2" t="s">
        <v>16</v>
      </c>
    </row>
    <row r="726" spans="1:13" x14ac:dyDescent="0.3">
      <c r="A726" s="21" t="s">
        <v>1278</v>
      </c>
      <c r="B726" s="2" t="s">
        <v>1279</v>
      </c>
      <c r="C726" s="2" t="s">
        <v>833</v>
      </c>
      <c r="D726" s="2" t="s">
        <v>1280</v>
      </c>
      <c r="E726" s="2" t="s">
        <v>342</v>
      </c>
      <c r="F726" s="15"/>
      <c r="G726" s="2" t="s">
        <v>543</v>
      </c>
      <c r="H726" s="2"/>
      <c r="I726" s="4">
        <v>44761</v>
      </c>
      <c r="J726" s="2" t="s">
        <v>13</v>
      </c>
      <c r="K726" s="2" t="s">
        <v>14</v>
      </c>
      <c r="L726" s="2" t="s">
        <v>88</v>
      </c>
      <c r="M726" s="2" t="s">
        <v>16</v>
      </c>
    </row>
    <row r="727" spans="1:13" x14ac:dyDescent="0.3">
      <c r="A727" s="21" t="s">
        <v>1281</v>
      </c>
      <c r="B727" s="2" t="s">
        <v>1282</v>
      </c>
      <c r="C727" s="2" t="s">
        <v>833</v>
      </c>
      <c r="D727" s="2" t="s">
        <v>1283</v>
      </c>
      <c r="E727" s="2" t="s">
        <v>11</v>
      </c>
      <c r="F727" s="2"/>
      <c r="G727" s="2" t="s">
        <v>1160</v>
      </c>
      <c r="H727" s="2"/>
      <c r="I727" s="4">
        <v>44757</v>
      </c>
      <c r="J727" s="2" t="s">
        <v>13</v>
      </c>
      <c r="K727" s="2" t="s">
        <v>14</v>
      </c>
      <c r="L727" s="2" t="s">
        <v>88</v>
      </c>
      <c r="M727" s="2" t="s">
        <v>16</v>
      </c>
    </row>
    <row r="728" spans="1:13" x14ac:dyDescent="0.3">
      <c r="A728" s="21" t="s">
        <v>1284</v>
      </c>
      <c r="B728" s="2" t="s">
        <v>1285</v>
      </c>
      <c r="C728" s="2" t="s">
        <v>833</v>
      </c>
      <c r="D728" s="2" t="s">
        <v>1286</v>
      </c>
      <c r="E728" s="2" t="s">
        <v>342</v>
      </c>
      <c r="F728" s="2"/>
      <c r="G728" s="2" t="s">
        <v>543</v>
      </c>
      <c r="H728" s="2"/>
      <c r="I728" s="4">
        <v>44761</v>
      </c>
      <c r="J728" s="2" t="s">
        <v>13</v>
      </c>
      <c r="K728" s="2" t="s">
        <v>14</v>
      </c>
      <c r="L728" s="2" t="s">
        <v>88</v>
      </c>
      <c r="M728" s="2" t="s">
        <v>16</v>
      </c>
    </row>
    <row r="729" spans="1:13" x14ac:dyDescent="0.3">
      <c r="A729" s="21" t="s">
        <v>1287</v>
      </c>
      <c r="B729" s="2" t="s">
        <v>1288</v>
      </c>
      <c r="C729" s="2" t="s">
        <v>833</v>
      </c>
      <c r="D729" s="2" t="s">
        <v>1289</v>
      </c>
      <c r="E729" s="2" t="s">
        <v>11</v>
      </c>
      <c r="F729" s="2"/>
      <c r="G729" s="2" t="s">
        <v>1160</v>
      </c>
      <c r="H729" s="2"/>
      <c r="I729" s="4">
        <v>44757</v>
      </c>
      <c r="J729" s="2" t="s">
        <v>13</v>
      </c>
      <c r="K729" s="2" t="s">
        <v>14</v>
      </c>
      <c r="L729" s="2" t="s">
        <v>88</v>
      </c>
      <c r="M729" s="2" t="s">
        <v>16</v>
      </c>
    </row>
    <row r="730" spans="1:13" x14ac:dyDescent="0.3">
      <c r="A730" s="21" t="s">
        <v>1290</v>
      </c>
      <c r="B730" s="2" t="s">
        <v>1291</v>
      </c>
      <c r="C730" s="2" t="s">
        <v>833</v>
      </c>
      <c r="D730" s="2" t="s">
        <v>1292</v>
      </c>
      <c r="E730" s="2" t="s">
        <v>11</v>
      </c>
      <c r="F730" s="2"/>
      <c r="G730" s="2" t="s">
        <v>1160</v>
      </c>
      <c r="H730" s="2"/>
      <c r="I730" s="4">
        <v>44757</v>
      </c>
      <c r="J730" s="2" t="s">
        <v>13</v>
      </c>
      <c r="K730" s="2" t="s">
        <v>14</v>
      </c>
      <c r="L730" s="2" t="s">
        <v>88</v>
      </c>
      <c r="M730" s="2" t="s">
        <v>16</v>
      </c>
    </row>
    <row r="731" spans="1:13" x14ac:dyDescent="0.3">
      <c r="A731" s="21" t="s">
        <v>1293</v>
      </c>
      <c r="B731" s="2" t="s">
        <v>1294</v>
      </c>
      <c r="C731" s="2" t="s">
        <v>833</v>
      </c>
      <c r="D731" s="2" t="s">
        <v>1295</v>
      </c>
      <c r="E731" s="2" t="s">
        <v>342</v>
      </c>
      <c r="F731" s="2"/>
      <c r="G731" s="2" t="s">
        <v>543</v>
      </c>
      <c r="H731" s="2"/>
      <c r="I731" s="4">
        <v>44761</v>
      </c>
      <c r="J731" s="2" t="s">
        <v>13</v>
      </c>
      <c r="K731" s="2" t="s">
        <v>14</v>
      </c>
      <c r="L731" s="2" t="s">
        <v>88</v>
      </c>
      <c r="M731" s="2" t="s">
        <v>16</v>
      </c>
    </row>
    <row r="732" spans="1:13" x14ac:dyDescent="0.3">
      <c r="A732" s="21" t="s">
        <v>1296</v>
      </c>
      <c r="B732" s="2" t="s">
        <v>1297</v>
      </c>
      <c r="C732" s="2" t="s">
        <v>833</v>
      </c>
      <c r="D732" s="2" t="s">
        <v>1298</v>
      </c>
      <c r="E732" s="2" t="s">
        <v>11</v>
      </c>
      <c r="F732" s="2"/>
      <c r="G732" s="2" t="s">
        <v>1160</v>
      </c>
      <c r="H732" s="2"/>
      <c r="I732" s="4">
        <v>44757</v>
      </c>
      <c r="J732" s="2" t="s">
        <v>13</v>
      </c>
      <c r="K732" s="2" t="s">
        <v>14</v>
      </c>
      <c r="L732" s="2" t="s">
        <v>88</v>
      </c>
      <c r="M732" s="2" t="s">
        <v>16</v>
      </c>
    </row>
    <row r="733" spans="1:13" x14ac:dyDescent="0.3">
      <c r="A733" s="21" t="s">
        <v>1299</v>
      </c>
      <c r="B733" s="2" t="s">
        <v>1300</v>
      </c>
      <c r="C733" s="2" t="s">
        <v>833</v>
      </c>
      <c r="D733" s="2" t="s">
        <v>1301</v>
      </c>
      <c r="E733" s="2" t="s">
        <v>37</v>
      </c>
      <c r="F733" s="2"/>
      <c r="G733" s="2"/>
      <c r="H733" s="2"/>
      <c r="I733" s="4"/>
      <c r="J733" s="2" t="s">
        <v>13</v>
      </c>
      <c r="K733" s="2" t="s">
        <v>14</v>
      </c>
      <c r="L733" s="2" t="s">
        <v>88</v>
      </c>
      <c r="M733" s="2" t="s">
        <v>16</v>
      </c>
    </row>
    <row r="734" spans="1:13" x14ac:dyDescent="0.3">
      <c r="A734" s="21" t="s">
        <v>1302</v>
      </c>
      <c r="B734" s="2" t="s">
        <v>1303</v>
      </c>
      <c r="C734" s="2" t="s">
        <v>833</v>
      </c>
      <c r="D734" s="2" t="s">
        <v>1304</v>
      </c>
      <c r="E734" s="2" t="s">
        <v>37</v>
      </c>
      <c r="F734" s="2"/>
      <c r="G734" s="2"/>
      <c r="H734" s="2"/>
      <c r="I734" s="4"/>
      <c r="J734" s="2" t="s">
        <v>13</v>
      </c>
      <c r="K734" s="2" t="s">
        <v>14</v>
      </c>
      <c r="L734" s="2" t="s">
        <v>88</v>
      </c>
      <c r="M734" s="2" t="s">
        <v>16</v>
      </c>
    </row>
    <row r="735" spans="1:13" x14ac:dyDescent="0.3">
      <c r="A735" s="21" t="s">
        <v>1305</v>
      </c>
      <c r="B735" s="2" t="s">
        <v>1306</v>
      </c>
      <c r="C735" s="2" t="s">
        <v>833</v>
      </c>
      <c r="D735" s="2" t="s">
        <v>1307</v>
      </c>
      <c r="E735" s="2" t="s">
        <v>342</v>
      </c>
      <c r="F735" s="2"/>
      <c r="G735" s="2" t="s">
        <v>543</v>
      </c>
      <c r="H735" s="2"/>
      <c r="I735" s="4">
        <v>44761</v>
      </c>
      <c r="J735" s="2" t="s">
        <v>13</v>
      </c>
      <c r="K735" s="2" t="s">
        <v>14</v>
      </c>
      <c r="L735" s="2" t="s">
        <v>88</v>
      </c>
      <c r="M735" s="2" t="s">
        <v>16</v>
      </c>
    </row>
    <row r="736" spans="1:13" x14ac:dyDescent="0.3">
      <c r="A736" s="21" t="s">
        <v>1308</v>
      </c>
      <c r="B736" s="2" t="s">
        <v>1309</v>
      </c>
      <c r="C736" s="2" t="s">
        <v>833</v>
      </c>
      <c r="D736" s="2" t="s">
        <v>1310</v>
      </c>
      <c r="E736" s="2" t="s">
        <v>342</v>
      </c>
      <c r="F736" s="2"/>
      <c r="G736" s="2" t="s">
        <v>543</v>
      </c>
      <c r="H736" s="2"/>
      <c r="I736" s="4">
        <v>44761</v>
      </c>
      <c r="J736" s="2" t="s">
        <v>13</v>
      </c>
      <c r="K736" s="2" t="s">
        <v>14</v>
      </c>
      <c r="L736" s="2" t="s">
        <v>88</v>
      </c>
      <c r="M736" s="2" t="s">
        <v>16</v>
      </c>
    </row>
    <row r="737" spans="1:14" x14ac:dyDescent="0.3">
      <c r="A737" s="21" t="s">
        <v>1311</v>
      </c>
      <c r="B737" s="2" t="s">
        <v>1312</v>
      </c>
      <c r="C737" s="2" t="s">
        <v>833</v>
      </c>
      <c r="D737" s="2" t="s">
        <v>1313</v>
      </c>
      <c r="E737" s="2" t="s">
        <v>342</v>
      </c>
      <c r="F737" s="2"/>
      <c r="G737" s="2" t="s">
        <v>543</v>
      </c>
      <c r="H737" s="2"/>
      <c r="I737" s="4">
        <v>44761</v>
      </c>
      <c r="J737" s="2" t="s">
        <v>13</v>
      </c>
      <c r="K737" s="2" t="s">
        <v>14</v>
      </c>
      <c r="L737" s="2" t="s">
        <v>88</v>
      </c>
      <c r="M737" s="2" t="s">
        <v>16</v>
      </c>
    </row>
    <row r="738" spans="1:14" x14ac:dyDescent="0.3">
      <c r="A738" s="21" t="s">
        <v>1314</v>
      </c>
      <c r="B738" s="2" t="s">
        <v>1315</v>
      </c>
      <c r="C738" s="2" t="s">
        <v>833</v>
      </c>
      <c r="D738" s="2" t="s">
        <v>1316</v>
      </c>
      <c r="E738" s="2" t="s">
        <v>342</v>
      </c>
      <c r="F738" s="2"/>
      <c r="G738" s="2" t="s">
        <v>543</v>
      </c>
      <c r="H738" s="2"/>
      <c r="I738" s="4">
        <v>44761</v>
      </c>
      <c r="J738" s="2" t="s">
        <v>13</v>
      </c>
      <c r="K738" s="2" t="s">
        <v>14</v>
      </c>
      <c r="L738" s="2" t="s">
        <v>88</v>
      </c>
      <c r="M738" s="2" t="s">
        <v>16</v>
      </c>
    </row>
    <row r="739" spans="1:14" x14ac:dyDescent="0.3">
      <c r="A739" s="21" t="s">
        <v>1317</v>
      </c>
      <c r="B739" s="2" t="s">
        <v>1318</v>
      </c>
      <c r="C739" s="2" t="s">
        <v>833</v>
      </c>
      <c r="D739" s="2" t="s">
        <v>1319</v>
      </c>
      <c r="E739" s="2" t="s">
        <v>342</v>
      </c>
      <c r="F739" s="2"/>
      <c r="G739" s="2" t="s">
        <v>543</v>
      </c>
      <c r="H739" s="2"/>
      <c r="I739" s="4">
        <v>44761</v>
      </c>
      <c r="J739" s="2" t="s">
        <v>13</v>
      </c>
      <c r="K739" s="2" t="s">
        <v>14</v>
      </c>
      <c r="L739" s="2" t="s">
        <v>88</v>
      </c>
      <c r="M739" s="2" t="s">
        <v>16</v>
      </c>
    </row>
    <row r="740" spans="1:14" x14ac:dyDescent="0.3">
      <c r="A740" s="22" t="str">
        <f>HYPERLINK("https://hsdes.intel.com/resource/14013118179","14013118179")</f>
        <v>14013118179</v>
      </c>
      <c r="B740" s="7" t="s">
        <v>1320</v>
      </c>
      <c r="C740" s="2" t="s">
        <v>833</v>
      </c>
      <c r="D740" s="7" t="s">
        <v>1321</v>
      </c>
      <c r="E740" s="7" t="s">
        <v>37</v>
      </c>
      <c r="F740" s="7" t="s">
        <v>675</v>
      </c>
      <c r="G740" s="7" t="s">
        <v>363</v>
      </c>
      <c r="H740" s="7"/>
      <c r="I740" s="10">
        <v>44760</v>
      </c>
      <c r="J740" s="7" t="s">
        <v>192</v>
      </c>
      <c r="K740" s="7" t="s">
        <v>1322</v>
      </c>
      <c r="L740" s="7" t="s">
        <v>291</v>
      </c>
      <c r="M740" s="7" t="s">
        <v>21</v>
      </c>
      <c r="N740" s="23"/>
    </row>
    <row r="741" spans="1:14" x14ac:dyDescent="0.3">
      <c r="A741" s="22" t="str">
        <f>HYPERLINK("https://hsdes.intel.com/resource/14013158378","14013158378")</f>
        <v>14013158378</v>
      </c>
      <c r="B741" s="7" t="s">
        <v>1323</v>
      </c>
      <c r="C741" s="2" t="s">
        <v>833</v>
      </c>
      <c r="D741" s="7" t="s">
        <v>1324</v>
      </c>
      <c r="E741" s="7" t="s">
        <v>37</v>
      </c>
      <c r="F741" s="7" t="s">
        <v>675</v>
      </c>
      <c r="G741" s="7" t="s">
        <v>363</v>
      </c>
      <c r="H741" s="7"/>
      <c r="I741" s="7"/>
      <c r="J741" s="7" t="s">
        <v>192</v>
      </c>
      <c r="K741" s="7" t="s">
        <v>290</v>
      </c>
      <c r="L741" s="7" t="s">
        <v>291</v>
      </c>
      <c r="M741" s="7" t="s">
        <v>24</v>
      </c>
      <c r="N741" s="23"/>
    </row>
    <row r="742" spans="1:14" x14ac:dyDescent="0.3">
      <c r="A742" s="22">
        <v>14013156788</v>
      </c>
      <c r="B742" s="7" t="s">
        <v>3635</v>
      </c>
      <c r="C742" s="2" t="s">
        <v>833</v>
      </c>
      <c r="D742" s="7" t="s">
        <v>1326</v>
      </c>
      <c r="E742" s="2" t="s">
        <v>470</v>
      </c>
      <c r="F742" s="48" t="s">
        <v>3643</v>
      </c>
      <c r="G742" s="7" t="s">
        <v>719</v>
      </c>
      <c r="H742" s="2" t="s">
        <v>841</v>
      </c>
      <c r="I742" s="7"/>
      <c r="J742" s="7" t="s">
        <v>13</v>
      </c>
      <c r="K742" s="7" t="s">
        <v>523</v>
      </c>
      <c r="L742" s="7" t="s">
        <v>660</v>
      </c>
      <c r="M742" s="7" t="s">
        <v>24</v>
      </c>
    </row>
    <row r="743" spans="1:14" x14ac:dyDescent="0.3">
      <c r="A743" s="22" t="s">
        <v>1327</v>
      </c>
      <c r="B743" s="7" t="s">
        <v>1328</v>
      </c>
      <c r="C743" s="2" t="s">
        <v>833</v>
      </c>
      <c r="D743" s="7" t="s">
        <v>1329</v>
      </c>
      <c r="E743" s="7" t="s">
        <v>87</v>
      </c>
      <c r="F743" s="7" t="s">
        <v>1330</v>
      </c>
      <c r="G743" s="2" t="s">
        <v>543</v>
      </c>
      <c r="H743" s="2"/>
      <c r="I743" s="10">
        <v>44763</v>
      </c>
      <c r="J743" s="7" t="s">
        <v>13</v>
      </c>
      <c r="K743" s="7" t="s">
        <v>14</v>
      </c>
      <c r="L743" s="7" t="s">
        <v>660</v>
      </c>
      <c r="M743" s="7" t="s">
        <v>16</v>
      </c>
    </row>
    <row r="744" spans="1:14" x14ac:dyDescent="0.3">
      <c r="A744" s="22" t="s">
        <v>1331</v>
      </c>
      <c r="B744" s="7" t="s">
        <v>1332</v>
      </c>
      <c r="C744" s="2" t="s">
        <v>833</v>
      </c>
      <c r="D744" s="7" t="s">
        <v>1333</v>
      </c>
      <c r="E744" s="7" t="s">
        <v>87</v>
      </c>
      <c r="F744" s="7" t="s">
        <v>1330</v>
      </c>
      <c r="G744" s="2" t="s">
        <v>543</v>
      </c>
      <c r="H744" s="2"/>
      <c r="I744" s="10">
        <v>44763</v>
      </c>
      <c r="J744" s="7" t="s">
        <v>13</v>
      </c>
      <c r="K744" s="7" t="s">
        <v>1334</v>
      </c>
      <c r="L744" s="7" t="s">
        <v>660</v>
      </c>
      <c r="M744" s="7" t="s">
        <v>16</v>
      </c>
    </row>
    <row r="745" spans="1:14" x14ac:dyDescent="0.3">
      <c r="A745" s="22" t="s">
        <v>1335</v>
      </c>
      <c r="B745" s="7" t="s">
        <v>1336</v>
      </c>
      <c r="C745" s="2" t="s">
        <v>833</v>
      </c>
      <c r="D745" s="7" t="s">
        <v>1337</v>
      </c>
      <c r="E745" s="7" t="s">
        <v>342</v>
      </c>
      <c r="F745" s="7"/>
      <c r="G745" s="7" t="s">
        <v>543</v>
      </c>
      <c r="H745" s="7"/>
      <c r="I745" s="10">
        <v>44762</v>
      </c>
      <c r="J745" s="7" t="s">
        <v>13</v>
      </c>
      <c r="K745" s="7" t="s">
        <v>14</v>
      </c>
      <c r="L745" s="7" t="s">
        <v>88</v>
      </c>
      <c r="M745" s="7" t="s">
        <v>16</v>
      </c>
    </row>
    <row r="746" spans="1:14" x14ac:dyDescent="0.3">
      <c r="A746" s="22" t="s">
        <v>1338</v>
      </c>
      <c r="B746" s="7" t="s">
        <v>1339</v>
      </c>
      <c r="C746" s="2" t="s">
        <v>833</v>
      </c>
      <c r="D746" s="7" t="s">
        <v>1340</v>
      </c>
      <c r="E746" s="7" t="s">
        <v>342</v>
      </c>
      <c r="F746" s="7"/>
      <c r="G746" s="7" t="s">
        <v>363</v>
      </c>
      <c r="H746" s="7"/>
      <c r="I746" s="10">
        <v>44762</v>
      </c>
      <c r="J746" s="7" t="s">
        <v>13</v>
      </c>
      <c r="K746" s="7" t="s">
        <v>14</v>
      </c>
      <c r="L746" s="7" t="s">
        <v>88</v>
      </c>
      <c r="M746" s="7" t="s">
        <v>16</v>
      </c>
    </row>
    <row r="747" spans="1:14" x14ac:dyDescent="0.3">
      <c r="A747" s="22" t="s">
        <v>1341</v>
      </c>
      <c r="B747" s="7" t="s">
        <v>1342</v>
      </c>
      <c r="C747" s="2" t="s">
        <v>833</v>
      </c>
      <c r="D747" s="7" t="s">
        <v>1343</v>
      </c>
      <c r="E747" s="7" t="s">
        <v>342</v>
      </c>
      <c r="F747" s="7"/>
      <c r="G747" s="7" t="s">
        <v>543</v>
      </c>
      <c r="H747" s="7"/>
      <c r="I747" s="10">
        <v>44761</v>
      </c>
      <c r="J747" s="7" t="s">
        <v>13</v>
      </c>
      <c r="K747" s="7" t="s">
        <v>523</v>
      </c>
      <c r="L747" s="7" t="s">
        <v>660</v>
      </c>
      <c r="M747" s="7" t="s">
        <v>16</v>
      </c>
    </row>
    <row r="748" spans="1:14" x14ac:dyDescent="0.3">
      <c r="A748" s="22" t="s">
        <v>1344</v>
      </c>
      <c r="B748" s="7" t="s">
        <v>1345</v>
      </c>
      <c r="C748" s="2" t="s">
        <v>833</v>
      </c>
      <c r="D748" s="7" t="s">
        <v>1346</v>
      </c>
      <c r="E748" s="7" t="s">
        <v>37</v>
      </c>
      <c r="F748" s="7"/>
      <c r="G748" s="7"/>
      <c r="H748" s="7"/>
      <c r="I748" s="7"/>
      <c r="J748" s="7" t="s">
        <v>13</v>
      </c>
      <c r="K748" s="7" t="s">
        <v>14</v>
      </c>
      <c r="L748" s="7" t="s">
        <v>88</v>
      </c>
      <c r="M748" s="7" t="s">
        <v>24</v>
      </c>
    </row>
    <row r="749" spans="1:14" x14ac:dyDescent="0.3">
      <c r="A749" s="22" t="s">
        <v>1347</v>
      </c>
      <c r="B749" s="7" t="s">
        <v>1348</v>
      </c>
      <c r="C749" s="2" t="s">
        <v>833</v>
      </c>
      <c r="D749" s="7" t="s">
        <v>1349</v>
      </c>
      <c r="E749" s="7" t="s">
        <v>342</v>
      </c>
      <c r="F749" s="7"/>
      <c r="G749" s="7" t="s">
        <v>543</v>
      </c>
      <c r="H749" s="7"/>
      <c r="I749" s="10">
        <v>44763</v>
      </c>
      <c r="J749" s="7" t="s">
        <v>13</v>
      </c>
      <c r="K749" s="7" t="s">
        <v>553</v>
      </c>
      <c r="L749" s="7" t="s">
        <v>88</v>
      </c>
      <c r="M749" s="7" t="s">
        <v>24</v>
      </c>
    </row>
    <row r="750" spans="1:14" x14ac:dyDescent="0.3">
      <c r="A750" s="22" t="s">
        <v>1350</v>
      </c>
      <c r="B750" s="7" t="s">
        <v>1351</v>
      </c>
      <c r="C750" s="2" t="s">
        <v>833</v>
      </c>
      <c r="D750" s="7" t="s">
        <v>1352</v>
      </c>
      <c r="E750" s="7" t="s">
        <v>342</v>
      </c>
      <c r="F750" s="7"/>
      <c r="G750" s="7" t="s">
        <v>543</v>
      </c>
      <c r="H750" s="7"/>
      <c r="I750" s="10">
        <v>44762</v>
      </c>
      <c r="J750" s="7" t="s">
        <v>13</v>
      </c>
      <c r="K750" s="7" t="s">
        <v>1353</v>
      </c>
      <c r="L750" s="7" t="s">
        <v>15</v>
      </c>
      <c r="M750" s="7" t="s">
        <v>16</v>
      </c>
    </row>
    <row r="751" spans="1:14" x14ac:dyDescent="0.3">
      <c r="A751" s="22" t="s">
        <v>1354</v>
      </c>
      <c r="B751" s="7" t="s">
        <v>1355</v>
      </c>
      <c r="C751" s="2" t="s">
        <v>833</v>
      </c>
      <c r="D751" s="7" t="s">
        <v>1356</v>
      </c>
      <c r="E751" s="7" t="s">
        <v>342</v>
      </c>
      <c r="F751" s="7"/>
      <c r="G751" s="7" t="s">
        <v>543</v>
      </c>
      <c r="H751" s="7"/>
      <c r="I751" s="4">
        <v>44763</v>
      </c>
      <c r="J751" s="7" t="s">
        <v>13</v>
      </c>
      <c r="K751" s="7" t="s">
        <v>523</v>
      </c>
      <c r="L751" s="7" t="s">
        <v>660</v>
      </c>
      <c r="M751" s="7" t="s">
        <v>16</v>
      </c>
    </row>
    <row r="752" spans="1:14" x14ac:dyDescent="0.3">
      <c r="A752" s="22" t="s">
        <v>1357</v>
      </c>
      <c r="B752" s="7" t="s">
        <v>1358</v>
      </c>
      <c r="C752" s="2" t="s">
        <v>833</v>
      </c>
      <c r="D752" s="7" t="s">
        <v>1359</v>
      </c>
      <c r="E752" s="7" t="s">
        <v>342</v>
      </c>
      <c r="F752" s="7"/>
      <c r="G752" s="7" t="s">
        <v>543</v>
      </c>
      <c r="H752" s="7"/>
      <c r="I752" s="4">
        <v>44763</v>
      </c>
      <c r="J752" s="7" t="s">
        <v>13</v>
      </c>
      <c r="K752" s="7" t="s">
        <v>523</v>
      </c>
      <c r="L752" s="7" t="s">
        <v>660</v>
      </c>
      <c r="M752" s="7" t="s">
        <v>16</v>
      </c>
    </row>
    <row r="753" spans="1:16" x14ac:dyDescent="0.3">
      <c r="A753" s="22" t="s">
        <v>1360</v>
      </c>
      <c r="B753" s="7" t="s">
        <v>1361</v>
      </c>
      <c r="C753" s="2" t="s">
        <v>833</v>
      </c>
      <c r="D753" s="7" t="s">
        <v>1362</v>
      </c>
      <c r="E753" s="7" t="s">
        <v>342</v>
      </c>
      <c r="F753" s="7"/>
      <c r="G753" s="7" t="s">
        <v>543</v>
      </c>
      <c r="H753" s="7"/>
      <c r="I753" s="4">
        <v>44763</v>
      </c>
      <c r="J753" s="7" t="s">
        <v>13</v>
      </c>
      <c r="K753" s="7" t="s">
        <v>523</v>
      </c>
      <c r="L753" s="7" t="s">
        <v>660</v>
      </c>
      <c r="M753" s="7" t="s">
        <v>16</v>
      </c>
    </row>
    <row r="754" spans="1:16" x14ac:dyDescent="0.3">
      <c r="A754" s="22" t="s">
        <v>1363</v>
      </c>
      <c r="B754" s="7" t="s">
        <v>1364</v>
      </c>
      <c r="C754" s="2" t="s">
        <v>833</v>
      </c>
      <c r="D754" s="7" t="s">
        <v>1365</v>
      </c>
      <c r="E754" s="7" t="s">
        <v>342</v>
      </c>
      <c r="F754" s="7"/>
      <c r="G754" s="7" t="s">
        <v>543</v>
      </c>
      <c r="H754" s="7"/>
      <c r="I754" s="10">
        <v>44762</v>
      </c>
      <c r="J754" s="7" t="s">
        <v>192</v>
      </c>
      <c r="K754" s="7" t="s">
        <v>93</v>
      </c>
      <c r="L754" s="7" t="s">
        <v>291</v>
      </c>
      <c r="M754" s="7" t="s">
        <v>16</v>
      </c>
    </row>
    <row r="755" spans="1:16" x14ac:dyDescent="0.3">
      <c r="A755" s="22" t="s">
        <v>1366</v>
      </c>
      <c r="B755" s="7" t="s">
        <v>1367</v>
      </c>
      <c r="C755" s="2" t="s">
        <v>833</v>
      </c>
      <c r="D755" s="7" t="s">
        <v>1368</v>
      </c>
      <c r="E755" s="7" t="s">
        <v>342</v>
      </c>
      <c r="F755" s="7"/>
      <c r="G755" s="7" t="s">
        <v>543</v>
      </c>
      <c r="H755" s="7"/>
      <c r="I755" s="10">
        <v>44762</v>
      </c>
      <c r="J755" s="7" t="s">
        <v>192</v>
      </c>
      <c r="K755" s="7" t="s">
        <v>14</v>
      </c>
      <c r="L755" s="7" t="s">
        <v>291</v>
      </c>
      <c r="M755" s="7" t="s">
        <v>16</v>
      </c>
    </row>
    <row r="756" spans="1:16" x14ac:dyDescent="0.3">
      <c r="A756" s="22" t="s">
        <v>1369</v>
      </c>
      <c r="B756" s="7" t="s">
        <v>1370</v>
      </c>
      <c r="C756" s="2" t="s">
        <v>833</v>
      </c>
      <c r="D756" s="7" t="s">
        <v>1371</v>
      </c>
      <c r="E756" s="7" t="s">
        <v>342</v>
      </c>
      <c r="F756" s="7"/>
      <c r="G756" s="7" t="s">
        <v>543</v>
      </c>
      <c r="H756" s="7"/>
      <c r="I756" s="10">
        <v>44762</v>
      </c>
      <c r="J756" s="7" t="s">
        <v>192</v>
      </c>
      <c r="K756" s="7" t="s">
        <v>523</v>
      </c>
      <c r="L756" s="7" t="s">
        <v>291</v>
      </c>
      <c r="M756" s="7" t="s">
        <v>16</v>
      </c>
    </row>
    <row r="757" spans="1:16" x14ac:dyDescent="0.3">
      <c r="A757" s="34">
        <v>14013119063</v>
      </c>
      <c r="B757" t="s">
        <v>25</v>
      </c>
      <c r="C757" t="s">
        <v>1372</v>
      </c>
      <c r="D757" t="s">
        <v>26</v>
      </c>
      <c r="E757" t="s">
        <v>37</v>
      </c>
      <c r="F757" t="s">
        <v>1373</v>
      </c>
      <c r="G757" t="s">
        <v>363</v>
      </c>
      <c r="I757" s="11">
        <v>44763</v>
      </c>
      <c r="K757" t="s">
        <v>1374</v>
      </c>
      <c r="L757" t="s">
        <v>3597</v>
      </c>
      <c r="M757" s="35"/>
      <c r="O757" t="s">
        <v>428</v>
      </c>
      <c r="P757" t="s">
        <v>429</v>
      </c>
    </row>
    <row r="758" spans="1:16" x14ac:dyDescent="0.3">
      <c r="A758" s="34">
        <v>14013119145</v>
      </c>
      <c r="B758" t="s">
        <v>1375</v>
      </c>
      <c r="C758" t="s">
        <v>1372</v>
      </c>
      <c r="D758" t="s">
        <v>1376</v>
      </c>
      <c r="E758" t="s">
        <v>11</v>
      </c>
      <c r="G758" t="s">
        <v>354</v>
      </c>
      <c r="I758" s="11">
        <v>44763</v>
      </c>
      <c r="K758" t="s">
        <v>1377</v>
      </c>
      <c r="L758" t="s">
        <v>3595</v>
      </c>
      <c r="M758" s="35"/>
      <c r="O758" t="s">
        <v>424</v>
      </c>
      <c r="P758" t="s">
        <v>425</v>
      </c>
    </row>
    <row r="759" spans="1:16" x14ac:dyDescent="0.3">
      <c r="A759" s="34">
        <v>14013156734</v>
      </c>
      <c r="B759" t="s">
        <v>361</v>
      </c>
      <c r="C759" t="s">
        <v>1372</v>
      </c>
      <c r="D759" t="s">
        <v>362</v>
      </c>
      <c r="E759" t="s">
        <v>11</v>
      </c>
      <c r="G759" t="s">
        <v>363</v>
      </c>
      <c r="I759" s="11">
        <v>44762</v>
      </c>
      <c r="K759" t="s">
        <v>1378</v>
      </c>
      <c r="L759" t="s">
        <v>3600</v>
      </c>
      <c r="M759" s="35"/>
      <c r="O759" t="s">
        <v>434</v>
      </c>
      <c r="P759" t="s">
        <v>435</v>
      </c>
    </row>
    <row r="760" spans="1:16" x14ac:dyDescent="0.3">
      <c r="A760" s="34">
        <v>14013156768</v>
      </c>
      <c r="B760" t="s">
        <v>364</v>
      </c>
      <c r="C760" t="s">
        <v>1372</v>
      </c>
      <c r="D760" t="s">
        <v>365</v>
      </c>
      <c r="E760" t="s">
        <v>11</v>
      </c>
      <c r="G760" t="s">
        <v>1379</v>
      </c>
      <c r="I760" s="11">
        <v>44764</v>
      </c>
      <c r="K760" t="s">
        <v>1377</v>
      </c>
      <c r="L760" t="s">
        <v>3595</v>
      </c>
      <c r="M760" s="35"/>
      <c r="O760" t="s">
        <v>434</v>
      </c>
      <c r="P760" t="s">
        <v>435</v>
      </c>
    </row>
    <row r="761" spans="1:16" x14ac:dyDescent="0.3">
      <c r="A761" s="34">
        <v>14013156775</v>
      </c>
      <c r="B761" t="s">
        <v>1380</v>
      </c>
      <c r="C761" t="s">
        <v>1372</v>
      </c>
      <c r="D761" t="s">
        <v>1381</v>
      </c>
      <c r="E761" t="s">
        <v>11</v>
      </c>
      <c r="G761" t="s">
        <v>363</v>
      </c>
      <c r="I761" s="11">
        <v>44762</v>
      </c>
      <c r="K761" t="s">
        <v>1378</v>
      </c>
      <c r="L761" t="s">
        <v>3600</v>
      </c>
      <c r="M761" s="35"/>
      <c r="O761" t="s">
        <v>1382</v>
      </c>
      <c r="P761" t="s">
        <v>1383</v>
      </c>
    </row>
    <row r="762" spans="1:16" x14ac:dyDescent="0.3">
      <c r="A762" s="34">
        <v>14013158131</v>
      </c>
      <c r="B762" t="s">
        <v>436</v>
      </c>
      <c r="C762" t="s">
        <v>1372</v>
      </c>
      <c r="D762" t="s">
        <v>437</v>
      </c>
      <c r="E762" t="s">
        <v>37</v>
      </c>
      <c r="G762" t="s">
        <v>354</v>
      </c>
      <c r="K762" t="s">
        <v>1384</v>
      </c>
      <c r="M762" s="35"/>
      <c r="O762" t="s">
        <v>434</v>
      </c>
      <c r="P762" t="s">
        <v>438</v>
      </c>
    </row>
    <row r="763" spans="1:16" x14ac:dyDescent="0.3">
      <c r="A763" s="34">
        <v>14013158397</v>
      </c>
      <c r="B763" t="s">
        <v>43</v>
      </c>
      <c r="C763" t="s">
        <v>1372</v>
      </c>
      <c r="D763" t="s">
        <v>44</v>
      </c>
      <c r="E763" t="s">
        <v>11</v>
      </c>
      <c r="G763" t="s">
        <v>1379</v>
      </c>
      <c r="K763" t="s">
        <v>1377</v>
      </c>
      <c r="L763" t="s">
        <v>3595</v>
      </c>
      <c r="M763" s="35"/>
      <c r="O763" t="s">
        <v>424</v>
      </c>
      <c r="P763" t="s">
        <v>1385</v>
      </c>
    </row>
    <row r="764" spans="1:16" x14ac:dyDescent="0.3">
      <c r="A764" s="34">
        <v>14013159224</v>
      </c>
      <c r="B764" t="s">
        <v>60</v>
      </c>
      <c r="C764" t="s">
        <v>1372</v>
      </c>
      <c r="D764" t="s">
        <v>61</v>
      </c>
      <c r="E764" t="s">
        <v>11</v>
      </c>
      <c r="G764" t="s">
        <v>1379</v>
      </c>
      <c r="I764" s="11">
        <v>44764</v>
      </c>
      <c r="K764" t="s">
        <v>1386</v>
      </c>
      <c r="L764" t="s">
        <v>3596</v>
      </c>
      <c r="M764" s="35"/>
      <c r="O764" t="s">
        <v>424</v>
      </c>
      <c r="P764" t="s">
        <v>1387</v>
      </c>
    </row>
    <row r="765" spans="1:16" x14ac:dyDescent="0.3">
      <c r="A765" s="34">
        <v>14013160246</v>
      </c>
      <c r="B765" t="s">
        <v>64</v>
      </c>
      <c r="C765" t="s">
        <v>1372</v>
      </c>
      <c r="D765" t="s">
        <v>65</v>
      </c>
      <c r="E765" t="s">
        <v>11</v>
      </c>
      <c r="F765" t="s">
        <v>296</v>
      </c>
      <c r="G765" t="s">
        <v>354</v>
      </c>
      <c r="I765" s="11">
        <v>44764</v>
      </c>
      <c r="K765" t="s">
        <v>1388</v>
      </c>
      <c r="L765" t="s">
        <v>3599</v>
      </c>
      <c r="M765" s="35"/>
      <c r="O765" t="s">
        <v>431</v>
      </c>
      <c r="P765" t="s">
        <v>1389</v>
      </c>
    </row>
    <row r="766" spans="1:16" x14ac:dyDescent="0.3">
      <c r="A766" s="34">
        <v>14013160917</v>
      </c>
      <c r="B766" t="s">
        <v>367</v>
      </c>
      <c r="C766" t="s">
        <v>1372</v>
      </c>
      <c r="D766" t="s">
        <v>368</v>
      </c>
      <c r="E766" t="s">
        <v>37</v>
      </c>
      <c r="F766" t="s">
        <v>1390</v>
      </c>
      <c r="G766" t="s">
        <v>363</v>
      </c>
      <c r="I766" s="11">
        <v>44763</v>
      </c>
      <c r="K766" t="s">
        <v>1391</v>
      </c>
      <c r="L766" t="s">
        <v>3594</v>
      </c>
      <c r="M766" s="35"/>
      <c r="O766" t="s">
        <v>434</v>
      </c>
      <c r="P766" t="s">
        <v>446</v>
      </c>
    </row>
    <row r="767" spans="1:16" x14ac:dyDescent="0.3">
      <c r="A767" s="34">
        <v>14013163059</v>
      </c>
      <c r="B767" t="s">
        <v>1392</v>
      </c>
      <c r="C767" t="s">
        <v>1372</v>
      </c>
      <c r="D767" t="s">
        <v>1393</v>
      </c>
      <c r="E767" t="s">
        <v>37</v>
      </c>
      <c r="F767" t="s">
        <v>1394</v>
      </c>
      <c r="K767" t="s">
        <v>1377</v>
      </c>
      <c r="L767" t="s">
        <v>29</v>
      </c>
      <c r="M767" s="35"/>
      <c r="O767" t="s">
        <v>1382</v>
      </c>
      <c r="P767" t="s">
        <v>433</v>
      </c>
    </row>
    <row r="768" spans="1:16" x14ac:dyDescent="0.3">
      <c r="A768" s="34">
        <v>14013163326</v>
      </c>
      <c r="B768" t="s">
        <v>99</v>
      </c>
      <c r="C768" t="s">
        <v>1372</v>
      </c>
      <c r="D768" t="s">
        <v>100</v>
      </c>
      <c r="E768" t="s">
        <v>37</v>
      </c>
      <c r="F768" t="s">
        <v>352</v>
      </c>
      <c r="G768" t="s">
        <v>363</v>
      </c>
      <c r="I768" s="11">
        <v>44763</v>
      </c>
      <c r="K768" t="s">
        <v>1386</v>
      </c>
      <c r="L768" t="s">
        <v>3596</v>
      </c>
      <c r="M768" s="35"/>
      <c r="O768" t="s">
        <v>424</v>
      </c>
      <c r="P768" t="s">
        <v>460</v>
      </c>
    </row>
    <row r="769" spans="1:16" x14ac:dyDescent="0.3">
      <c r="A769" s="34">
        <v>14013168276</v>
      </c>
      <c r="B769" t="s">
        <v>392</v>
      </c>
      <c r="C769" t="s">
        <v>1372</v>
      </c>
      <c r="D769" t="s">
        <v>393</v>
      </c>
      <c r="E769" t="s">
        <v>1395</v>
      </c>
      <c r="G769" t="s">
        <v>363</v>
      </c>
      <c r="I769" s="11">
        <v>44763</v>
      </c>
      <c r="K769" t="s">
        <v>1391</v>
      </c>
      <c r="L769" t="s">
        <v>3594</v>
      </c>
      <c r="M769" s="35"/>
      <c r="O769" t="s">
        <v>434</v>
      </c>
      <c r="P769" t="s">
        <v>461</v>
      </c>
    </row>
    <row r="770" spans="1:16" x14ac:dyDescent="0.3">
      <c r="A770" s="34">
        <v>14013168584</v>
      </c>
      <c r="B770" t="s">
        <v>395</v>
      </c>
      <c r="C770" t="s">
        <v>1372</v>
      </c>
      <c r="D770" t="s">
        <v>396</v>
      </c>
      <c r="E770" t="s">
        <v>11</v>
      </c>
      <c r="F770" t="s">
        <v>1396</v>
      </c>
      <c r="G770" t="s">
        <v>354</v>
      </c>
      <c r="I770" s="11">
        <v>44763</v>
      </c>
      <c r="K770" t="s">
        <v>1391</v>
      </c>
      <c r="L770" t="s">
        <v>3594</v>
      </c>
      <c r="M770" s="35"/>
      <c r="O770" t="s">
        <v>434</v>
      </c>
      <c r="P770" t="s">
        <v>1397</v>
      </c>
    </row>
    <row r="771" spans="1:16" x14ac:dyDescent="0.3">
      <c r="A771" s="34">
        <v>14013168646</v>
      </c>
      <c r="B771" t="s">
        <v>397</v>
      </c>
      <c r="C771" t="s">
        <v>1372</v>
      </c>
      <c r="D771" t="s">
        <v>398</v>
      </c>
      <c r="E771" t="s">
        <v>37</v>
      </c>
      <c r="G771" t="s">
        <v>363</v>
      </c>
      <c r="I771" s="11">
        <v>44763</v>
      </c>
      <c r="K771" t="s">
        <v>1391</v>
      </c>
      <c r="L771" t="s">
        <v>3594</v>
      </c>
      <c r="M771" s="35"/>
      <c r="O771" t="s">
        <v>434</v>
      </c>
      <c r="P771" t="s">
        <v>462</v>
      </c>
    </row>
    <row r="772" spans="1:16" x14ac:dyDescent="0.3">
      <c r="A772" s="34">
        <v>14013168655</v>
      </c>
      <c r="B772" t="s">
        <v>399</v>
      </c>
      <c r="C772" t="s">
        <v>1372</v>
      </c>
      <c r="D772" t="s">
        <v>400</v>
      </c>
      <c r="E772" t="s">
        <v>37</v>
      </c>
      <c r="G772" t="s">
        <v>363</v>
      </c>
      <c r="I772" s="11">
        <v>44763</v>
      </c>
      <c r="K772" t="s">
        <v>1391</v>
      </c>
      <c r="L772" t="s">
        <v>3594</v>
      </c>
      <c r="M772" s="35"/>
      <c r="O772" t="s">
        <v>434</v>
      </c>
      <c r="P772" t="s">
        <v>446</v>
      </c>
    </row>
    <row r="773" spans="1:16" x14ac:dyDescent="0.3">
      <c r="A773" s="34">
        <v>14013168671</v>
      </c>
      <c r="B773" t="s">
        <v>401</v>
      </c>
      <c r="C773" t="s">
        <v>1372</v>
      </c>
      <c r="D773" t="s">
        <v>402</v>
      </c>
      <c r="E773" t="s">
        <v>37</v>
      </c>
      <c r="G773" t="s">
        <v>363</v>
      </c>
      <c r="I773" s="11">
        <v>44763</v>
      </c>
      <c r="K773" t="s">
        <v>1391</v>
      </c>
      <c r="L773" t="s">
        <v>3594</v>
      </c>
      <c r="M773" s="35"/>
      <c r="O773" t="s">
        <v>434</v>
      </c>
      <c r="P773" t="s">
        <v>463</v>
      </c>
    </row>
    <row r="774" spans="1:16" x14ac:dyDescent="0.3">
      <c r="A774" s="34">
        <v>14013173954</v>
      </c>
      <c r="B774" t="s">
        <v>113</v>
      </c>
      <c r="C774" t="s">
        <v>1372</v>
      </c>
      <c r="D774" t="s">
        <v>114</v>
      </c>
      <c r="E774" t="s">
        <v>11</v>
      </c>
      <c r="G774" t="s">
        <v>363</v>
      </c>
      <c r="I774" s="11">
        <v>44762</v>
      </c>
      <c r="K774" t="s">
        <v>1398</v>
      </c>
      <c r="L774" t="s">
        <v>29</v>
      </c>
      <c r="M774" s="35"/>
      <c r="O774" t="s">
        <v>428</v>
      </c>
      <c r="P774" t="s">
        <v>466</v>
      </c>
    </row>
    <row r="775" spans="1:16" x14ac:dyDescent="0.3">
      <c r="A775" s="34">
        <v>14013174100</v>
      </c>
      <c r="B775" t="s">
        <v>125</v>
      </c>
      <c r="C775" t="s">
        <v>1372</v>
      </c>
      <c r="D775" t="s">
        <v>126</v>
      </c>
      <c r="E775" t="s">
        <v>11</v>
      </c>
      <c r="G775" t="s">
        <v>354</v>
      </c>
      <c r="I775" s="11">
        <v>44764</v>
      </c>
      <c r="K775" t="s">
        <v>1374</v>
      </c>
      <c r="L775" t="s">
        <v>29</v>
      </c>
      <c r="M775" s="35"/>
      <c r="O775" t="s">
        <v>428</v>
      </c>
      <c r="P775" t="s">
        <v>471</v>
      </c>
    </row>
    <row r="776" spans="1:16" x14ac:dyDescent="0.3">
      <c r="A776" s="34">
        <v>14013174151</v>
      </c>
      <c r="B776" t="s">
        <v>128</v>
      </c>
      <c r="C776" t="s">
        <v>1372</v>
      </c>
      <c r="D776" t="s">
        <v>129</v>
      </c>
      <c r="E776" t="s">
        <v>11</v>
      </c>
      <c r="G776" t="s">
        <v>363</v>
      </c>
      <c r="I776" s="11">
        <v>44762</v>
      </c>
      <c r="K776" t="s">
        <v>1374</v>
      </c>
      <c r="L776" t="s">
        <v>29</v>
      </c>
      <c r="M776" s="35"/>
      <c r="O776" t="s">
        <v>428</v>
      </c>
      <c r="P776" t="s">
        <v>472</v>
      </c>
    </row>
    <row r="777" spans="1:16" x14ac:dyDescent="0.3">
      <c r="A777" s="34">
        <v>14013174153</v>
      </c>
      <c r="B777" t="s">
        <v>130</v>
      </c>
      <c r="C777" t="s">
        <v>1372</v>
      </c>
      <c r="D777" t="s">
        <v>131</v>
      </c>
      <c r="E777" t="s">
        <v>11</v>
      </c>
      <c r="G777" t="s">
        <v>363</v>
      </c>
      <c r="I777" s="11">
        <v>44762</v>
      </c>
      <c r="K777" t="s">
        <v>1374</v>
      </c>
      <c r="L777" t="s">
        <v>3599</v>
      </c>
      <c r="M777" s="35"/>
      <c r="O777" t="s">
        <v>428</v>
      </c>
      <c r="P777" t="s">
        <v>473</v>
      </c>
    </row>
    <row r="778" spans="1:16" x14ac:dyDescent="0.3">
      <c r="A778" s="34">
        <v>14013174175</v>
      </c>
      <c r="B778" t="s">
        <v>132</v>
      </c>
      <c r="C778" t="s">
        <v>1372</v>
      </c>
      <c r="D778" t="s">
        <v>133</v>
      </c>
      <c r="E778" t="s">
        <v>11</v>
      </c>
      <c r="G778" t="s">
        <v>363</v>
      </c>
      <c r="I778" s="11">
        <v>44762</v>
      </c>
      <c r="K778" t="s">
        <v>1374</v>
      </c>
      <c r="L778" t="s">
        <v>29</v>
      </c>
      <c r="M778" s="35"/>
      <c r="O778" t="s">
        <v>428</v>
      </c>
      <c r="P778" t="s">
        <v>472</v>
      </c>
    </row>
    <row r="779" spans="1:16" x14ac:dyDescent="0.3">
      <c r="A779" s="34">
        <v>14013174180</v>
      </c>
      <c r="B779" t="s">
        <v>134</v>
      </c>
      <c r="C779" t="s">
        <v>1372</v>
      </c>
      <c r="D779" t="s">
        <v>135</v>
      </c>
      <c r="E779" t="s">
        <v>11</v>
      </c>
      <c r="G779" t="s">
        <v>363</v>
      </c>
      <c r="I779" s="11">
        <v>44762</v>
      </c>
      <c r="K779" t="s">
        <v>1374</v>
      </c>
      <c r="L779" t="s">
        <v>3599</v>
      </c>
      <c r="M779" s="35"/>
      <c r="O779" t="s">
        <v>428</v>
      </c>
      <c r="P779" t="s">
        <v>474</v>
      </c>
    </row>
    <row r="780" spans="1:16" x14ac:dyDescent="0.3">
      <c r="A780" s="34">
        <v>14013174184</v>
      </c>
      <c r="B780" t="s">
        <v>136</v>
      </c>
      <c r="C780" t="s">
        <v>1372</v>
      </c>
      <c r="D780" t="s">
        <v>137</v>
      </c>
      <c r="E780" t="s">
        <v>11</v>
      </c>
      <c r="F780" t="s">
        <v>1399</v>
      </c>
      <c r="G780" t="s">
        <v>354</v>
      </c>
      <c r="I780" s="11">
        <v>44764</v>
      </c>
      <c r="K780" t="s">
        <v>1374</v>
      </c>
      <c r="L780" t="s">
        <v>3599</v>
      </c>
      <c r="M780" s="35"/>
      <c r="O780" t="s">
        <v>428</v>
      </c>
      <c r="P780" t="s">
        <v>475</v>
      </c>
    </row>
    <row r="781" spans="1:16" x14ac:dyDescent="0.3">
      <c r="A781" s="34">
        <v>14013174240</v>
      </c>
      <c r="B781" t="s">
        <v>138</v>
      </c>
      <c r="C781" t="s">
        <v>1372</v>
      </c>
      <c r="D781" t="s">
        <v>139</v>
      </c>
      <c r="E781" t="s">
        <v>37</v>
      </c>
      <c r="F781" t="s">
        <v>1373</v>
      </c>
      <c r="G781" t="s">
        <v>354</v>
      </c>
      <c r="I781" s="11">
        <v>44763</v>
      </c>
      <c r="K781" t="s">
        <v>1398</v>
      </c>
      <c r="L781" t="s">
        <v>3599</v>
      </c>
      <c r="M781" s="35"/>
      <c r="O781" t="s">
        <v>428</v>
      </c>
      <c r="P781" t="s">
        <v>479</v>
      </c>
    </row>
    <row r="782" spans="1:16" x14ac:dyDescent="0.3">
      <c r="A782" s="34">
        <v>14013174293</v>
      </c>
      <c r="B782" t="s">
        <v>140</v>
      </c>
      <c r="C782" t="s">
        <v>1372</v>
      </c>
      <c r="D782" t="s">
        <v>141</v>
      </c>
      <c r="E782" t="s">
        <v>11</v>
      </c>
      <c r="G782" t="s">
        <v>363</v>
      </c>
      <c r="I782" s="11">
        <v>44762</v>
      </c>
      <c r="K782" t="s">
        <v>1374</v>
      </c>
      <c r="L782" t="s">
        <v>3593</v>
      </c>
      <c r="M782" s="35"/>
      <c r="O782" t="s">
        <v>428</v>
      </c>
      <c r="P782" t="s">
        <v>489</v>
      </c>
    </row>
    <row r="783" spans="1:16" x14ac:dyDescent="0.3">
      <c r="A783" s="34">
        <v>14013174301</v>
      </c>
      <c r="B783" t="s">
        <v>142</v>
      </c>
      <c r="C783" t="s">
        <v>1372</v>
      </c>
      <c r="D783" t="s">
        <v>143</v>
      </c>
      <c r="E783" t="s">
        <v>342</v>
      </c>
      <c r="G783" t="s">
        <v>354</v>
      </c>
      <c r="H783" t="s">
        <v>354</v>
      </c>
      <c r="I783" s="11">
        <v>44770</v>
      </c>
      <c r="K783" t="s">
        <v>1374</v>
      </c>
      <c r="L783" t="s">
        <v>3599</v>
      </c>
      <c r="M783" s="35" t="s">
        <v>16</v>
      </c>
      <c r="O783" t="s">
        <v>428</v>
      </c>
      <c r="P783" t="s">
        <v>491</v>
      </c>
    </row>
    <row r="784" spans="1:16" x14ac:dyDescent="0.3">
      <c r="A784" s="34">
        <v>14013176217</v>
      </c>
      <c r="B784" t="s">
        <v>1400</v>
      </c>
      <c r="C784" t="s">
        <v>1372</v>
      </c>
      <c r="D784" t="s">
        <v>1401</v>
      </c>
      <c r="E784" t="s">
        <v>32</v>
      </c>
      <c r="F784" t="s">
        <v>3611</v>
      </c>
      <c r="G784" t="s">
        <v>12</v>
      </c>
      <c r="H784" t="s">
        <v>3607</v>
      </c>
      <c r="I784" s="24">
        <v>44767</v>
      </c>
      <c r="K784" t="s">
        <v>1377</v>
      </c>
      <c r="L784" t="s">
        <v>3595</v>
      </c>
      <c r="M784" s="35"/>
      <c r="O784" t="s">
        <v>434</v>
      </c>
      <c r="P784" t="s">
        <v>1402</v>
      </c>
    </row>
    <row r="785" spans="1:16" x14ac:dyDescent="0.3">
      <c r="A785" s="34">
        <v>14013176430</v>
      </c>
      <c r="B785" t="s">
        <v>1403</v>
      </c>
      <c r="C785" t="s">
        <v>1372</v>
      </c>
      <c r="D785" t="s">
        <v>1404</v>
      </c>
      <c r="E785" s="7" t="s">
        <v>37</v>
      </c>
      <c r="F785" t="s">
        <v>1198</v>
      </c>
      <c r="G785" t="s">
        <v>363</v>
      </c>
      <c r="H785" s="44" t="s">
        <v>369</v>
      </c>
      <c r="I785" s="11">
        <v>44763</v>
      </c>
      <c r="K785" t="s">
        <v>1377</v>
      </c>
      <c r="L785" t="s">
        <v>3595</v>
      </c>
      <c r="M785" s="35"/>
      <c r="O785" t="s">
        <v>434</v>
      </c>
      <c r="P785" t="s">
        <v>1405</v>
      </c>
    </row>
    <row r="786" spans="1:16" x14ac:dyDescent="0.3">
      <c r="A786" s="34">
        <v>14013176538</v>
      </c>
      <c r="B786" t="s">
        <v>1406</v>
      </c>
      <c r="C786" t="s">
        <v>1372</v>
      </c>
      <c r="D786" t="s">
        <v>1407</v>
      </c>
      <c r="E786" t="s">
        <v>11</v>
      </c>
      <c r="F786" t="s">
        <v>1408</v>
      </c>
      <c r="G786" t="s">
        <v>12</v>
      </c>
      <c r="I786" s="24">
        <v>44764</v>
      </c>
      <c r="K786" t="s">
        <v>1377</v>
      </c>
      <c r="L786" t="s">
        <v>3598</v>
      </c>
      <c r="M786" s="35"/>
      <c r="O786" t="s">
        <v>434</v>
      </c>
      <c r="P786" t="s">
        <v>1409</v>
      </c>
    </row>
    <row r="787" spans="1:16" x14ac:dyDescent="0.3">
      <c r="A787" s="34">
        <v>14013176742</v>
      </c>
      <c r="B787" t="s">
        <v>403</v>
      </c>
      <c r="C787" t="s">
        <v>1372</v>
      </c>
      <c r="D787" t="s">
        <v>404</v>
      </c>
      <c r="E787" t="s">
        <v>11</v>
      </c>
      <c r="G787" t="s">
        <v>354</v>
      </c>
      <c r="I787" s="11">
        <v>44763</v>
      </c>
      <c r="K787" t="s">
        <v>1377</v>
      </c>
      <c r="L787" t="s">
        <v>3598</v>
      </c>
      <c r="M787" s="35"/>
      <c r="O787" t="s">
        <v>434</v>
      </c>
      <c r="P787" t="s">
        <v>511</v>
      </c>
    </row>
    <row r="788" spans="1:16" x14ac:dyDescent="0.3">
      <c r="A788" s="34">
        <v>14013176963</v>
      </c>
      <c r="B788" t="s">
        <v>1410</v>
      </c>
      <c r="C788" t="s">
        <v>1372</v>
      </c>
      <c r="D788" t="s">
        <v>1411</v>
      </c>
      <c r="E788" t="s">
        <v>11</v>
      </c>
      <c r="G788" t="s">
        <v>363</v>
      </c>
      <c r="I788" s="11">
        <v>44762</v>
      </c>
      <c r="K788" t="s">
        <v>1412</v>
      </c>
      <c r="L788" t="s">
        <v>3601</v>
      </c>
      <c r="M788" s="35"/>
      <c r="O788" t="s">
        <v>1382</v>
      </c>
      <c r="P788" t="s">
        <v>1413</v>
      </c>
    </row>
    <row r="789" spans="1:16" x14ac:dyDescent="0.3">
      <c r="A789" s="34">
        <v>14013177021</v>
      </c>
      <c r="B789" t="s">
        <v>407</v>
      </c>
      <c r="C789" t="s">
        <v>1372</v>
      </c>
      <c r="D789" t="s">
        <v>408</v>
      </c>
      <c r="E789" t="s">
        <v>11</v>
      </c>
      <c r="G789" t="s">
        <v>354</v>
      </c>
      <c r="I789" s="11">
        <v>44764</v>
      </c>
      <c r="K789" t="s">
        <v>1377</v>
      </c>
      <c r="L789" t="s">
        <v>3598</v>
      </c>
      <c r="M789" s="35"/>
      <c r="O789" t="s">
        <v>434</v>
      </c>
      <c r="P789" t="s">
        <v>512</v>
      </c>
    </row>
    <row r="790" spans="1:16" x14ac:dyDescent="0.3">
      <c r="A790" s="34">
        <v>14013177122</v>
      </c>
      <c r="B790" t="s">
        <v>1414</v>
      </c>
      <c r="C790" t="s">
        <v>1372</v>
      </c>
      <c r="D790" t="s">
        <v>1415</v>
      </c>
      <c r="E790" t="s">
        <v>470</v>
      </c>
      <c r="F790" s="33" t="s">
        <v>3612</v>
      </c>
      <c r="G790" t="s">
        <v>12</v>
      </c>
      <c r="H790" t="s">
        <v>3607</v>
      </c>
      <c r="I790" s="11">
        <v>44767</v>
      </c>
      <c r="K790" t="s">
        <v>1377</v>
      </c>
      <c r="L790" t="s">
        <v>3595</v>
      </c>
      <c r="M790" s="35"/>
      <c r="O790" t="s">
        <v>434</v>
      </c>
      <c r="P790" t="s">
        <v>1416</v>
      </c>
    </row>
    <row r="791" spans="1:16" x14ac:dyDescent="0.3">
      <c r="A791" s="34">
        <v>14013177684</v>
      </c>
      <c r="B791" t="s">
        <v>409</v>
      </c>
      <c r="C791" t="s">
        <v>1372</v>
      </c>
      <c r="D791" t="s">
        <v>410</v>
      </c>
      <c r="E791" t="s">
        <v>11</v>
      </c>
      <c r="G791" t="s">
        <v>363</v>
      </c>
      <c r="I791" s="11">
        <v>44762</v>
      </c>
      <c r="K791" t="s">
        <v>1417</v>
      </c>
      <c r="L791" t="s">
        <v>3602</v>
      </c>
      <c r="M791" s="35"/>
      <c r="O791" t="s">
        <v>434</v>
      </c>
      <c r="P791" t="s">
        <v>513</v>
      </c>
    </row>
    <row r="792" spans="1:16" x14ac:dyDescent="0.3">
      <c r="A792" s="34">
        <v>14013177838</v>
      </c>
      <c r="B792" t="s">
        <v>411</v>
      </c>
      <c r="C792" t="s">
        <v>1372</v>
      </c>
      <c r="D792" t="s">
        <v>412</v>
      </c>
      <c r="E792" t="s">
        <v>11</v>
      </c>
      <c r="F792" t="s">
        <v>1418</v>
      </c>
      <c r="G792" t="s">
        <v>354</v>
      </c>
      <c r="I792" s="11">
        <v>44764</v>
      </c>
      <c r="K792" t="s">
        <v>1377</v>
      </c>
      <c r="L792" t="s">
        <v>3598</v>
      </c>
      <c r="M792" s="35"/>
      <c r="O792" t="s">
        <v>434</v>
      </c>
      <c r="P792" t="s">
        <v>514</v>
      </c>
    </row>
    <row r="793" spans="1:16" x14ac:dyDescent="0.3">
      <c r="A793" s="34">
        <v>14013178862</v>
      </c>
      <c r="B793" t="s">
        <v>413</v>
      </c>
      <c r="C793" t="s">
        <v>1372</v>
      </c>
      <c r="D793" t="s">
        <v>414</v>
      </c>
      <c r="E793" t="s">
        <v>32</v>
      </c>
      <c r="F793" s="48" t="s">
        <v>3644</v>
      </c>
      <c r="G793" t="s">
        <v>12</v>
      </c>
      <c r="H793" t="s">
        <v>3607</v>
      </c>
      <c r="K793" t="s">
        <v>1377</v>
      </c>
      <c r="L793" t="s">
        <v>3595</v>
      </c>
      <c r="M793" s="35"/>
      <c r="O793" t="s">
        <v>434</v>
      </c>
      <c r="P793" t="s">
        <v>516</v>
      </c>
    </row>
    <row r="794" spans="1:16" x14ac:dyDescent="0.3">
      <c r="A794" s="7" t="str">
        <f>HYPERLINK("https://hsdes.intel.com/resource/1509811849","1509811849")</f>
        <v>1509811849</v>
      </c>
      <c r="B794" s="7" t="s">
        <v>1419</v>
      </c>
      <c r="C794" s="7" t="s">
        <v>1420</v>
      </c>
      <c r="D794" s="7" t="s">
        <v>267</v>
      </c>
      <c r="E794" s="7" t="s">
        <v>11</v>
      </c>
      <c r="F794" s="7"/>
      <c r="G794" s="7" t="s">
        <v>345</v>
      </c>
      <c r="H794" s="7"/>
      <c r="I794" s="10">
        <v>44755</v>
      </c>
      <c r="J794" s="7" t="s">
        <v>13</v>
      </c>
      <c r="K794" s="7" t="s">
        <v>19</v>
      </c>
      <c r="L794" s="7" t="s">
        <v>20</v>
      </c>
      <c r="M794" s="7" t="s">
        <v>21</v>
      </c>
    </row>
    <row r="795" spans="1:16" x14ac:dyDescent="0.3">
      <c r="A795" s="7" t="str">
        <f>HYPERLINK("https://hsdes.intel.com/resource/14013114695","14013114695")</f>
        <v>14013114695</v>
      </c>
      <c r="B795" s="7" t="s">
        <v>1421</v>
      </c>
      <c r="C795" s="7" t="s">
        <v>1420</v>
      </c>
      <c r="D795" s="7" t="s">
        <v>1422</v>
      </c>
      <c r="E795" s="7" t="s">
        <v>11</v>
      </c>
      <c r="F795" s="7"/>
      <c r="G795" s="7" t="s">
        <v>345</v>
      </c>
      <c r="H795" s="7"/>
      <c r="I795" s="10">
        <v>44756</v>
      </c>
      <c r="J795" s="7" t="s">
        <v>13</v>
      </c>
      <c r="K795" s="7" t="s">
        <v>19</v>
      </c>
      <c r="L795" s="7" t="s">
        <v>20</v>
      </c>
      <c r="M795" s="7" t="s">
        <v>24</v>
      </c>
    </row>
    <row r="796" spans="1:16" x14ac:dyDescent="0.3">
      <c r="A796" s="7" t="str">
        <f>HYPERLINK("https://hsdes.intel.com/resource/14013114711","14013114711")</f>
        <v>14013114711</v>
      </c>
      <c r="B796" s="7" t="s">
        <v>1423</v>
      </c>
      <c r="C796" s="7" t="s">
        <v>1420</v>
      </c>
      <c r="D796" s="7" t="s">
        <v>1424</v>
      </c>
      <c r="E796" s="7" t="s">
        <v>11</v>
      </c>
      <c r="F796" s="7"/>
      <c r="G796" s="7" t="s">
        <v>345</v>
      </c>
      <c r="H796" s="7"/>
      <c r="I796" s="10">
        <v>44755</v>
      </c>
      <c r="J796" s="7" t="s">
        <v>13</v>
      </c>
      <c r="K796" s="7" t="s">
        <v>19</v>
      </c>
      <c r="L796" s="7" t="s">
        <v>20</v>
      </c>
      <c r="M796" s="7" t="s">
        <v>16</v>
      </c>
    </row>
    <row r="797" spans="1:16" x14ac:dyDescent="0.3">
      <c r="A797" s="7" t="str">
        <f>HYPERLINK("https://hsdes.intel.com/resource/14013114734","14013114734")</f>
        <v>14013114734</v>
      </c>
      <c r="B797" s="7" t="s">
        <v>1425</v>
      </c>
      <c r="C797" s="7" t="s">
        <v>1420</v>
      </c>
      <c r="D797" s="7" t="s">
        <v>1426</v>
      </c>
      <c r="E797" s="7" t="s">
        <v>11</v>
      </c>
      <c r="F797" s="7"/>
      <c r="G797" s="7" t="s">
        <v>345</v>
      </c>
      <c r="H797" s="7"/>
      <c r="I797" s="10">
        <v>44755</v>
      </c>
      <c r="J797" s="7" t="s">
        <v>13</v>
      </c>
      <c r="K797" s="7" t="s">
        <v>19</v>
      </c>
      <c r="L797" s="7" t="s">
        <v>20</v>
      </c>
      <c r="M797" s="7" t="s">
        <v>16</v>
      </c>
    </row>
    <row r="798" spans="1:16" x14ac:dyDescent="0.3">
      <c r="A798" s="7" t="str">
        <f>HYPERLINK("https://hsdes.intel.com/resource/14013114751","14013114751")</f>
        <v>14013114751</v>
      </c>
      <c r="B798" s="7" t="s">
        <v>1427</v>
      </c>
      <c r="C798" s="7" t="s">
        <v>1420</v>
      </c>
      <c r="D798" s="7" t="s">
        <v>1428</v>
      </c>
      <c r="E798" s="7" t="s">
        <v>11</v>
      </c>
      <c r="F798" s="7"/>
      <c r="G798" s="7" t="s">
        <v>1429</v>
      </c>
      <c r="H798" s="7"/>
      <c r="I798" s="10">
        <v>44754</v>
      </c>
      <c r="J798" s="7" t="s">
        <v>13</v>
      </c>
      <c r="K798" s="7" t="s">
        <v>553</v>
      </c>
      <c r="L798" s="7" t="s">
        <v>544</v>
      </c>
      <c r="M798" s="7" t="s">
        <v>16</v>
      </c>
    </row>
    <row r="799" spans="1:16" x14ac:dyDescent="0.3">
      <c r="A799" s="7" t="str">
        <f>HYPERLINK("https://hsdes.intel.com/resource/14013114769","14013114769")</f>
        <v>14013114769</v>
      </c>
      <c r="B799" s="7" t="s">
        <v>1430</v>
      </c>
      <c r="C799" s="7" t="s">
        <v>1420</v>
      </c>
      <c r="D799" s="7" t="s">
        <v>1431</v>
      </c>
      <c r="E799" s="7" t="s">
        <v>11</v>
      </c>
      <c r="F799" s="7"/>
      <c r="G799" s="7" t="s">
        <v>1432</v>
      </c>
      <c r="H799" s="7"/>
      <c r="I799" s="10">
        <v>44754</v>
      </c>
      <c r="J799" s="7" t="s">
        <v>13</v>
      </c>
      <c r="K799" s="7" t="s">
        <v>1433</v>
      </c>
      <c r="L799" s="7" t="s">
        <v>1434</v>
      </c>
      <c r="M799" s="7" t="s">
        <v>16</v>
      </c>
    </row>
    <row r="800" spans="1:16" x14ac:dyDescent="0.3">
      <c r="A800" s="7" t="str">
        <f>HYPERLINK("https://hsdes.intel.com/resource/14013114813","14013114813")</f>
        <v>14013114813</v>
      </c>
      <c r="B800" s="7" t="s">
        <v>1435</v>
      </c>
      <c r="C800" s="7" t="s">
        <v>1420</v>
      </c>
      <c r="D800" s="7" t="s">
        <v>1436</v>
      </c>
      <c r="E800" s="7" t="s">
        <v>11</v>
      </c>
      <c r="F800" s="7"/>
      <c r="G800" s="7" t="s">
        <v>1432</v>
      </c>
      <c r="H800" s="7"/>
      <c r="I800" s="10">
        <v>44754</v>
      </c>
      <c r="J800" s="7" t="s">
        <v>13</v>
      </c>
      <c r="K800" s="7" t="s">
        <v>1433</v>
      </c>
      <c r="L800" s="7" t="s">
        <v>1434</v>
      </c>
      <c r="M800" s="7" t="s">
        <v>16</v>
      </c>
    </row>
    <row r="801" spans="1:13" x14ac:dyDescent="0.3">
      <c r="A801" s="7" t="str">
        <f>HYPERLINK("https://hsdes.intel.com/resource/14013114842","14013114842")</f>
        <v>14013114842</v>
      </c>
      <c r="B801" s="7" t="s">
        <v>946</v>
      </c>
      <c r="C801" s="7" t="s">
        <v>1420</v>
      </c>
      <c r="D801" s="7" t="s">
        <v>947</v>
      </c>
      <c r="E801" s="7"/>
      <c r="F801" s="7"/>
      <c r="G801" s="7" t="s">
        <v>833</v>
      </c>
      <c r="H801" s="7"/>
      <c r="I801" s="7"/>
      <c r="J801" s="7" t="s">
        <v>13</v>
      </c>
      <c r="K801" s="7" t="s">
        <v>639</v>
      </c>
      <c r="L801" s="7" t="s">
        <v>110</v>
      </c>
      <c r="M801" s="7" t="s">
        <v>24</v>
      </c>
    </row>
    <row r="802" spans="1:13" x14ac:dyDescent="0.3">
      <c r="A802" s="7" t="str">
        <f>HYPERLINK("https://hsdes.intel.com/resource/14013114861","14013114861")</f>
        <v>14013114861</v>
      </c>
      <c r="B802" s="7" t="s">
        <v>1437</v>
      </c>
      <c r="C802" s="7" t="s">
        <v>1420</v>
      </c>
      <c r="D802" s="7" t="s">
        <v>1438</v>
      </c>
      <c r="E802" s="7" t="s">
        <v>11</v>
      </c>
      <c r="F802" s="7" t="s">
        <v>1439</v>
      </c>
      <c r="G802" s="7" t="s">
        <v>354</v>
      </c>
      <c r="H802" s="7"/>
      <c r="I802" s="10">
        <v>44763</v>
      </c>
      <c r="J802" s="7" t="s">
        <v>13</v>
      </c>
      <c r="K802" s="7" t="s">
        <v>553</v>
      </c>
      <c r="L802" s="7" t="s">
        <v>291</v>
      </c>
      <c r="M802" s="7" t="s">
        <v>16</v>
      </c>
    </row>
    <row r="803" spans="1:13" x14ac:dyDescent="0.3">
      <c r="A803" s="7" t="str">
        <f>HYPERLINK("https://hsdes.intel.com/resource/14013114878","14013114878")</f>
        <v>14013114878</v>
      </c>
      <c r="B803" s="7" t="s">
        <v>1440</v>
      </c>
      <c r="C803" s="7" t="s">
        <v>1420</v>
      </c>
      <c r="D803" s="7" t="s">
        <v>1441</v>
      </c>
      <c r="E803" s="7" t="s">
        <v>11</v>
      </c>
      <c r="F803" s="7" t="s">
        <v>1442</v>
      </c>
      <c r="G803" s="7" t="s">
        <v>1429</v>
      </c>
      <c r="H803" s="7"/>
      <c r="I803" s="10">
        <v>44755</v>
      </c>
      <c r="J803" s="7" t="s">
        <v>13</v>
      </c>
      <c r="K803" s="7" t="s">
        <v>553</v>
      </c>
      <c r="L803" s="7" t="s">
        <v>544</v>
      </c>
      <c r="M803" s="7" t="s">
        <v>16</v>
      </c>
    </row>
    <row r="804" spans="1:13" x14ac:dyDescent="0.3">
      <c r="A804" s="7" t="str">
        <f>HYPERLINK("https://hsdes.intel.com/resource/14013114906","14013114906")</f>
        <v>14013114906</v>
      </c>
      <c r="B804" s="7" t="s">
        <v>1443</v>
      </c>
      <c r="C804" s="7" t="s">
        <v>1420</v>
      </c>
      <c r="D804" s="7" t="s">
        <v>1444</v>
      </c>
      <c r="E804" s="7" t="s">
        <v>11</v>
      </c>
      <c r="F804" s="7"/>
      <c r="G804" s="7" t="s">
        <v>345</v>
      </c>
      <c r="H804" s="7"/>
      <c r="I804" s="10">
        <v>44756</v>
      </c>
      <c r="J804" s="7" t="s">
        <v>13</v>
      </c>
      <c r="K804" s="7" t="s">
        <v>19</v>
      </c>
      <c r="L804" s="7" t="s">
        <v>20</v>
      </c>
      <c r="M804" s="7" t="s">
        <v>24</v>
      </c>
    </row>
    <row r="805" spans="1:13" x14ac:dyDescent="0.3">
      <c r="A805" s="7" t="str">
        <f>HYPERLINK("https://hsdes.intel.com/resource/14013115084","14013115084")</f>
        <v>14013115084</v>
      </c>
      <c r="B805" s="7" t="s">
        <v>1445</v>
      </c>
      <c r="C805" s="7" t="s">
        <v>1420</v>
      </c>
      <c r="D805" s="7" t="s">
        <v>1446</v>
      </c>
      <c r="E805" s="7" t="s">
        <v>11</v>
      </c>
      <c r="F805" s="7"/>
      <c r="G805" s="7" t="s">
        <v>1447</v>
      </c>
      <c r="H805" s="7"/>
      <c r="I805" s="10">
        <v>44755</v>
      </c>
      <c r="J805" s="7" t="s">
        <v>13</v>
      </c>
      <c r="K805" s="7" t="s">
        <v>439</v>
      </c>
      <c r="L805" s="7" t="s">
        <v>158</v>
      </c>
      <c r="M805" s="7" t="s">
        <v>16</v>
      </c>
    </row>
    <row r="806" spans="1:13" x14ac:dyDescent="0.3">
      <c r="A806" s="7" t="str">
        <f>HYPERLINK("https://hsdes.intel.com/resource/14013115112","14013115112")</f>
        <v>14013115112</v>
      </c>
      <c r="B806" s="7" t="s">
        <v>1448</v>
      </c>
      <c r="C806" s="7" t="s">
        <v>1420</v>
      </c>
      <c r="D806" s="7" t="s">
        <v>1449</v>
      </c>
      <c r="E806" s="7" t="s">
        <v>11</v>
      </c>
      <c r="F806" s="7"/>
      <c r="G806" s="7" t="s">
        <v>1447</v>
      </c>
      <c r="H806" s="7"/>
      <c r="I806" s="10">
        <v>44760</v>
      </c>
      <c r="J806" s="7" t="s">
        <v>13</v>
      </c>
      <c r="K806" s="7" t="s">
        <v>439</v>
      </c>
      <c r="L806" s="7" t="s">
        <v>158</v>
      </c>
      <c r="M806" s="7" t="s">
        <v>16</v>
      </c>
    </row>
    <row r="807" spans="1:13" x14ac:dyDescent="0.3">
      <c r="A807" s="7" t="str">
        <f>HYPERLINK("https://hsdes.intel.com/resource/14013115234","14013115234")</f>
        <v>14013115234</v>
      </c>
      <c r="B807" s="7" t="s">
        <v>949</v>
      </c>
      <c r="C807" s="7" t="s">
        <v>1420</v>
      </c>
      <c r="D807" s="7" t="s">
        <v>950</v>
      </c>
      <c r="E807" s="7"/>
      <c r="F807" s="7"/>
      <c r="G807" s="7" t="s">
        <v>833</v>
      </c>
      <c r="H807" s="7"/>
      <c r="I807" s="7"/>
      <c r="J807" s="7" t="s">
        <v>13</v>
      </c>
      <c r="K807" s="7" t="s">
        <v>639</v>
      </c>
      <c r="L807" s="7" t="s">
        <v>110</v>
      </c>
      <c r="M807" s="7" t="s">
        <v>24</v>
      </c>
    </row>
    <row r="808" spans="1:13" x14ac:dyDescent="0.3">
      <c r="A808" s="7" t="str">
        <f>HYPERLINK("https://hsdes.intel.com/resource/14013115275","14013115275")</f>
        <v>14013115275</v>
      </c>
      <c r="B808" s="7" t="s">
        <v>1450</v>
      </c>
      <c r="C808" s="7" t="s">
        <v>1420</v>
      </c>
      <c r="D808" s="7" t="s">
        <v>1451</v>
      </c>
      <c r="E808" s="7" t="s">
        <v>11</v>
      </c>
      <c r="F808" s="7"/>
      <c r="G808" s="7" t="s">
        <v>1447</v>
      </c>
      <c r="H808" s="7"/>
      <c r="I808" s="10">
        <v>44760</v>
      </c>
      <c r="J808" s="7" t="s">
        <v>13</v>
      </c>
      <c r="K808" s="7" t="s">
        <v>439</v>
      </c>
      <c r="L808" s="7" t="s">
        <v>158</v>
      </c>
      <c r="M808" s="7" t="s">
        <v>21</v>
      </c>
    </row>
    <row r="809" spans="1:13" x14ac:dyDescent="0.3">
      <c r="A809" s="25" t="str">
        <f>HYPERLINK("https://hsdes.intel.com/resource/14013115314","14013115314")</f>
        <v>14013115314</v>
      </c>
      <c r="B809" s="7" t="s">
        <v>1236</v>
      </c>
      <c r="C809" s="7" t="s">
        <v>1420</v>
      </c>
      <c r="D809" s="7" t="s">
        <v>1237</v>
      </c>
      <c r="E809" s="7"/>
      <c r="F809" s="7"/>
      <c r="G809" s="7" t="s">
        <v>833</v>
      </c>
      <c r="H809" s="7"/>
      <c r="I809" s="7"/>
      <c r="J809" s="7" t="s">
        <v>13</v>
      </c>
      <c r="K809" s="7" t="s">
        <v>14</v>
      </c>
      <c r="L809" s="7" t="s">
        <v>88</v>
      </c>
      <c r="M809" s="7" t="s">
        <v>16</v>
      </c>
    </row>
    <row r="810" spans="1:13" x14ac:dyDescent="0.3">
      <c r="A810" s="7" t="str">
        <f>HYPERLINK("https://hsdes.intel.com/resource/14013115327","14013115327")</f>
        <v>14013115327</v>
      </c>
      <c r="B810" s="7" t="s">
        <v>1452</v>
      </c>
      <c r="C810" s="7" t="s">
        <v>1420</v>
      </c>
      <c r="D810" s="7" t="s">
        <v>1453</v>
      </c>
      <c r="E810" s="7" t="s">
        <v>11</v>
      </c>
      <c r="F810" s="7"/>
      <c r="G810" s="7" t="s">
        <v>1429</v>
      </c>
      <c r="H810" s="7"/>
      <c r="I810" s="10">
        <v>44755</v>
      </c>
      <c r="J810" s="7" t="s">
        <v>13</v>
      </c>
      <c r="K810" s="7" t="s">
        <v>45</v>
      </c>
      <c r="L810" s="7" t="s">
        <v>544</v>
      </c>
      <c r="M810" s="7" t="s">
        <v>16</v>
      </c>
    </row>
    <row r="811" spans="1:13" x14ac:dyDescent="0.3">
      <c r="A811" s="7" t="str">
        <f>HYPERLINK("https://hsdes.intel.com/resource/14013115427","14013115427")</f>
        <v>14013115427</v>
      </c>
      <c r="B811" s="7" t="s">
        <v>952</v>
      </c>
      <c r="C811" s="7" t="s">
        <v>1420</v>
      </c>
      <c r="D811" s="7" t="s">
        <v>953</v>
      </c>
      <c r="E811" s="7"/>
      <c r="F811" s="7"/>
      <c r="G811" s="7" t="s">
        <v>833</v>
      </c>
      <c r="H811" s="7"/>
      <c r="I811" s="7"/>
      <c r="J811" s="7" t="s">
        <v>13</v>
      </c>
      <c r="K811" s="7" t="s">
        <v>639</v>
      </c>
      <c r="L811" s="7" t="s">
        <v>110</v>
      </c>
      <c r="M811" s="7" t="s">
        <v>16</v>
      </c>
    </row>
    <row r="812" spans="1:13" x14ac:dyDescent="0.3">
      <c r="A812" s="7" t="str">
        <f>HYPERLINK("https://hsdes.intel.com/resource/14013115566","14013115566")</f>
        <v>14013115566</v>
      </c>
      <c r="B812" s="7" t="s">
        <v>1454</v>
      </c>
      <c r="C812" s="7" t="s">
        <v>1420</v>
      </c>
      <c r="D812" s="7" t="s">
        <v>1455</v>
      </c>
      <c r="E812" s="7" t="s">
        <v>11</v>
      </c>
      <c r="F812" s="7" t="s">
        <v>1456</v>
      </c>
      <c r="G812" s="7" t="s">
        <v>1429</v>
      </c>
      <c r="H812" s="7"/>
      <c r="I812" s="10">
        <v>44755</v>
      </c>
      <c r="J812" s="7" t="s">
        <v>13</v>
      </c>
      <c r="K812" s="7" t="s">
        <v>639</v>
      </c>
      <c r="L812" s="7" t="s">
        <v>110</v>
      </c>
      <c r="M812" s="7" t="s">
        <v>16</v>
      </c>
    </row>
    <row r="813" spans="1:13" x14ac:dyDescent="0.3">
      <c r="A813" s="7" t="str">
        <f>HYPERLINK("https://hsdes.intel.com/resource/14013116396","14013116396")</f>
        <v>14013116396</v>
      </c>
      <c r="B813" s="7" t="s">
        <v>955</v>
      </c>
      <c r="C813" s="7" t="s">
        <v>1420</v>
      </c>
      <c r="D813" s="7" t="s">
        <v>956</v>
      </c>
      <c r="E813" s="7"/>
      <c r="F813" s="7"/>
      <c r="G813" s="7" t="s">
        <v>833</v>
      </c>
      <c r="H813" s="7"/>
      <c r="I813" s="7"/>
      <c r="J813" s="7" t="s">
        <v>13</v>
      </c>
      <c r="K813" s="7" t="s">
        <v>639</v>
      </c>
      <c r="L813" s="7" t="s">
        <v>110</v>
      </c>
      <c r="M813" s="7" t="s">
        <v>16</v>
      </c>
    </row>
    <row r="814" spans="1:13" x14ac:dyDescent="0.3">
      <c r="A814" s="7" t="str">
        <f>HYPERLINK("https://hsdes.intel.com/resource/14013116815","14013116815")</f>
        <v>14013116815</v>
      </c>
      <c r="B814" s="7" t="s">
        <v>1457</v>
      </c>
      <c r="C814" s="7" t="s">
        <v>1420</v>
      </c>
      <c r="D814" s="7" t="s">
        <v>1458</v>
      </c>
      <c r="E814" s="7" t="s">
        <v>11</v>
      </c>
      <c r="F814" s="7"/>
      <c r="G814" s="7" t="s">
        <v>1447</v>
      </c>
      <c r="H814" s="7"/>
      <c r="I814" s="10">
        <v>44755</v>
      </c>
      <c r="J814" s="7" t="s">
        <v>13</v>
      </c>
      <c r="K814" s="7" t="s">
        <v>439</v>
      </c>
      <c r="L814" s="7" t="s">
        <v>158</v>
      </c>
      <c r="M814" s="7" t="s">
        <v>16</v>
      </c>
    </row>
    <row r="815" spans="1:13" x14ac:dyDescent="0.3">
      <c r="A815" s="7" t="str">
        <f>HYPERLINK("https://hsdes.intel.com/resource/14013116828","14013116828")</f>
        <v>14013116828</v>
      </c>
      <c r="B815" s="7" t="s">
        <v>958</v>
      </c>
      <c r="C815" s="7" t="s">
        <v>1420</v>
      </c>
      <c r="D815" s="7" t="s">
        <v>959</v>
      </c>
      <c r="E815" s="7"/>
      <c r="F815" s="7"/>
      <c r="G815" s="7" t="s">
        <v>833</v>
      </c>
      <c r="H815" s="7"/>
      <c r="I815" s="7"/>
      <c r="J815" s="7" t="s">
        <v>13</v>
      </c>
      <c r="K815" s="7" t="s">
        <v>639</v>
      </c>
      <c r="L815" s="7" t="s">
        <v>110</v>
      </c>
      <c r="M815" s="7" t="s">
        <v>16</v>
      </c>
    </row>
    <row r="816" spans="1:13" x14ac:dyDescent="0.3">
      <c r="A816" s="7" t="str">
        <f>HYPERLINK("https://hsdes.intel.com/resource/14013117056","14013117056")</f>
        <v>14013117056</v>
      </c>
      <c r="B816" s="7" t="s">
        <v>1459</v>
      </c>
      <c r="C816" s="7" t="s">
        <v>1420</v>
      </c>
      <c r="D816" s="7" t="s">
        <v>1460</v>
      </c>
      <c r="E816" s="7" t="s">
        <v>11</v>
      </c>
      <c r="F816" s="7"/>
      <c r="G816" s="7" t="s">
        <v>1461</v>
      </c>
      <c r="H816" s="7"/>
      <c r="I816" s="10">
        <v>44755</v>
      </c>
      <c r="J816" s="7" t="s">
        <v>13</v>
      </c>
      <c r="K816" s="7" t="s">
        <v>147</v>
      </c>
      <c r="L816" s="7" t="s">
        <v>29</v>
      </c>
      <c r="M816" s="7" t="s">
        <v>24</v>
      </c>
    </row>
    <row r="817" spans="1:13" x14ac:dyDescent="0.3">
      <c r="A817" s="7" t="str">
        <f>HYPERLINK("https://hsdes.intel.com/resource/14013117106","14013117106")</f>
        <v>14013117106</v>
      </c>
      <c r="B817" s="7" t="s">
        <v>1462</v>
      </c>
      <c r="C817" s="7" t="s">
        <v>1420</v>
      </c>
      <c r="D817" s="7" t="s">
        <v>1463</v>
      </c>
      <c r="E817" s="7" t="s">
        <v>11</v>
      </c>
      <c r="F817" s="7"/>
      <c r="G817" s="7" t="s">
        <v>1447</v>
      </c>
      <c r="H817" s="7"/>
      <c r="I817" s="10">
        <v>44754</v>
      </c>
      <c r="J817" s="7" t="s">
        <v>13</v>
      </c>
      <c r="K817" s="7" t="s">
        <v>439</v>
      </c>
      <c r="L817" s="7" t="s">
        <v>158</v>
      </c>
      <c r="M817" s="7" t="s">
        <v>24</v>
      </c>
    </row>
    <row r="818" spans="1:13" x14ac:dyDescent="0.3">
      <c r="A818" s="7" t="str">
        <f>HYPERLINK("https://hsdes.intel.com/resource/14013117134","14013117134")</f>
        <v>14013117134</v>
      </c>
      <c r="B818" s="7" t="s">
        <v>1464</v>
      </c>
      <c r="C818" s="7" t="s">
        <v>1420</v>
      </c>
      <c r="D818" s="7" t="s">
        <v>1465</v>
      </c>
      <c r="E818" s="7"/>
      <c r="F818" s="7"/>
      <c r="G818" s="7" t="s">
        <v>541</v>
      </c>
      <c r="H818" s="7"/>
      <c r="I818" s="7"/>
      <c r="J818" s="7" t="s">
        <v>13</v>
      </c>
      <c r="K818" s="7" t="s">
        <v>439</v>
      </c>
      <c r="L818" s="7" t="s">
        <v>158</v>
      </c>
      <c r="M818" s="7" t="s">
        <v>21</v>
      </c>
    </row>
    <row r="819" spans="1:13" x14ac:dyDescent="0.3">
      <c r="A819" s="7" t="str">
        <f>HYPERLINK("https://hsdes.intel.com/resource/14013117177","14013117177")</f>
        <v>14013117177</v>
      </c>
      <c r="B819" s="7" t="s">
        <v>1466</v>
      </c>
      <c r="C819" s="7" t="s">
        <v>1420</v>
      </c>
      <c r="D819" s="7" t="s">
        <v>1467</v>
      </c>
      <c r="E819" s="7" t="s">
        <v>11</v>
      </c>
      <c r="F819" s="7"/>
      <c r="G819" s="7" t="s">
        <v>1461</v>
      </c>
      <c r="H819" s="7"/>
      <c r="I819" s="10">
        <v>44755</v>
      </c>
      <c r="J819" s="7" t="s">
        <v>192</v>
      </c>
      <c r="K819" s="7" t="s">
        <v>290</v>
      </c>
      <c r="L819" s="7" t="s">
        <v>291</v>
      </c>
      <c r="M819" s="7" t="s">
        <v>16</v>
      </c>
    </row>
    <row r="820" spans="1:13" x14ac:dyDescent="0.3">
      <c r="A820" s="7" t="str">
        <f>HYPERLINK("https://hsdes.intel.com/resource/14013117217","14013117217")</f>
        <v>14013117217</v>
      </c>
      <c r="B820" s="7" t="s">
        <v>961</v>
      </c>
      <c r="C820" s="7" t="s">
        <v>1420</v>
      </c>
      <c r="D820" s="7" t="s">
        <v>962</v>
      </c>
      <c r="E820" s="7"/>
      <c r="F820" s="7"/>
      <c r="G820" s="7" t="s">
        <v>833</v>
      </c>
      <c r="H820" s="7"/>
      <c r="I820" s="7"/>
      <c r="J820" s="7" t="s">
        <v>13</v>
      </c>
      <c r="K820" s="7" t="s">
        <v>639</v>
      </c>
      <c r="L820" s="7" t="s">
        <v>110</v>
      </c>
      <c r="M820" s="7" t="s">
        <v>16</v>
      </c>
    </row>
    <row r="821" spans="1:13" x14ac:dyDescent="0.3">
      <c r="A821" s="7" t="str">
        <f>HYPERLINK("https://hsdes.intel.com/resource/14013117280","14013117280")</f>
        <v>14013117280</v>
      </c>
      <c r="B821" s="7" t="s">
        <v>1468</v>
      </c>
      <c r="C821" s="7" t="s">
        <v>1420</v>
      </c>
      <c r="D821" s="7" t="s">
        <v>1469</v>
      </c>
      <c r="E821" s="7" t="s">
        <v>11</v>
      </c>
      <c r="F821" s="7"/>
      <c r="G821" s="7" t="s">
        <v>1447</v>
      </c>
      <c r="H821" s="7"/>
      <c r="I821" s="10">
        <v>44756</v>
      </c>
      <c r="J821" s="7" t="s">
        <v>13</v>
      </c>
      <c r="K821" s="7" t="s">
        <v>157</v>
      </c>
      <c r="L821" s="7" t="s">
        <v>158</v>
      </c>
      <c r="M821" s="7" t="s">
        <v>16</v>
      </c>
    </row>
    <row r="822" spans="1:13" x14ac:dyDescent="0.3">
      <c r="A822" s="7" t="str">
        <f>HYPERLINK("https://hsdes.intel.com/resource/14013117320","14013117320")</f>
        <v>14013117320</v>
      </c>
      <c r="B822" s="7" t="s">
        <v>1470</v>
      </c>
      <c r="C822" s="7" t="s">
        <v>1420</v>
      </c>
      <c r="D822" s="7" t="s">
        <v>1471</v>
      </c>
      <c r="E822" s="7" t="s">
        <v>11</v>
      </c>
      <c r="F822" s="7"/>
      <c r="G822" s="7" t="s">
        <v>1472</v>
      </c>
      <c r="H822" s="7"/>
      <c r="I822" s="10">
        <v>44755</v>
      </c>
      <c r="J822" s="7" t="s">
        <v>192</v>
      </c>
      <c r="K822" s="7" t="s">
        <v>523</v>
      </c>
      <c r="L822" s="7" t="s">
        <v>291</v>
      </c>
      <c r="M822" s="7" t="s">
        <v>16</v>
      </c>
    </row>
    <row r="823" spans="1:13" x14ac:dyDescent="0.3">
      <c r="A823" s="7" t="str">
        <f>HYPERLINK("https://hsdes.intel.com/resource/14013117361","14013117361")</f>
        <v>14013117361</v>
      </c>
      <c r="B823" s="7" t="s">
        <v>964</v>
      </c>
      <c r="C823" s="7" t="s">
        <v>1420</v>
      </c>
      <c r="D823" s="7" t="s">
        <v>965</v>
      </c>
      <c r="E823" s="7"/>
      <c r="F823" s="7"/>
      <c r="G823" s="7" t="s">
        <v>833</v>
      </c>
      <c r="H823" s="7"/>
      <c r="I823" s="7"/>
      <c r="J823" s="7" t="s">
        <v>13</v>
      </c>
      <c r="K823" s="7" t="s">
        <v>639</v>
      </c>
      <c r="L823" s="7" t="s">
        <v>110</v>
      </c>
      <c r="M823" s="7" t="s">
        <v>16</v>
      </c>
    </row>
    <row r="824" spans="1:13" x14ac:dyDescent="0.3">
      <c r="A824" s="7" t="str">
        <f>HYPERLINK("https://hsdes.intel.com/resource/14013118179","14013118179")</f>
        <v>14013118179</v>
      </c>
      <c r="B824" s="7" t="s">
        <v>1320</v>
      </c>
      <c r="C824" s="7" t="s">
        <v>1420</v>
      </c>
      <c r="D824" s="7" t="s">
        <v>1321</v>
      </c>
      <c r="E824" s="7"/>
      <c r="F824" s="7"/>
      <c r="G824" s="7" t="s">
        <v>833</v>
      </c>
      <c r="H824" s="7"/>
      <c r="I824" s="7"/>
      <c r="J824" s="7" t="s">
        <v>192</v>
      </c>
      <c r="K824" s="7" t="s">
        <v>1322</v>
      </c>
      <c r="L824" s="7" t="s">
        <v>291</v>
      </c>
      <c r="M824" s="7" t="s">
        <v>21</v>
      </c>
    </row>
    <row r="825" spans="1:13" x14ac:dyDescent="0.3">
      <c r="A825" s="7" t="str">
        <f>HYPERLINK("https://hsdes.intel.com/resource/14013118472","14013118472")</f>
        <v>14013118472</v>
      </c>
      <c r="B825" s="7" t="s">
        <v>1473</v>
      </c>
      <c r="C825" s="7" t="s">
        <v>1420</v>
      </c>
      <c r="D825" s="7" t="s">
        <v>1474</v>
      </c>
      <c r="E825" s="7" t="s">
        <v>11</v>
      </c>
      <c r="F825" s="7"/>
      <c r="G825" s="7" t="s">
        <v>1475</v>
      </c>
      <c r="H825" s="7"/>
      <c r="I825" s="7"/>
      <c r="J825" s="7" t="s">
        <v>13</v>
      </c>
      <c r="K825" s="7" t="s">
        <v>45</v>
      </c>
      <c r="L825" s="7" t="s">
        <v>581</v>
      </c>
      <c r="M825" s="7" t="s">
        <v>16</v>
      </c>
    </row>
    <row r="826" spans="1:13" x14ac:dyDescent="0.3">
      <c r="A826" s="7" t="str">
        <f>HYPERLINK("https://hsdes.intel.com/resource/14013118496","14013118496")</f>
        <v>14013118496</v>
      </c>
      <c r="B826" s="7" t="s">
        <v>1476</v>
      </c>
      <c r="C826" s="7" t="s">
        <v>1420</v>
      </c>
      <c r="D826" s="7" t="s">
        <v>1477</v>
      </c>
      <c r="E826" s="7" t="s">
        <v>11</v>
      </c>
      <c r="F826" s="7"/>
      <c r="G826" s="7" t="s">
        <v>1429</v>
      </c>
      <c r="H826" s="7"/>
      <c r="I826" s="10">
        <v>44754</v>
      </c>
      <c r="J826" s="7" t="s">
        <v>13</v>
      </c>
      <c r="K826" s="7" t="s">
        <v>553</v>
      </c>
      <c r="L826" s="7" t="s">
        <v>544</v>
      </c>
      <c r="M826" s="7" t="s">
        <v>16</v>
      </c>
    </row>
    <row r="827" spans="1:13" x14ac:dyDescent="0.3">
      <c r="A827" s="7" t="str">
        <f>HYPERLINK("https://hsdes.intel.com/resource/14013118541","14013118541")</f>
        <v>14013118541</v>
      </c>
      <c r="B827" s="7" t="s">
        <v>1478</v>
      </c>
      <c r="C827" s="7" t="s">
        <v>1420</v>
      </c>
      <c r="D827" s="7" t="s">
        <v>1479</v>
      </c>
      <c r="E827" s="7" t="s">
        <v>11</v>
      </c>
      <c r="F827" s="7"/>
      <c r="G827" s="7" t="s">
        <v>1475</v>
      </c>
      <c r="H827" s="7"/>
      <c r="I827" s="7"/>
      <c r="J827" s="7" t="s">
        <v>13</v>
      </c>
      <c r="K827" s="7" t="s">
        <v>45</v>
      </c>
      <c r="L827" s="7" t="s">
        <v>581</v>
      </c>
      <c r="M827" s="7" t="s">
        <v>16</v>
      </c>
    </row>
    <row r="828" spans="1:13" x14ac:dyDescent="0.3">
      <c r="A828" s="7" t="str">
        <f>HYPERLINK("https://hsdes.intel.com/resource/14013118672","14013118672")</f>
        <v>14013118672</v>
      </c>
      <c r="B828" s="7" t="s">
        <v>1480</v>
      </c>
      <c r="C828" s="7" t="s">
        <v>1420</v>
      </c>
      <c r="D828" s="7" t="s">
        <v>1481</v>
      </c>
      <c r="E828" s="7" t="s">
        <v>11</v>
      </c>
      <c r="F828" s="7"/>
      <c r="G828" s="7" t="s">
        <v>1482</v>
      </c>
      <c r="H828" s="7"/>
      <c r="I828" s="10">
        <v>44754</v>
      </c>
      <c r="J828" s="7" t="s">
        <v>13</v>
      </c>
      <c r="K828" s="7" t="s">
        <v>523</v>
      </c>
      <c r="L828" s="7" t="s">
        <v>660</v>
      </c>
      <c r="M828" s="7" t="s">
        <v>16</v>
      </c>
    </row>
    <row r="829" spans="1:13" x14ac:dyDescent="0.3">
      <c r="A829" s="7" t="str">
        <f>HYPERLINK("https://hsdes.intel.com/resource/14013118721","14013118721")</f>
        <v>14013118721</v>
      </c>
      <c r="B829" s="7" t="s">
        <v>1483</v>
      </c>
      <c r="C829" s="7" t="s">
        <v>1420</v>
      </c>
      <c r="D829" s="7" t="s">
        <v>1484</v>
      </c>
      <c r="E829" s="7" t="s">
        <v>11</v>
      </c>
      <c r="F829" s="7"/>
      <c r="G829" s="7" t="s">
        <v>1429</v>
      </c>
      <c r="H829" s="7"/>
      <c r="I829" s="10">
        <v>44755</v>
      </c>
      <c r="J829" s="7" t="s">
        <v>13</v>
      </c>
      <c r="K829" s="7" t="s">
        <v>45</v>
      </c>
      <c r="L829" s="7" t="s">
        <v>544</v>
      </c>
      <c r="M829" s="7" t="s">
        <v>16</v>
      </c>
    </row>
    <row r="830" spans="1:13" x14ac:dyDescent="0.3">
      <c r="A830" s="7" t="str">
        <f>HYPERLINK("https://hsdes.intel.com/resource/14013118785","14013118785")</f>
        <v>14013118785</v>
      </c>
      <c r="B830" s="7" t="s">
        <v>1485</v>
      </c>
      <c r="C830" s="7" t="s">
        <v>1420</v>
      </c>
      <c r="D830" s="7" t="s">
        <v>1486</v>
      </c>
      <c r="E830" s="7" t="s">
        <v>11</v>
      </c>
      <c r="F830" s="7"/>
      <c r="G830" s="7" t="s">
        <v>1475</v>
      </c>
      <c r="H830" s="7"/>
      <c r="I830" s="7"/>
      <c r="J830" s="7" t="s">
        <v>13</v>
      </c>
      <c r="K830" s="7" t="s">
        <v>45</v>
      </c>
      <c r="L830" s="7" t="s">
        <v>581</v>
      </c>
      <c r="M830" s="7" t="s">
        <v>16</v>
      </c>
    </row>
    <row r="831" spans="1:13" x14ac:dyDescent="0.3">
      <c r="A831" s="7" t="str">
        <f>HYPERLINK("https://hsdes.intel.com/resource/14013118908","14013118908")</f>
        <v>14013118908</v>
      </c>
      <c r="B831" s="7" t="s">
        <v>1487</v>
      </c>
      <c r="C831" s="7" t="s">
        <v>1420</v>
      </c>
      <c r="D831" s="7" t="s">
        <v>1488</v>
      </c>
      <c r="E831" s="7" t="s">
        <v>11</v>
      </c>
      <c r="F831" s="7"/>
      <c r="G831" s="7" t="s">
        <v>1429</v>
      </c>
      <c r="H831" s="7"/>
      <c r="I831" s="10">
        <v>44755</v>
      </c>
      <c r="J831" s="7" t="s">
        <v>13</v>
      </c>
      <c r="K831" s="7" t="s">
        <v>45</v>
      </c>
      <c r="L831" s="7" t="s">
        <v>544</v>
      </c>
      <c r="M831" s="7" t="s">
        <v>16</v>
      </c>
    </row>
    <row r="832" spans="1:13" x14ac:dyDescent="0.3">
      <c r="A832" s="7" t="str">
        <f>HYPERLINK("https://hsdes.intel.com/resource/14013119169","14013119169")</f>
        <v>14013119169</v>
      </c>
      <c r="B832" s="7" t="s">
        <v>1239</v>
      </c>
      <c r="C832" s="7" t="s">
        <v>1420</v>
      </c>
      <c r="D832" s="7" t="s">
        <v>1240</v>
      </c>
      <c r="E832" s="7"/>
      <c r="F832" s="7"/>
      <c r="G832" s="7" t="s">
        <v>833</v>
      </c>
      <c r="H832" s="7"/>
      <c r="I832" s="7"/>
      <c r="J832" s="7" t="s">
        <v>13</v>
      </c>
      <c r="K832" s="7" t="s">
        <v>14</v>
      </c>
      <c r="L832" s="7" t="s">
        <v>88</v>
      </c>
      <c r="M832" s="7" t="s">
        <v>16</v>
      </c>
    </row>
    <row r="833" spans="1:13" x14ac:dyDescent="0.3">
      <c r="A833" s="7" t="str">
        <f>HYPERLINK("https://hsdes.intel.com/resource/14013119238","14013119238")</f>
        <v>14013119238</v>
      </c>
      <c r="B833" s="7" t="s">
        <v>1489</v>
      </c>
      <c r="C833" s="7" t="s">
        <v>1420</v>
      </c>
      <c r="D833" s="7" t="s">
        <v>1490</v>
      </c>
      <c r="E833" s="7" t="s">
        <v>11</v>
      </c>
      <c r="F833" s="7"/>
      <c r="G833" s="7" t="s">
        <v>1429</v>
      </c>
      <c r="H833" s="7"/>
      <c r="I833" s="10">
        <v>44754</v>
      </c>
      <c r="J833" s="7" t="s">
        <v>13</v>
      </c>
      <c r="K833" s="7" t="s">
        <v>45</v>
      </c>
      <c r="L833" s="7" t="s">
        <v>544</v>
      </c>
      <c r="M833" s="7" t="s">
        <v>16</v>
      </c>
    </row>
    <row r="834" spans="1:13" x14ac:dyDescent="0.3">
      <c r="A834" s="7" t="str">
        <f>HYPERLINK("https://hsdes.intel.com/resource/14013119299","14013119299")</f>
        <v>14013119299</v>
      </c>
      <c r="B834" s="7" t="s">
        <v>1491</v>
      </c>
      <c r="C834" s="7" t="s">
        <v>1420</v>
      </c>
      <c r="D834" s="7" t="s">
        <v>1492</v>
      </c>
      <c r="E834" s="7" t="s">
        <v>11</v>
      </c>
      <c r="F834" s="7"/>
      <c r="G834" s="7" t="s">
        <v>1475</v>
      </c>
      <c r="H834" s="7"/>
      <c r="I834" s="7"/>
      <c r="J834" s="7" t="s">
        <v>13</v>
      </c>
      <c r="K834" s="7" t="s">
        <v>523</v>
      </c>
      <c r="L834" s="7" t="s">
        <v>29</v>
      </c>
      <c r="M834" s="7" t="s">
        <v>24</v>
      </c>
    </row>
    <row r="835" spans="1:13" x14ac:dyDescent="0.3">
      <c r="A835" s="7" t="str">
        <f>HYPERLINK("https://hsdes.intel.com/resource/14013119442","14013119442")</f>
        <v>14013119442</v>
      </c>
      <c r="B835" s="7" t="s">
        <v>1493</v>
      </c>
      <c r="C835" s="7" t="s">
        <v>1420</v>
      </c>
      <c r="D835" s="7" t="s">
        <v>1494</v>
      </c>
      <c r="E835" s="7" t="s">
        <v>37</v>
      </c>
      <c r="F835" s="7" t="s">
        <v>37</v>
      </c>
      <c r="G835" s="7" t="s">
        <v>369</v>
      </c>
      <c r="H835" s="7"/>
      <c r="I835" s="7"/>
      <c r="J835" s="7" t="s">
        <v>13</v>
      </c>
      <c r="K835" s="7" t="s">
        <v>33</v>
      </c>
      <c r="L835" s="7" t="s">
        <v>34</v>
      </c>
      <c r="M835" s="7" t="s">
        <v>24</v>
      </c>
    </row>
    <row r="836" spans="1:13" x14ac:dyDescent="0.3">
      <c r="A836" s="7" t="str">
        <f>HYPERLINK("https://hsdes.intel.com/resource/14013119607","14013119607")</f>
        <v>14013119607</v>
      </c>
      <c r="B836" s="7" t="s">
        <v>1242</v>
      </c>
      <c r="C836" s="7" t="s">
        <v>1420</v>
      </c>
      <c r="D836" s="7" t="s">
        <v>1243</v>
      </c>
      <c r="E836" s="7" t="s">
        <v>37</v>
      </c>
      <c r="F836" s="7"/>
      <c r="G836" s="7" t="s">
        <v>833</v>
      </c>
      <c r="H836" s="7"/>
      <c r="I836" s="7"/>
      <c r="J836" s="7" t="s">
        <v>13</v>
      </c>
      <c r="K836" s="7" t="s">
        <v>14</v>
      </c>
      <c r="L836" s="7" t="s">
        <v>88</v>
      </c>
      <c r="M836" s="7" t="s">
        <v>16</v>
      </c>
    </row>
    <row r="837" spans="1:13" x14ac:dyDescent="0.3">
      <c r="A837" s="7" t="str">
        <f>HYPERLINK("https://hsdes.intel.com/resource/14013119621","14013119621")</f>
        <v>14013119621</v>
      </c>
      <c r="B837" s="7" t="s">
        <v>1495</v>
      </c>
      <c r="C837" s="7" t="s">
        <v>1420</v>
      </c>
      <c r="D837" s="7" t="s">
        <v>1496</v>
      </c>
      <c r="E837" s="7" t="s">
        <v>37</v>
      </c>
      <c r="F837" s="7"/>
      <c r="G837" s="7" t="s">
        <v>1482</v>
      </c>
      <c r="H837" s="7"/>
      <c r="I837" s="10">
        <v>44755</v>
      </c>
      <c r="J837" s="7" t="s">
        <v>13</v>
      </c>
      <c r="K837" s="7" t="s">
        <v>14</v>
      </c>
      <c r="L837" s="7" t="s">
        <v>15</v>
      </c>
      <c r="M837" s="7" t="s">
        <v>16</v>
      </c>
    </row>
    <row r="838" spans="1:13" x14ac:dyDescent="0.3">
      <c r="A838" s="7" t="str">
        <f>HYPERLINK("https://hsdes.intel.com/resource/14013119649","14013119649")</f>
        <v>14013119649</v>
      </c>
      <c r="B838" s="7" t="s">
        <v>1245</v>
      </c>
      <c r="C838" s="7" t="s">
        <v>1420</v>
      </c>
      <c r="D838" s="7" t="s">
        <v>1246</v>
      </c>
      <c r="E838" s="7"/>
      <c r="F838" s="7"/>
      <c r="G838" s="7" t="s">
        <v>833</v>
      </c>
      <c r="H838" s="7"/>
      <c r="I838" s="7"/>
      <c r="J838" s="7" t="s">
        <v>13</v>
      </c>
      <c r="K838" s="7" t="s">
        <v>14</v>
      </c>
      <c r="L838" s="7" t="s">
        <v>88</v>
      </c>
      <c r="M838" s="7" t="s">
        <v>16</v>
      </c>
    </row>
    <row r="839" spans="1:13" x14ac:dyDescent="0.3">
      <c r="A839" s="7" t="str">
        <f>HYPERLINK("https://hsdes.intel.com/resource/14013119741","14013119741")</f>
        <v>14013119741</v>
      </c>
      <c r="B839" s="7" t="s">
        <v>1497</v>
      </c>
      <c r="C839" s="7" t="s">
        <v>1420</v>
      </c>
      <c r="D839" s="7" t="s">
        <v>1498</v>
      </c>
      <c r="E839" s="7" t="s">
        <v>11</v>
      </c>
      <c r="F839" s="7"/>
      <c r="G839" s="7" t="s">
        <v>1447</v>
      </c>
      <c r="H839" s="7"/>
      <c r="I839" s="10">
        <v>44756</v>
      </c>
      <c r="J839" s="7" t="s">
        <v>13</v>
      </c>
      <c r="K839" s="7" t="s">
        <v>439</v>
      </c>
      <c r="L839" s="7" t="s">
        <v>158</v>
      </c>
      <c r="M839" s="7" t="s">
        <v>16</v>
      </c>
    </row>
    <row r="840" spans="1:13" x14ac:dyDescent="0.3">
      <c r="A840" s="7" t="str">
        <f>HYPERLINK("https://hsdes.intel.com/resource/14013120050","14013120050")</f>
        <v>14013120050</v>
      </c>
      <c r="B840" s="7" t="s">
        <v>1248</v>
      </c>
      <c r="C840" s="7" t="s">
        <v>1420</v>
      </c>
      <c r="D840" s="7" t="s">
        <v>1249</v>
      </c>
      <c r="E840" s="7"/>
      <c r="F840" s="7"/>
      <c r="G840" s="7" t="s">
        <v>833</v>
      </c>
      <c r="H840" s="7"/>
      <c r="I840" s="7"/>
      <c r="J840" s="7" t="s">
        <v>13</v>
      </c>
      <c r="K840" s="7" t="s">
        <v>14</v>
      </c>
      <c r="L840" s="7" t="s">
        <v>88</v>
      </c>
      <c r="M840" s="7" t="s">
        <v>16</v>
      </c>
    </row>
    <row r="841" spans="1:13" x14ac:dyDescent="0.3">
      <c r="A841" s="7" t="str">
        <f>HYPERLINK("https://hsdes.intel.com/resource/14013120106","14013120106")</f>
        <v>14013120106</v>
      </c>
      <c r="B841" s="7" t="s">
        <v>1499</v>
      </c>
      <c r="C841" s="7" t="s">
        <v>1420</v>
      </c>
      <c r="D841" s="7" t="s">
        <v>1500</v>
      </c>
      <c r="E841" s="7" t="s">
        <v>11</v>
      </c>
      <c r="F841" s="7"/>
      <c r="G841" s="7" t="s">
        <v>345</v>
      </c>
      <c r="H841" s="7"/>
      <c r="I841" s="10">
        <v>44760</v>
      </c>
      <c r="J841" s="7" t="s">
        <v>13</v>
      </c>
      <c r="K841" s="7" t="s">
        <v>147</v>
      </c>
      <c r="L841" s="7" t="s">
        <v>29</v>
      </c>
      <c r="M841" s="7" t="s">
        <v>24</v>
      </c>
    </row>
    <row r="842" spans="1:13" x14ac:dyDescent="0.3">
      <c r="A842" s="7" t="str">
        <f>HYPERLINK("https://hsdes.intel.com/resource/14013120118","14013120118")</f>
        <v>14013120118</v>
      </c>
      <c r="B842" s="7" t="s">
        <v>1501</v>
      </c>
      <c r="C842" s="7" t="s">
        <v>1420</v>
      </c>
      <c r="D842" s="7" t="s">
        <v>1502</v>
      </c>
      <c r="E842" s="7" t="s">
        <v>11</v>
      </c>
      <c r="F842" s="7"/>
      <c r="G842" s="7" t="s">
        <v>369</v>
      </c>
      <c r="H842" s="7"/>
      <c r="I842" s="10">
        <v>44762</v>
      </c>
      <c r="J842" s="7" t="s">
        <v>13</v>
      </c>
      <c r="K842" s="7" t="s">
        <v>147</v>
      </c>
      <c r="L842" s="7" t="s">
        <v>29</v>
      </c>
      <c r="M842" s="7" t="s">
        <v>24</v>
      </c>
    </row>
    <row r="843" spans="1:13" x14ac:dyDescent="0.3">
      <c r="A843" s="7" t="str">
        <f>HYPERLINK("https://hsdes.intel.com/resource/14013120187","14013120187")</f>
        <v>14013120187</v>
      </c>
      <c r="B843" s="7" t="s">
        <v>1503</v>
      </c>
      <c r="C843" s="7" t="s">
        <v>1420</v>
      </c>
      <c r="D843" s="7" t="s">
        <v>1504</v>
      </c>
      <c r="E843" s="7" t="s">
        <v>11</v>
      </c>
      <c r="F843" s="7"/>
      <c r="G843" s="7" t="s">
        <v>1447</v>
      </c>
      <c r="H843" s="7"/>
      <c r="I843" s="10">
        <v>44754</v>
      </c>
      <c r="J843" s="7" t="s">
        <v>13</v>
      </c>
      <c r="K843" s="7" t="s">
        <v>439</v>
      </c>
      <c r="L843" s="7" t="s">
        <v>158</v>
      </c>
      <c r="M843" s="7" t="s">
        <v>16</v>
      </c>
    </row>
    <row r="844" spans="1:13" x14ac:dyDescent="0.3">
      <c r="A844" s="7" t="str">
        <f>HYPERLINK("https://hsdes.intel.com/resource/14013120372","14013120372")</f>
        <v>14013120372</v>
      </c>
      <c r="B844" s="7" t="s">
        <v>1505</v>
      </c>
      <c r="C844" s="7" t="s">
        <v>1420</v>
      </c>
      <c r="D844" s="7" t="s">
        <v>1506</v>
      </c>
      <c r="E844" s="7" t="s">
        <v>37</v>
      </c>
      <c r="F844" s="7" t="s">
        <v>1507</v>
      </c>
      <c r="G844" s="7" t="s">
        <v>1447</v>
      </c>
      <c r="H844" s="7"/>
      <c r="I844" s="10">
        <v>44763</v>
      </c>
      <c r="J844" s="7" t="s">
        <v>13</v>
      </c>
      <c r="K844" s="7" t="s">
        <v>45</v>
      </c>
      <c r="L844" s="7" t="s">
        <v>544</v>
      </c>
      <c r="M844" s="7" t="s">
        <v>16</v>
      </c>
    </row>
    <row r="845" spans="1:13" x14ac:dyDescent="0.3">
      <c r="A845" s="7" t="str">
        <f>HYPERLINK("https://hsdes.intel.com/resource/14013120386","14013120386")</f>
        <v>14013120386</v>
      </c>
      <c r="B845" s="7" t="s">
        <v>1508</v>
      </c>
      <c r="C845" s="7" t="s">
        <v>1420</v>
      </c>
      <c r="D845" s="7" t="s">
        <v>1509</v>
      </c>
      <c r="E845" s="7" t="s">
        <v>11</v>
      </c>
      <c r="F845" s="7"/>
      <c r="G845" s="7" t="s">
        <v>369</v>
      </c>
      <c r="H845" s="7"/>
      <c r="I845" s="10">
        <v>44764</v>
      </c>
      <c r="J845" s="7" t="s">
        <v>192</v>
      </c>
      <c r="K845" s="7" t="s">
        <v>296</v>
      </c>
      <c r="L845" s="7" t="s">
        <v>297</v>
      </c>
      <c r="M845" s="7" t="s">
        <v>16</v>
      </c>
    </row>
    <row r="846" spans="1:13" x14ac:dyDescent="0.3">
      <c r="A846" s="7" t="str">
        <f>HYPERLINK("https://hsdes.intel.com/resource/14013120401","14013120401")</f>
        <v>14013120401</v>
      </c>
      <c r="B846" s="7" t="s">
        <v>1510</v>
      </c>
      <c r="C846" s="7" t="s">
        <v>1420</v>
      </c>
      <c r="D846" s="7" t="s">
        <v>1511</v>
      </c>
      <c r="E846" s="7" t="s">
        <v>37</v>
      </c>
      <c r="F846" s="7" t="s">
        <v>1512</v>
      </c>
      <c r="G846" s="7" t="s">
        <v>345</v>
      </c>
      <c r="H846" s="7"/>
      <c r="I846" s="10">
        <v>44757</v>
      </c>
      <c r="J846" s="7" t="s">
        <v>192</v>
      </c>
      <c r="K846" s="7" t="s">
        <v>290</v>
      </c>
      <c r="L846" s="7" t="s">
        <v>291</v>
      </c>
      <c r="M846" s="7" t="s">
        <v>21</v>
      </c>
    </row>
    <row r="847" spans="1:13" x14ac:dyDescent="0.3">
      <c r="A847" s="7" t="str">
        <f>HYPERLINK("https://hsdes.intel.com/resource/14013120427","14013120427")</f>
        <v>14013120427</v>
      </c>
      <c r="B847" s="7" t="s">
        <v>1513</v>
      </c>
      <c r="C847" s="7" t="s">
        <v>1420</v>
      </c>
      <c r="D847" s="7" t="s">
        <v>1514</v>
      </c>
      <c r="E847" s="7" t="s">
        <v>11</v>
      </c>
      <c r="F847" s="7"/>
      <c r="G847" s="7" t="s">
        <v>1461</v>
      </c>
      <c r="H847" s="7"/>
      <c r="I847" s="10">
        <v>44755</v>
      </c>
      <c r="J847" s="7" t="s">
        <v>192</v>
      </c>
      <c r="K847" s="7" t="s">
        <v>1515</v>
      </c>
      <c r="L847" s="7" t="s">
        <v>291</v>
      </c>
      <c r="M847" s="7" t="s">
        <v>24</v>
      </c>
    </row>
    <row r="848" spans="1:13" x14ac:dyDescent="0.3">
      <c r="A848" s="7" t="str">
        <f>HYPERLINK("https://hsdes.intel.com/resource/14013120472","14013120472")</f>
        <v>14013120472</v>
      </c>
      <c r="B848" s="7" t="s">
        <v>1516</v>
      </c>
      <c r="C848" s="7" t="s">
        <v>1420</v>
      </c>
      <c r="D848" s="7" t="s">
        <v>1517</v>
      </c>
      <c r="E848" s="7" t="s">
        <v>11</v>
      </c>
      <c r="F848" s="7"/>
      <c r="G848" s="7" t="s">
        <v>369</v>
      </c>
      <c r="H848" s="7"/>
      <c r="I848" s="10">
        <v>44762</v>
      </c>
      <c r="J848" s="7" t="s">
        <v>13</v>
      </c>
      <c r="K848" s="7" t="s">
        <v>28</v>
      </c>
      <c r="L848" s="7" t="s">
        <v>29</v>
      </c>
      <c r="M848" s="7" t="s">
        <v>16</v>
      </c>
    </row>
    <row r="849" spans="1:13" x14ac:dyDescent="0.3">
      <c r="A849" s="7" t="str">
        <f>HYPERLINK("https://hsdes.intel.com/resource/14013120520","14013120520")</f>
        <v>14013120520</v>
      </c>
      <c r="B849" s="7" t="s">
        <v>1518</v>
      </c>
      <c r="C849" s="7" t="s">
        <v>1420</v>
      </c>
      <c r="D849" s="7" t="s">
        <v>1519</v>
      </c>
      <c r="E849" s="7"/>
      <c r="F849" s="7"/>
      <c r="G849" s="7" t="s">
        <v>541</v>
      </c>
      <c r="H849" s="7"/>
      <c r="I849" s="7"/>
      <c r="J849" s="7" t="s">
        <v>13</v>
      </c>
      <c r="K849" s="7" t="s">
        <v>45</v>
      </c>
      <c r="L849" s="7" t="s">
        <v>544</v>
      </c>
      <c r="M849" s="7" t="s">
        <v>16</v>
      </c>
    </row>
    <row r="850" spans="1:13" x14ac:dyDescent="0.3">
      <c r="A850" s="7" t="str">
        <f>HYPERLINK("https://hsdes.intel.com/resource/14013120543","14013120543")</f>
        <v>14013120543</v>
      </c>
      <c r="B850" s="7" t="s">
        <v>1520</v>
      </c>
      <c r="C850" s="7" t="s">
        <v>1420</v>
      </c>
      <c r="D850" s="7" t="s">
        <v>1521</v>
      </c>
      <c r="E850" s="7" t="s">
        <v>11</v>
      </c>
      <c r="F850" s="7" t="s">
        <v>1522</v>
      </c>
      <c r="G850" s="7" t="s">
        <v>1523</v>
      </c>
      <c r="H850" s="7"/>
      <c r="I850" s="10">
        <v>44755</v>
      </c>
      <c r="J850" s="7" t="s">
        <v>13</v>
      </c>
      <c r="K850" s="7" t="s">
        <v>105</v>
      </c>
      <c r="L850" s="7" t="s">
        <v>106</v>
      </c>
      <c r="M850" s="7" t="s">
        <v>16</v>
      </c>
    </row>
    <row r="851" spans="1:13" x14ac:dyDescent="0.3">
      <c r="A851" s="7" t="str">
        <f>HYPERLINK("https://hsdes.intel.com/resource/14013120567","14013120567")</f>
        <v>14013120567</v>
      </c>
      <c r="B851" s="7" t="s">
        <v>1524</v>
      </c>
      <c r="C851" s="7" t="s">
        <v>1420</v>
      </c>
      <c r="D851" s="7" t="s">
        <v>1525</v>
      </c>
      <c r="E851" s="7" t="s">
        <v>11</v>
      </c>
      <c r="F851" s="2" t="s">
        <v>1522</v>
      </c>
      <c r="G851" s="7" t="s">
        <v>1523</v>
      </c>
      <c r="H851" s="7"/>
      <c r="I851" s="10">
        <v>44755</v>
      </c>
      <c r="J851" s="7" t="s">
        <v>394</v>
      </c>
      <c r="K851" s="7" t="s">
        <v>105</v>
      </c>
      <c r="L851" s="7" t="s">
        <v>106</v>
      </c>
      <c r="M851" s="7" t="s">
        <v>16</v>
      </c>
    </row>
    <row r="852" spans="1:13" x14ac:dyDescent="0.3">
      <c r="A852" s="7" t="str">
        <f>HYPERLINK("https://hsdes.intel.com/resource/14013120573","14013120573")</f>
        <v>14013120573</v>
      </c>
      <c r="B852" s="7" t="s">
        <v>1526</v>
      </c>
      <c r="C852" s="7" t="s">
        <v>1420</v>
      </c>
      <c r="D852" s="7" t="s">
        <v>1527</v>
      </c>
      <c r="E852" s="7" t="s">
        <v>11</v>
      </c>
      <c r="F852" s="7"/>
      <c r="G852" s="7" t="s">
        <v>1461</v>
      </c>
      <c r="H852" s="7"/>
      <c r="I852" s="10">
        <v>44757</v>
      </c>
      <c r="J852" s="7" t="s">
        <v>394</v>
      </c>
      <c r="K852" s="7" t="s">
        <v>105</v>
      </c>
      <c r="L852" s="7" t="s">
        <v>106</v>
      </c>
      <c r="M852" s="7" t="s">
        <v>16</v>
      </c>
    </row>
    <row r="853" spans="1:13" x14ac:dyDescent="0.3">
      <c r="A853" s="7" t="str">
        <f>HYPERLINK("https://hsdes.intel.com/resource/14013120607","14013120607")</f>
        <v>14013120607</v>
      </c>
      <c r="B853" s="7" t="s">
        <v>1528</v>
      </c>
      <c r="C853" s="7" t="s">
        <v>1420</v>
      </c>
      <c r="D853" s="7" t="s">
        <v>1529</v>
      </c>
      <c r="E853" s="7" t="s">
        <v>11</v>
      </c>
      <c r="F853" s="7"/>
      <c r="G853" s="7" t="s">
        <v>1461</v>
      </c>
      <c r="H853" s="7"/>
      <c r="I853" s="10">
        <v>44757</v>
      </c>
      <c r="J853" s="7" t="s">
        <v>13</v>
      </c>
      <c r="K853" s="7" t="s">
        <v>105</v>
      </c>
      <c r="L853" s="7" t="s">
        <v>106</v>
      </c>
      <c r="M853" s="7" t="s">
        <v>16</v>
      </c>
    </row>
    <row r="854" spans="1:13" x14ac:dyDescent="0.3">
      <c r="A854" s="7" t="str">
        <f>HYPERLINK("https://hsdes.intel.com/resource/14013120621","14013120621")</f>
        <v>14013120621</v>
      </c>
      <c r="B854" s="7" t="s">
        <v>1530</v>
      </c>
      <c r="C854" s="7" t="s">
        <v>1420</v>
      </c>
      <c r="D854" s="7" t="s">
        <v>1531</v>
      </c>
      <c r="E854" s="7" t="s">
        <v>11</v>
      </c>
      <c r="F854" s="7"/>
      <c r="G854" s="7" t="s">
        <v>1523</v>
      </c>
      <c r="H854" s="7"/>
      <c r="I854" s="10">
        <v>44755</v>
      </c>
      <c r="J854" s="7" t="s">
        <v>394</v>
      </c>
      <c r="K854" s="7" t="s">
        <v>105</v>
      </c>
      <c r="L854" s="7" t="s">
        <v>106</v>
      </c>
      <c r="M854" s="7" t="s">
        <v>16</v>
      </c>
    </row>
    <row r="855" spans="1:13" x14ac:dyDescent="0.3">
      <c r="A855" s="7" t="str">
        <f>HYPERLINK("https://hsdes.intel.com/resource/14013120629","14013120629")</f>
        <v>14013120629</v>
      </c>
      <c r="B855" s="7" t="s">
        <v>1532</v>
      </c>
      <c r="C855" s="7" t="s">
        <v>1420</v>
      </c>
      <c r="D855" s="7" t="s">
        <v>1533</v>
      </c>
      <c r="E855" s="7" t="s">
        <v>11</v>
      </c>
      <c r="F855" s="7" t="s">
        <v>1522</v>
      </c>
      <c r="G855" s="7" t="s">
        <v>1523</v>
      </c>
      <c r="H855" s="7"/>
      <c r="I855" s="10">
        <v>44755</v>
      </c>
      <c r="J855" s="7" t="s">
        <v>394</v>
      </c>
      <c r="K855" s="7" t="s">
        <v>105</v>
      </c>
      <c r="L855" s="7" t="s">
        <v>106</v>
      </c>
      <c r="M855" s="7" t="s">
        <v>16</v>
      </c>
    </row>
    <row r="856" spans="1:13" x14ac:dyDescent="0.3">
      <c r="A856" s="7" t="str">
        <f>HYPERLINK("https://hsdes.intel.com/resource/14013120639","14013120639")</f>
        <v>14013120639</v>
      </c>
      <c r="B856" s="7" t="s">
        <v>1534</v>
      </c>
      <c r="C856" s="7" t="s">
        <v>1420</v>
      </c>
      <c r="D856" s="7" t="s">
        <v>1535</v>
      </c>
      <c r="E856" s="7" t="s">
        <v>11</v>
      </c>
      <c r="F856" s="7"/>
      <c r="G856" s="7" t="s">
        <v>1523</v>
      </c>
      <c r="H856" s="7"/>
      <c r="I856" s="10">
        <v>44755</v>
      </c>
      <c r="J856" s="7" t="s">
        <v>394</v>
      </c>
      <c r="K856" s="7" t="s">
        <v>105</v>
      </c>
      <c r="L856" s="7" t="s">
        <v>106</v>
      </c>
      <c r="M856" s="7" t="s">
        <v>16</v>
      </c>
    </row>
    <row r="857" spans="1:13" x14ac:dyDescent="0.3">
      <c r="A857" s="7" t="str">
        <f>HYPERLINK("https://hsdes.intel.com/resource/14013120644","14013120644")</f>
        <v>14013120644</v>
      </c>
      <c r="B857" s="7" t="s">
        <v>1536</v>
      </c>
      <c r="C857" s="7" t="s">
        <v>1420</v>
      </c>
      <c r="D857" s="7" t="s">
        <v>1537</v>
      </c>
      <c r="E857" s="7" t="s">
        <v>11</v>
      </c>
      <c r="F857" s="7"/>
      <c r="G857" s="7" t="s">
        <v>1523</v>
      </c>
      <c r="H857" s="7"/>
      <c r="I857" s="10">
        <v>44755</v>
      </c>
      <c r="J857" s="7" t="s">
        <v>394</v>
      </c>
      <c r="K857" s="7" t="s">
        <v>105</v>
      </c>
      <c r="L857" s="7" t="s">
        <v>106</v>
      </c>
      <c r="M857" s="7" t="s">
        <v>16</v>
      </c>
    </row>
    <row r="858" spans="1:13" x14ac:dyDescent="0.3">
      <c r="A858" s="7" t="str">
        <f>HYPERLINK("https://hsdes.intel.com/resource/14013120671","14013120671")</f>
        <v>14013120671</v>
      </c>
      <c r="B858" s="7" t="s">
        <v>1538</v>
      </c>
      <c r="C858" s="7" t="s">
        <v>1420</v>
      </c>
      <c r="D858" s="7" t="s">
        <v>1539</v>
      </c>
      <c r="E858" s="7" t="s">
        <v>11</v>
      </c>
      <c r="F858" s="7"/>
      <c r="G858" s="7" t="s">
        <v>1523</v>
      </c>
      <c r="H858" s="7"/>
      <c r="I858" s="10">
        <v>44755</v>
      </c>
      <c r="J858" s="7" t="s">
        <v>394</v>
      </c>
      <c r="K858" s="7" t="s">
        <v>105</v>
      </c>
      <c r="L858" s="7" t="s">
        <v>106</v>
      </c>
      <c r="M858" s="7" t="s">
        <v>16</v>
      </c>
    </row>
    <row r="859" spans="1:13" x14ac:dyDescent="0.3">
      <c r="A859" s="7" t="str">
        <f>HYPERLINK("https://hsdes.intel.com/resource/14013120685","14013120685")</f>
        <v>14013120685</v>
      </c>
      <c r="B859" s="7" t="s">
        <v>1540</v>
      </c>
      <c r="C859" s="7" t="s">
        <v>1420</v>
      </c>
      <c r="D859" s="7" t="s">
        <v>1541</v>
      </c>
      <c r="E859" s="7" t="s">
        <v>11</v>
      </c>
      <c r="F859" s="7"/>
      <c r="G859" s="7" t="s">
        <v>1461</v>
      </c>
      <c r="H859" s="7"/>
      <c r="I859" s="10">
        <v>44757</v>
      </c>
      <c r="J859" s="7" t="s">
        <v>394</v>
      </c>
      <c r="K859" s="7" t="s">
        <v>105</v>
      </c>
      <c r="L859" s="7" t="s">
        <v>106</v>
      </c>
      <c r="M859" s="7" t="s">
        <v>16</v>
      </c>
    </row>
    <row r="860" spans="1:13" x14ac:dyDescent="0.3">
      <c r="A860" s="7" t="str">
        <f>HYPERLINK("https://hsdes.intel.com/resource/14013120696","14013120696")</f>
        <v>14013120696</v>
      </c>
      <c r="B860" s="7" t="s">
        <v>1542</v>
      </c>
      <c r="C860" s="7" t="s">
        <v>1420</v>
      </c>
      <c r="D860" s="7" t="s">
        <v>1543</v>
      </c>
      <c r="E860" s="7" t="s">
        <v>11</v>
      </c>
      <c r="F860" s="7"/>
      <c r="G860" s="7" t="s">
        <v>1461</v>
      </c>
      <c r="H860" s="7"/>
      <c r="I860" s="10">
        <v>44757</v>
      </c>
      <c r="J860" s="7" t="s">
        <v>394</v>
      </c>
      <c r="K860" s="7" t="s">
        <v>105</v>
      </c>
      <c r="L860" s="7" t="s">
        <v>106</v>
      </c>
      <c r="M860" s="7" t="s">
        <v>16</v>
      </c>
    </row>
    <row r="861" spans="1:13" x14ac:dyDescent="0.3">
      <c r="A861" s="7" t="str">
        <f>HYPERLINK("https://hsdes.intel.com/resource/14013120707","14013120707")</f>
        <v>14013120707</v>
      </c>
      <c r="B861" s="7" t="s">
        <v>1544</v>
      </c>
      <c r="C861" s="7" t="s">
        <v>1420</v>
      </c>
      <c r="D861" s="7" t="s">
        <v>1545</v>
      </c>
      <c r="E861" s="7" t="s">
        <v>11</v>
      </c>
      <c r="F861" s="7"/>
      <c r="G861" s="7" t="s">
        <v>1461</v>
      </c>
      <c r="H861" s="7"/>
      <c r="I861" s="10">
        <v>44757</v>
      </c>
      <c r="J861" s="7" t="s">
        <v>394</v>
      </c>
      <c r="K861" s="7" t="s">
        <v>105</v>
      </c>
      <c r="L861" s="7" t="s">
        <v>106</v>
      </c>
      <c r="M861" s="7" t="s">
        <v>16</v>
      </c>
    </row>
    <row r="862" spans="1:13" x14ac:dyDescent="0.3">
      <c r="A862" s="7" t="str">
        <f>HYPERLINK("https://hsdes.intel.com/resource/14013120730","14013120730")</f>
        <v>14013120730</v>
      </c>
      <c r="B862" s="7" t="s">
        <v>1546</v>
      </c>
      <c r="C862" s="7" t="s">
        <v>1420</v>
      </c>
      <c r="D862" s="7" t="s">
        <v>1547</v>
      </c>
      <c r="E862" s="7" t="s">
        <v>11</v>
      </c>
      <c r="F862" s="7"/>
      <c r="G862" s="7" t="s">
        <v>1461</v>
      </c>
      <c r="H862" s="7"/>
      <c r="I862" s="10">
        <v>44757</v>
      </c>
      <c r="J862" s="7" t="s">
        <v>394</v>
      </c>
      <c r="K862" s="7" t="s">
        <v>105</v>
      </c>
      <c r="L862" s="7" t="s">
        <v>106</v>
      </c>
      <c r="M862" s="7" t="s">
        <v>16</v>
      </c>
    </row>
    <row r="863" spans="1:13" x14ac:dyDescent="0.3">
      <c r="A863" s="7" t="str">
        <f>HYPERLINK("https://hsdes.intel.com/resource/14013120738","14013120738")</f>
        <v>14013120738</v>
      </c>
      <c r="B863" s="7" t="s">
        <v>967</v>
      </c>
      <c r="C863" s="7" t="s">
        <v>1420</v>
      </c>
      <c r="D863" s="7" t="s">
        <v>968</v>
      </c>
      <c r="E863" s="7"/>
      <c r="F863" s="7"/>
      <c r="G863" s="7" t="s">
        <v>833</v>
      </c>
      <c r="H863" s="7"/>
      <c r="I863" s="7"/>
      <c r="J863" s="7" t="s">
        <v>13</v>
      </c>
      <c r="K863" s="7" t="s">
        <v>105</v>
      </c>
      <c r="L863" s="7" t="s">
        <v>110</v>
      </c>
      <c r="M863" s="7" t="s">
        <v>24</v>
      </c>
    </row>
    <row r="864" spans="1:13" x14ac:dyDescent="0.3">
      <c r="A864" s="7" t="str">
        <f>HYPERLINK("https://hsdes.intel.com/resource/14013120756","14013120756")</f>
        <v>14013120756</v>
      </c>
      <c r="B864" s="7" t="s">
        <v>1548</v>
      </c>
      <c r="C864" s="7" t="s">
        <v>1420</v>
      </c>
      <c r="D864" s="7" t="s">
        <v>1549</v>
      </c>
      <c r="E864" s="7" t="s">
        <v>11</v>
      </c>
      <c r="F864" s="7"/>
      <c r="G864" s="7" t="s">
        <v>1475</v>
      </c>
      <c r="H864" s="7"/>
      <c r="I864" s="7"/>
      <c r="J864" s="7" t="s">
        <v>394</v>
      </c>
      <c r="K864" s="7" t="s">
        <v>105</v>
      </c>
      <c r="L864" s="7" t="s">
        <v>106</v>
      </c>
      <c r="M864" s="7" t="s">
        <v>16</v>
      </c>
    </row>
    <row r="865" spans="1:13" x14ac:dyDescent="0.3">
      <c r="A865" s="7" t="str">
        <f>HYPERLINK("https://hsdes.intel.com/resource/14013120765","14013120765")</f>
        <v>14013120765</v>
      </c>
      <c r="B865" s="7" t="s">
        <v>1550</v>
      </c>
      <c r="C865" s="7" t="s">
        <v>1420</v>
      </c>
      <c r="D865" s="7" t="s">
        <v>1551</v>
      </c>
      <c r="E865" s="7" t="s">
        <v>11</v>
      </c>
      <c r="F865" s="7"/>
      <c r="G865" s="7" t="s">
        <v>1523</v>
      </c>
      <c r="H865" s="7"/>
      <c r="I865" s="10">
        <v>44755</v>
      </c>
      <c r="J865" s="7" t="s">
        <v>394</v>
      </c>
      <c r="K865" s="7" t="s">
        <v>105</v>
      </c>
      <c r="L865" s="7" t="s">
        <v>106</v>
      </c>
      <c r="M865" s="7" t="s">
        <v>16</v>
      </c>
    </row>
    <row r="866" spans="1:13" x14ac:dyDescent="0.3">
      <c r="A866" s="7" t="str">
        <f>HYPERLINK("https://hsdes.intel.com/resource/14013120780","14013120780")</f>
        <v>14013120780</v>
      </c>
      <c r="B866" s="7" t="s">
        <v>1552</v>
      </c>
      <c r="C866" s="7" t="s">
        <v>1420</v>
      </c>
      <c r="D866" s="7" t="s">
        <v>1553</v>
      </c>
      <c r="E866" s="7" t="s">
        <v>11</v>
      </c>
      <c r="F866" s="7"/>
      <c r="G866" s="7" t="s">
        <v>1475</v>
      </c>
      <c r="H866" s="7"/>
      <c r="I866" s="7"/>
      <c r="J866" s="7" t="s">
        <v>13</v>
      </c>
      <c r="K866" s="7" t="s">
        <v>105</v>
      </c>
      <c r="L866" s="7" t="s">
        <v>106</v>
      </c>
      <c r="M866" s="7" t="s">
        <v>16</v>
      </c>
    </row>
    <row r="867" spans="1:13" x14ac:dyDescent="0.3">
      <c r="A867" s="7" t="str">
        <f>HYPERLINK("https://hsdes.intel.com/resource/14013120792","14013120792")</f>
        <v>14013120792</v>
      </c>
      <c r="B867" s="7" t="s">
        <v>1554</v>
      </c>
      <c r="C867" s="7" t="s">
        <v>1420</v>
      </c>
      <c r="D867" s="7" t="s">
        <v>1555</v>
      </c>
      <c r="E867" s="7" t="s">
        <v>11</v>
      </c>
      <c r="F867" s="2" t="s">
        <v>1556</v>
      </c>
      <c r="G867" s="7" t="s">
        <v>1523</v>
      </c>
      <c r="H867" s="7"/>
      <c r="I867" s="10">
        <v>44755</v>
      </c>
      <c r="J867" s="7" t="s">
        <v>13</v>
      </c>
      <c r="K867" s="7" t="s">
        <v>105</v>
      </c>
      <c r="L867" s="7" t="s">
        <v>106</v>
      </c>
      <c r="M867" s="7" t="s">
        <v>16</v>
      </c>
    </row>
    <row r="868" spans="1:13" x14ac:dyDescent="0.3">
      <c r="A868" s="7" t="str">
        <f>HYPERLINK("https://hsdes.intel.com/resource/14013120808","14013120808")</f>
        <v>14013120808</v>
      </c>
      <c r="B868" s="7" t="s">
        <v>1557</v>
      </c>
      <c r="C868" s="7" t="s">
        <v>1420</v>
      </c>
      <c r="D868" s="7" t="s">
        <v>1558</v>
      </c>
      <c r="E868" s="7" t="s">
        <v>11</v>
      </c>
      <c r="F868" s="7"/>
      <c r="G868" s="7" t="s">
        <v>369</v>
      </c>
      <c r="H868" s="7"/>
      <c r="I868" s="10">
        <v>44761</v>
      </c>
      <c r="J868" s="7" t="s">
        <v>13</v>
      </c>
      <c r="K868" s="7" t="s">
        <v>105</v>
      </c>
      <c r="L868" s="7" t="s">
        <v>106</v>
      </c>
      <c r="M868" s="7" t="s">
        <v>16</v>
      </c>
    </row>
    <row r="869" spans="1:13" x14ac:dyDescent="0.3">
      <c r="A869" s="7" t="str">
        <f>HYPERLINK("https://hsdes.intel.com/resource/14013120822","14013120822")</f>
        <v>14013120822</v>
      </c>
      <c r="B869" s="7" t="s">
        <v>1559</v>
      </c>
      <c r="C869" s="7" t="s">
        <v>1420</v>
      </c>
      <c r="D869" s="7" t="s">
        <v>1560</v>
      </c>
      <c r="E869" s="7" t="s">
        <v>11</v>
      </c>
      <c r="F869" s="7"/>
      <c r="G869" s="7" t="s">
        <v>1523</v>
      </c>
      <c r="H869" s="7"/>
      <c r="I869" s="10">
        <v>44755</v>
      </c>
      <c r="J869" s="7" t="s">
        <v>13</v>
      </c>
      <c r="K869" s="7" t="s">
        <v>105</v>
      </c>
      <c r="L869" s="7" t="s">
        <v>106</v>
      </c>
      <c r="M869" s="7" t="s">
        <v>16</v>
      </c>
    </row>
    <row r="870" spans="1:13" x14ac:dyDescent="0.3">
      <c r="A870" s="7" t="str">
        <f>HYPERLINK("https://hsdes.intel.com/resource/14013120858","14013120858")</f>
        <v>14013120858</v>
      </c>
      <c r="B870" s="7" t="s">
        <v>1561</v>
      </c>
      <c r="C870" s="7" t="s">
        <v>1420</v>
      </c>
      <c r="D870" s="7" t="s">
        <v>1562</v>
      </c>
      <c r="E870" s="7" t="s">
        <v>11</v>
      </c>
      <c r="F870" s="7"/>
      <c r="G870" s="7" t="s">
        <v>1475</v>
      </c>
      <c r="H870" s="7"/>
      <c r="I870" s="7"/>
      <c r="J870" s="7" t="s">
        <v>394</v>
      </c>
      <c r="K870" s="7" t="s">
        <v>105</v>
      </c>
      <c r="L870" s="7" t="s">
        <v>106</v>
      </c>
      <c r="M870" s="7" t="s">
        <v>16</v>
      </c>
    </row>
    <row r="871" spans="1:13" x14ac:dyDescent="0.3">
      <c r="A871" s="7" t="str">
        <f>HYPERLINK("https://hsdes.intel.com/resource/14013120864","14013120864")</f>
        <v>14013120864</v>
      </c>
      <c r="B871" s="7" t="s">
        <v>1563</v>
      </c>
      <c r="C871" s="7" t="s">
        <v>1420</v>
      </c>
      <c r="D871" s="7" t="s">
        <v>1564</v>
      </c>
      <c r="E871" s="7" t="s">
        <v>11</v>
      </c>
      <c r="F871" s="7"/>
      <c r="G871" s="7" t="s">
        <v>1475</v>
      </c>
      <c r="H871" s="7"/>
      <c r="I871" s="7"/>
      <c r="J871" s="7" t="s">
        <v>13</v>
      </c>
      <c r="K871" s="7" t="s">
        <v>105</v>
      </c>
      <c r="L871" s="7" t="s">
        <v>106</v>
      </c>
      <c r="M871" s="7" t="s">
        <v>16</v>
      </c>
    </row>
    <row r="872" spans="1:13" x14ac:dyDescent="0.3">
      <c r="A872" s="7" t="str">
        <f>HYPERLINK("https://hsdes.intel.com/resource/14013120874","14013120874")</f>
        <v>14013120874</v>
      </c>
      <c r="B872" s="7" t="s">
        <v>1565</v>
      </c>
      <c r="C872" s="7" t="s">
        <v>1420</v>
      </c>
      <c r="D872" s="7" t="s">
        <v>1566</v>
      </c>
      <c r="E872" s="7" t="s">
        <v>11</v>
      </c>
      <c r="F872" s="7"/>
      <c r="G872" s="7" t="s">
        <v>1523</v>
      </c>
      <c r="H872" s="7"/>
      <c r="I872" s="10">
        <v>44755</v>
      </c>
      <c r="J872" s="7" t="s">
        <v>13</v>
      </c>
      <c r="K872" s="7" t="s">
        <v>105</v>
      </c>
      <c r="L872" s="7" t="s">
        <v>106</v>
      </c>
      <c r="M872" s="7" t="s">
        <v>16</v>
      </c>
    </row>
    <row r="873" spans="1:13" x14ac:dyDescent="0.3">
      <c r="A873" s="7" t="str">
        <f>HYPERLINK("https://hsdes.intel.com/resource/14013120896","14013120896")</f>
        <v>14013120896</v>
      </c>
      <c r="B873" s="7" t="s">
        <v>1567</v>
      </c>
      <c r="C873" s="7" t="s">
        <v>1420</v>
      </c>
      <c r="D873" s="7" t="s">
        <v>1568</v>
      </c>
      <c r="E873" s="7" t="s">
        <v>11</v>
      </c>
      <c r="F873" s="7"/>
      <c r="G873" s="7" t="s">
        <v>1569</v>
      </c>
      <c r="H873" s="7"/>
      <c r="I873" s="10">
        <v>44754</v>
      </c>
      <c r="J873" s="7" t="s">
        <v>13</v>
      </c>
      <c r="K873" s="7" t="s">
        <v>14</v>
      </c>
      <c r="L873" s="7" t="s">
        <v>88</v>
      </c>
      <c r="M873" s="7" t="s">
        <v>16</v>
      </c>
    </row>
    <row r="874" spans="1:13" x14ac:dyDescent="0.3">
      <c r="A874" s="7" t="str">
        <f>HYPERLINK("https://hsdes.intel.com/resource/14013120901","14013120901")</f>
        <v>14013120901</v>
      </c>
      <c r="B874" s="7" t="s">
        <v>1251</v>
      </c>
      <c r="C874" s="7" t="s">
        <v>1420</v>
      </c>
      <c r="D874" s="7" t="s">
        <v>1252</v>
      </c>
      <c r="E874" s="7"/>
      <c r="F874" s="7"/>
      <c r="G874" s="7" t="s">
        <v>833</v>
      </c>
      <c r="H874" s="7"/>
      <c r="I874" s="7"/>
      <c r="J874" s="7" t="s">
        <v>13</v>
      </c>
      <c r="K874" s="7" t="s">
        <v>14</v>
      </c>
      <c r="L874" s="7" t="s">
        <v>88</v>
      </c>
      <c r="M874" s="7" t="s">
        <v>16</v>
      </c>
    </row>
    <row r="875" spans="1:13" x14ac:dyDescent="0.3">
      <c r="A875" s="7" t="str">
        <f>HYPERLINK("https://hsdes.intel.com/resource/14013120907","14013120907")</f>
        <v>14013120907</v>
      </c>
      <c r="B875" s="7" t="s">
        <v>1570</v>
      </c>
      <c r="C875" s="7" t="s">
        <v>1420</v>
      </c>
      <c r="D875" s="7" t="s">
        <v>1571</v>
      </c>
      <c r="E875" s="7" t="s">
        <v>11</v>
      </c>
      <c r="F875" s="7"/>
      <c r="G875" s="7" t="s">
        <v>1569</v>
      </c>
      <c r="H875" s="7"/>
      <c r="I875" s="10">
        <v>44754</v>
      </c>
      <c r="J875" s="7" t="s">
        <v>13</v>
      </c>
      <c r="K875" s="7" t="s">
        <v>14</v>
      </c>
      <c r="L875" s="7" t="s">
        <v>88</v>
      </c>
      <c r="M875" s="7" t="s">
        <v>16</v>
      </c>
    </row>
    <row r="876" spans="1:13" x14ac:dyDescent="0.3">
      <c r="A876" s="7" t="str">
        <f>HYPERLINK("https://hsdes.intel.com/resource/14013120914","14013120914")</f>
        <v>14013120914</v>
      </c>
      <c r="B876" s="7" t="s">
        <v>1572</v>
      </c>
      <c r="C876" s="7" t="s">
        <v>1420</v>
      </c>
      <c r="D876" s="7" t="s">
        <v>1573</v>
      </c>
      <c r="E876" s="7" t="s">
        <v>11</v>
      </c>
      <c r="F876" s="7"/>
      <c r="G876" s="7" t="s">
        <v>1569</v>
      </c>
      <c r="H876" s="7"/>
      <c r="I876" s="10">
        <v>44754</v>
      </c>
      <c r="J876" s="7" t="s">
        <v>13</v>
      </c>
      <c r="K876" s="7" t="s">
        <v>14</v>
      </c>
      <c r="L876" s="7" t="s">
        <v>88</v>
      </c>
      <c r="M876" s="7" t="s">
        <v>16</v>
      </c>
    </row>
    <row r="877" spans="1:13" x14ac:dyDescent="0.3">
      <c r="A877" s="7" t="str">
        <f>HYPERLINK("https://hsdes.intel.com/resource/14013120930","14013120930")</f>
        <v>14013120930</v>
      </c>
      <c r="B877" s="7" t="s">
        <v>1574</v>
      </c>
      <c r="C877" s="7" t="s">
        <v>1420</v>
      </c>
      <c r="D877" s="7" t="s">
        <v>1575</v>
      </c>
      <c r="E877" s="7" t="s">
        <v>11</v>
      </c>
      <c r="F877" s="7"/>
      <c r="G877" s="7" t="s">
        <v>1461</v>
      </c>
      <c r="H877" s="7"/>
      <c r="I877" s="10">
        <v>44755</v>
      </c>
      <c r="J877" s="7" t="s">
        <v>13</v>
      </c>
      <c r="K877" s="7" t="s">
        <v>296</v>
      </c>
      <c r="L877" s="7" t="s">
        <v>297</v>
      </c>
      <c r="M877" s="7" t="s">
        <v>21</v>
      </c>
    </row>
    <row r="878" spans="1:13" x14ac:dyDescent="0.3">
      <c r="A878" s="7" t="str">
        <f>HYPERLINK("https://hsdes.intel.com/resource/14013120937","14013120937")</f>
        <v>14013120937</v>
      </c>
      <c r="B878" s="7" t="s">
        <v>1576</v>
      </c>
      <c r="C878" s="7" t="s">
        <v>1420</v>
      </c>
      <c r="D878" s="7" t="s">
        <v>1577</v>
      </c>
      <c r="E878" s="7" t="s">
        <v>11</v>
      </c>
      <c r="F878" s="7" t="s">
        <v>1578</v>
      </c>
      <c r="G878" s="7" t="s">
        <v>1461</v>
      </c>
      <c r="H878" s="7"/>
      <c r="I878" s="10">
        <v>44755</v>
      </c>
      <c r="J878" s="7" t="s">
        <v>192</v>
      </c>
      <c r="K878" s="7" t="s">
        <v>290</v>
      </c>
      <c r="L878" s="7" t="s">
        <v>291</v>
      </c>
      <c r="M878" s="7" t="s">
        <v>24</v>
      </c>
    </row>
    <row r="879" spans="1:13" x14ac:dyDescent="0.3">
      <c r="A879" s="7" t="str">
        <f>HYPERLINK("https://hsdes.intel.com/resource/14013121015","14013121015")</f>
        <v>14013121015</v>
      </c>
      <c r="B879" s="7" t="s">
        <v>1579</v>
      </c>
      <c r="C879" s="7" t="s">
        <v>1420</v>
      </c>
      <c r="D879" s="7" t="s">
        <v>1580</v>
      </c>
      <c r="E879" s="7" t="s">
        <v>11</v>
      </c>
      <c r="F879" s="7"/>
      <c r="G879" s="7" t="s">
        <v>1569</v>
      </c>
      <c r="H879" s="7"/>
      <c r="I879" s="10">
        <v>44754</v>
      </c>
      <c r="J879" s="7" t="s">
        <v>13</v>
      </c>
      <c r="K879" s="7" t="s">
        <v>14</v>
      </c>
      <c r="L879" s="7" t="s">
        <v>88</v>
      </c>
      <c r="M879" s="7" t="s">
        <v>16</v>
      </c>
    </row>
    <row r="880" spans="1:13" x14ac:dyDescent="0.3">
      <c r="A880" s="7" t="str">
        <f>HYPERLINK("https://hsdes.intel.com/resource/14013121204","14013121204")</f>
        <v>14013121204</v>
      </c>
      <c r="B880" s="7" t="s">
        <v>1581</v>
      </c>
      <c r="C880" s="7" t="s">
        <v>1420</v>
      </c>
      <c r="D880" s="7" t="s">
        <v>1582</v>
      </c>
      <c r="E880" s="7" t="s">
        <v>11</v>
      </c>
      <c r="F880" s="7"/>
      <c r="G880" s="7" t="s">
        <v>345</v>
      </c>
      <c r="H880" s="7"/>
      <c r="I880" s="10">
        <v>44755</v>
      </c>
      <c r="J880" s="7" t="s">
        <v>13</v>
      </c>
      <c r="K880" s="7" t="s">
        <v>19</v>
      </c>
      <c r="L880" s="7" t="s">
        <v>20</v>
      </c>
      <c r="M880" s="7" t="s">
        <v>21</v>
      </c>
    </row>
    <row r="881" spans="1:13" x14ac:dyDescent="0.3">
      <c r="A881" s="7" t="str">
        <f>HYPERLINK("https://hsdes.intel.com/resource/14013121214","14013121214")</f>
        <v>14013121214</v>
      </c>
      <c r="B881" s="7" t="s">
        <v>1583</v>
      </c>
      <c r="C881" s="7" t="s">
        <v>1420</v>
      </c>
      <c r="D881" s="7" t="s">
        <v>1584</v>
      </c>
      <c r="E881" s="7" t="s">
        <v>11</v>
      </c>
      <c r="F881" s="7"/>
      <c r="G881" s="7" t="s">
        <v>345</v>
      </c>
      <c r="H881" s="7"/>
      <c r="I881" s="10">
        <v>44755</v>
      </c>
      <c r="J881" s="7" t="s">
        <v>13</v>
      </c>
      <c r="K881" s="7" t="s">
        <v>19</v>
      </c>
      <c r="L881" s="7" t="s">
        <v>20</v>
      </c>
      <c r="M881" s="7" t="s">
        <v>24</v>
      </c>
    </row>
    <row r="882" spans="1:13" x14ac:dyDescent="0.3">
      <c r="A882" s="7" t="str">
        <f>HYPERLINK("https://hsdes.intel.com/resource/14013121224","14013121224")</f>
        <v>14013121224</v>
      </c>
      <c r="B882" s="7" t="s">
        <v>1585</v>
      </c>
      <c r="C882" s="7" t="s">
        <v>1420</v>
      </c>
      <c r="D882" s="7" t="s">
        <v>1586</v>
      </c>
      <c r="E882" s="7" t="s">
        <v>11</v>
      </c>
      <c r="F882" s="7"/>
      <c r="G882" s="7" t="s">
        <v>345</v>
      </c>
      <c r="H882" s="7"/>
      <c r="I882" s="10">
        <v>44755</v>
      </c>
      <c r="J882" s="7" t="s">
        <v>13</v>
      </c>
      <c r="K882" s="7" t="s">
        <v>19</v>
      </c>
      <c r="L882" s="7" t="s">
        <v>20</v>
      </c>
      <c r="M882" s="7" t="s">
        <v>21</v>
      </c>
    </row>
    <row r="883" spans="1:13" x14ac:dyDescent="0.3">
      <c r="A883" s="7" t="str">
        <f>HYPERLINK("https://hsdes.intel.com/resource/14013121230","14013121230")</f>
        <v>14013121230</v>
      </c>
      <c r="B883" s="7" t="s">
        <v>1587</v>
      </c>
      <c r="C883" s="7" t="s">
        <v>1420</v>
      </c>
      <c r="D883" s="7" t="s">
        <v>1588</v>
      </c>
      <c r="E883" s="7" t="s">
        <v>11</v>
      </c>
      <c r="F883" s="7"/>
      <c r="G883" s="7" t="s">
        <v>345</v>
      </c>
      <c r="H883" s="7"/>
      <c r="I883" s="10">
        <v>44755</v>
      </c>
      <c r="J883" s="7" t="s">
        <v>13</v>
      </c>
      <c r="K883" s="7" t="s">
        <v>19</v>
      </c>
      <c r="L883" s="7" t="s">
        <v>20</v>
      </c>
      <c r="M883" s="7" t="s">
        <v>21</v>
      </c>
    </row>
    <row r="884" spans="1:13" x14ac:dyDescent="0.3">
      <c r="A884" s="7" t="str">
        <f>HYPERLINK("https://hsdes.intel.com/resource/14013121241","14013121241")</f>
        <v>14013121241</v>
      </c>
      <c r="B884" s="7" t="s">
        <v>1589</v>
      </c>
      <c r="C884" s="7" t="s">
        <v>1420</v>
      </c>
      <c r="D884" s="7" t="s">
        <v>1590</v>
      </c>
      <c r="E884" s="7" t="s">
        <v>11</v>
      </c>
      <c r="F884" s="7"/>
      <c r="G884" s="7" t="s">
        <v>345</v>
      </c>
      <c r="H884" s="7"/>
      <c r="I884" s="10">
        <v>44755</v>
      </c>
      <c r="J884" s="7" t="s">
        <v>13</v>
      </c>
      <c r="K884" s="7" t="s">
        <v>19</v>
      </c>
      <c r="L884" s="7" t="s">
        <v>20</v>
      </c>
      <c r="M884" s="7" t="s">
        <v>21</v>
      </c>
    </row>
    <row r="885" spans="1:13" x14ac:dyDescent="0.3">
      <c r="A885" s="7" t="str">
        <f>HYPERLINK("https://hsdes.intel.com/resource/14013121267","14013121267")</f>
        <v>14013121267</v>
      </c>
      <c r="B885" s="7" t="s">
        <v>1591</v>
      </c>
      <c r="C885" s="7" t="s">
        <v>1420</v>
      </c>
      <c r="D885" s="7" t="s">
        <v>1592</v>
      </c>
      <c r="E885" s="7" t="s">
        <v>11</v>
      </c>
      <c r="F885" s="7"/>
      <c r="G885" s="7" t="s">
        <v>345</v>
      </c>
      <c r="H885" s="7"/>
      <c r="I885" s="10">
        <v>44755</v>
      </c>
      <c r="J885" s="7" t="s">
        <v>13</v>
      </c>
      <c r="K885" s="7" t="s">
        <v>19</v>
      </c>
      <c r="L885" s="7" t="s">
        <v>20</v>
      </c>
      <c r="M885" s="7" t="s">
        <v>21</v>
      </c>
    </row>
    <row r="886" spans="1:13" x14ac:dyDescent="0.3">
      <c r="A886" s="7" t="str">
        <f>HYPERLINK("https://hsdes.intel.com/resource/14013121275","14013121275")</f>
        <v>14013121275</v>
      </c>
      <c r="B886" s="7" t="s">
        <v>1593</v>
      </c>
      <c r="C886" s="7" t="s">
        <v>1420</v>
      </c>
      <c r="D886" s="7" t="s">
        <v>1594</v>
      </c>
      <c r="E886" s="7" t="s">
        <v>11</v>
      </c>
      <c r="F886" s="7"/>
      <c r="G886" s="7" t="s">
        <v>345</v>
      </c>
      <c r="H886" s="7"/>
      <c r="I886" s="10">
        <v>44756</v>
      </c>
      <c r="J886" s="7" t="s">
        <v>13</v>
      </c>
      <c r="K886" s="7" t="s">
        <v>19</v>
      </c>
      <c r="L886" s="7" t="s">
        <v>20</v>
      </c>
      <c r="M886" s="7" t="s">
        <v>21</v>
      </c>
    </row>
    <row r="887" spans="1:13" x14ac:dyDescent="0.3">
      <c r="A887" s="7" t="str">
        <f>HYPERLINK("https://hsdes.intel.com/resource/14013121432","14013121432")</f>
        <v>14013121432</v>
      </c>
      <c r="B887" s="7" t="s">
        <v>1595</v>
      </c>
      <c r="C887" s="7" t="s">
        <v>1420</v>
      </c>
      <c r="D887" s="7" t="s">
        <v>1596</v>
      </c>
      <c r="E887" s="7" t="s">
        <v>11</v>
      </c>
      <c r="F887" s="7"/>
      <c r="G887" s="7" t="s">
        <v>1482</v>
      </c>
      <c r="H887" s="7"/>
      <c r="I887" s="10">
        <v>44755</v>
      </c>
      <c r="J887" s="7" t="s">
        <v>13</v>
      </c>
      <c r="K887" s="7" t="s">
        <v>45</v>
      </c>
      <c r="L887" s="7" t="s">
        <v>15</v>
      </c>
      <c r="M887" s="7" t="s">
        <v>16</v>
      </c>
    </row>
    <row r="888" spans="1:13" x14ac:dyDescent="0.3">
      <c r="A888" s="7" t="str">
        <f>HYPERLINK("https://hsdes.intel.com/resource/14013156701","14013156701")</f>
        <v>14013156701</v>
      </c>
      <c r="B888" s="7" t="s">
        <v>1597</v>
      </c>
      <c r="C888" s="7" t="s">
        <v>1420</v>
      </c>
      <c r="D888" s="7" t="s">
        <v>1598</v>
      </c>
      <c r="E888" s="7" t="s">
        <v>11</v>
      </c>
      <c r="F888" s="7"/>
      <c r="G888" s="7" t="s">
        <v>1523</v>
      </c>
      <c r="H888" s="7"/>
      <c r="I888" s="10">
        <v>44755</v>
      </c>
      <c r="J888" s="7" t="s">
        <v>13</v>
      </c>
      <c r="K888" s="7" t="s">
        <v>67</v>
      </c>
      <c r="L888" s="7" t="s">
        <v>68</v>
      </c>
      <c r="M888" s="7" t="s">
        <v>16</v>
      </c>
    </row>
    <row r="889" spans="1:13" x14ac:dyDescent="0.3">
      <c r="A889" s="7" t="str">
        <f>HYPERLINK("https://hsdes.intel.com/resource/14013156703","14013156703")</f>
        <v>14013156703</v>
      </c>
      <c r="B889" s="7" t="s">
        <v>1599</v>
      </c>
      <c r="C889" s="7" t="s">
        <v>1420</v>
      </c>
      <c r="D889" s="7" t="s">
        <v>1600</v>
      </c>
      <c r="E889" s="7" t="s">
        <v>11</v>
      </c>
      <c r="F889" s="7"/>
      <c r="G889" s="7" t="s">
        <v>1461</v>
      </c>
      <c r="H889" s="7"/>
      <c r="I889" s="10">
        <v>44755</v>
      </c>
      <c r="J889" s="7" t="s">
        <v>13</v>
      </c>
      <c r="K889" s="7" t="s">
        <v>67</v>
      </c>
      <c r="L889" s="7" t="s">
        <v>68</v>
      </c>
      <c r="M889" s="7" t="s">
        <v>16</v>
      </c>
    </row>
    <row r="890" spans="1:13" x14ac:dyDescent="0.3">
      <c r="A890" s="7" t="str">
        <f>HYPERLINK("https://hsdes.intel.com/resource/14013156704","14013156704")</f>
        <v>14013156704</v>
      </c>
      <c r="B890" s="7" t="s">
        <v>1601</v>
      </c>
      <c r="C890" s="7" t="s">
        <v>1420</v>
      </c>
      <c r="D890" s="7" t="s">
        <v>1602</v>
      </c>
      <c r="E890" s="7" t="s">
        <v>11</v>
      </c>
      <c r="F890" s="7"/>
      <c r="G890" s="7" t="s">
        <v>1523</v>
      </c>
      <c r="H890" s="7"/>
      <c r="I890" s="10">
        <v>44755</v>
      </c>
      <c r="J890" s="7" t="s">
        <v>13</v>
      </c>
      <c r="K890" s="7" t="s">
        <v>67</v>
      </c>
      <c r="L890" s="7" t="s">
        <v>68</v>
      </c>
      <c r="M890" s="7" t="s">
        <v>16</v>
      </c>
    </row>
    <row r="891" spans="1:13" x14ac:dyDescent="0.3">
      <c r="A891" s="7" t="str">
        <f>HYPERLINK("https://hsdes.intel.com/resource/14013156715","14013156715")</f>
        <v>14013156715</v>
      </c>
      <c r="B891" s="7" t="s">
        <v>1603</v>
      </c>
      <c r="C891" s="7" t="s">
        <v>1420</v>
      </c>
      <c r="D891" s="7" t="s">
        <v>1604</v>
      </c>
      <c r="E891" s="7" t="s">
        <v>11</v>
      </c>
      <c r="F891" s="7"/>
      <c r="G891" s="7" t="s">
        <v>1605</v>
      </c>
      <c r="H891" s="7"/>
      <c r="I891" s="10">
        <v>44757</v>
      </c>
      <c r="J891" s="7" t="s">
        <v>13</v>
      </c>
      <c r="K891" s="7" t="s">
        <v>67</v>
      </c>
      <c r="L891" s="7" t="s">
        <v>68</v>
      </c>
      <c r="M891" s="7" t="s">
        <v>16</v>
      </c>
    </row>
    <row r="892" spans="1:13" x14ac:dyDescent="0.3">
      <c r="A892" s="7" t="str">
        <f>HYPERLINK("https://hsdes.intel.com/resource/14013156719","14013156719")</f>
        <v>14013156719</v>
      </c>
      <c r="B892" s="7" t="s">
        <v>1606</v>
      </c>
      <c r="C892" s="7" t="s">
        <v>1420</v>
      </c>
      <c r="D892" s="7" t="s">
        <v>1607</v>
      </c>
      <c r="E892" s="7" t="s">
        <v>11</v>
      </c>
      <c r="F892" s="7"/>
      <c r="G892" s="7" t="s">
        <v>1605</v>
      </c>
      <c r="H892" s="7"/>
      <c r="I892" s="10">
        <v>44758</v>
      </c>
      <c r="J892" s="7" t="s">
        <v>13</v>
      </c>
      <c r="K892" s="7" t="s">
        <v>67</v>
      </c>
      <c r="L892" s="7" t="s">
        <v>68</v>
      </c>
      <c r="M892" s="7" t="s">
        <v>16</v>
      </c>
    </row>
    <row r="893" spans="1:13" x14ac:dyDescent="0.3">
      <c r="A893" s="7" t="str">
        <f>HYPERLINK("https://hsdes.intel.com/resource/14013156723","14013156723")</f>
        <v>14013156723</v>
      </c>
      <c r="B893" s="7" t="s">
        <v>1608</v>
      </c>
      <c r="C893" s="7" t="s">
        <v>1420</v>
      </c>
      <c r="D893" s="7" t="s">
        <v>1609</v>
      </c>
      <c r="E893" s="7" t="s">
        <v>11</v>
      </c>
      <c r="F893" s="7"/>
      <c r="G893" s="7" t="s">
        <v>1461</v>
      </c>
      <c r="H893" s="7"/>
      <c r="I893" s="10">
        <v>44758</v>
      </c>
      <c r="J893" s="7" t="s">
        <v>13</v>
      </c>
      <c r="K893" s="7" t="s">
        <v>67</v>
      </c>
      <c r="L893" s="7" t="s">
        <v>68</v>
      </c>
      <c r="M893" s="7" t="s">
        <v>16</v>
      </c>
    </row>
    <row r="894" spans="1:13" x14ac:dyDescent="0.3">
      <c r="A894" s="7" t="str">
        <f>HYPERLINK("https://hsdes.intel.com/resource/14013156724","14013156724")</f>
        <v>14013156724</v>
      </c>
      <c r="B894" s="7" t="s">
        <v>1610</v>
      </c>
      <c r="C894" s="7" t="s">
        <v>1420</v>
      </c>
      <c r="D894" s="7" t="s">
        <v>1611</v>
      </c>
      <c r="E894" s="7" t="s">
        <v>11</v>
      </c>
      <c r="F894" s="7"/>
      <c r="G894" s="7" t="s">
        <v>1605</v>
      </c>
      <c r="H894" s="7"/>
      <c r="I894" s="10">
        <v>44758</v>
      </c>
      <c r="J894" s="7" t="s">
        <v>13</v>
      </c>
      <c r="K894" s="7" t="s">
        <v>67</v>
      </c>
      <c r="L894" s="7" t="s">
        <v>68</v>
      </c>
      <c r="M894" s="7" t="s">
        <v>16</v>
      </c>
    </row>
    <row r="895" spans="1:13" x14ac:dyDescent="0.3">
      <c r="A895" s="7" t="str">
        <f>HYPERLINK("https://hsdes.intel.com/resource/14013156725","14013156725")</f>
        <v>14013156725</v>
      </c>
      <c r="B895" s="7" t="s">
        <v>1612</v>
      </c>
      <c r="C895" s="7" t="s">
        <v>1420</v>
      </c>
      <c r="D895" s="7" t="s">
        <v>1613</v>
      </c>
      <c r="E895" s="7" t="s">
        <v>11</v>
      </c>
      <c r="F895" s="7"/>
      <c r="G895" s="7" t="s">
        <v>1605</v>
      </c>
      <c r="H895" s="7"/>
      <c r="I895" s="10">
        <v>44758</v>
      </c>
      <c r="J895" s="7" t="s">
        <v>13</v>
      </c>
      <c r="K895" s="7" t="s">
        <v>67</v>
      </c>
      <c r="L895" s="7" t="s">
        <v>68</v>
      </c>
      <c r="M895" s="7" t="s">
        <v>24</v>
      </c>
    </row>
    <row r="896" spans="1:13" x14ac:dyDescent="0.3">
      <c r="A896" s="7" t="str">
        <f>HYPERLINK("https://hsdes.intel.com/resource/14013156728","14013156728")</f>
        <v>14013156728</v>
      </c>
      <c r="B896" s="7" t="s">
        <v>1614</v>
      </c>
      <c r="C896" s="7" t="s">
        <v>1420</v>
      </c>
      <c r="D896" s="7" t="s">
        <v>1615</v>
      </c>
      <c r="E896" s="7" t="s">
        <v>11</v>
      </c>
      <c r="F896" s="7"/>
      <c r="G896" s="7" t="s">
        <v>1605</v>
      </c>
      <c r="H896" s="7"/>
      <c r="I896" s="10">
        <v>44758</v>
      </c>
      <c r="J896" s="7" t="s">
        <v>13</v>
      </c>
      <c r="K896" s="7" t="s">
        <v>67</v>
      </c>
      <c r="L896" s="7" t="s">
        <v>68</v>
      </c>
      <c r="M896" s="7" t="s">
        <v>24</v>
      </c>
    </row>
    <row r="897" spans="1:13" ht="15" x14ac:dyDescent="0.35">
      <c r="A897" s="7" t="str">
        <f>HYPERLINK("https://hsdes.intel.com/resource/14013156733","14013156733")</f>
        <v>14013156733</v>
      </c>
      <c r="B897" s="7" t="s">
        <v>1616</v>
      </c>
      <c r="C897" s="7" t="s">
        <v>1420</v>
      </c>
      <c r="D897" s="7" t="s">
        <v>1617</v>
      </c>
      <c r="E897" s="7" t="s">
        <v>87</v>
      </c>
      <c r="F897" s="26" t="s">
        <v>1618</v>
      </c>
      <c r="G897" s="7" t="s">
        <v>1605</v>
      </c>
      <c r="H897" s="7"/>
      <c r="I897" s="10">
        <v>44758</v>
      </c>
      <c r="J897" s="7" t="s">
        <v>13</v>
      </c>
      <c r="K897" s="7" t="s">
        <v>67</v>
      </c>
      <c r="L897" s="7" t="s">
        <v>68</v>
      </c>
      <c r="M897" s="7" t="s">
        <v>24</v>
      </c>
    </row>
    <row r="898" spans="1:13" x14ac:dyDescent="0.3">
      <c r="A898" s="7" t="str">
        <f>HYPERLINK("https://hsdes.intel.com/resource/14013156736","14013156736")</f>
        <v>14013156736</v>
      </c>
      <c r="B898" s="7" t="s">
        <v>1619</v>
      </c>
      <c r="C898" s="7" t="s">
        <v>1420</v>
      </c>
      <c r="D898" s="7" t="s">
        <v>1620</v>
      </c>
      <c r="E898" s="7" t="s">
        <v>11</v>
      </c>
      <c r="F898" s="7"/>
      <c r="G898" s="7" t="s">
        <v>1447</v>
      </c>
      <c r="H898" s="7"/>
      <c r="I898" s="10">
        <v>44762</v>
      </c>
      <c r="J898" s="7" t="s">
        <v>13</v>
      </c>
      <c r="K898" s="7" t="s">
        <v>157</v>
      </c>
      <c r="L898" s="7" t="s">
        <v>158</v>
      </c>
      <c r="M898" s="7" t="s">
        <v>24</v>
      </c>
    </row>
    <row r="899" spans="1:13" x14ac:dyDescent="0.3">
      <c r="A899" s="7" t="str">
        <f>HYPERLINK("https://hsdes.intel.com/resource/14013156770","14013156770")</f>
        <v>14013156770</v>
      </c>
      <c r="B899" s="7" t="s">
        <v>1621</v>
      </c>
      <c r="C899" s="7" t="s">
        <v>1420</v>
      </c>
      <c r="D899" s="7" t="s">
        <v>1622</v>
      </c>
      <c r="E899" s="7" t="s">
        <v>11</v>
      </c>
      <c r="F899" s="7"/>
      <c r="G899" s="7" t="s">
        <v>345</v>
      </c>
      <c r="H899" s="7"/>
      <c r="I899" s="10">
        <v>44758</v>
      </c>
      <c r="J899" s="7" t="s">
        <v>1623</v>
      </c>
      <c r="K899" s="7" t="s">
        <v>439</v>
      </c>
      <c r="L899" s="7" t="s">
        <v>291</v>
      </c>
      <c r="M899" s="7" t="s">
        <v>24</v>
      </c>
    </row>
    <row r="900" spans="1:13" x14ac:dyDescent="0.3">
      <c r="A900" s="7" t="str">
        <f>HYPERLINK("https://hsdes.intel.com/resource/14013156774","14013156774")</f>
        <v>14013156774</v>
      </c>
      <c r="B900" s="7" t="s">
        <v>1624</v>
      </c>
      <c r="C900" s="7" t="s">
        <v>1420</v>
      </c>
      <c r="D900" s="7" t="s">
        <v>1625</v>
      </c>
      <c r="E900" s="7" t="s">
        <v>11</v>
      </c>
      <c r="F900" s="7"/>
      <c r="G900" s="7" t="s">
        <v>1482</v>
      </c>
      <c r="H900" s="7"/>
      <c r="I900" s="10">
        <v>44758</v>
      </c>
      <c r="J900" s="7" t="s">
        <v>13</v>
      </c>
      <c r="K900" s="7" t="s">
        <v>523</v>
      </c>
      <c r="L900" s="7" t="s">
        <v>660</v>
      </c>
      <c r="M900" s="7" t="s">
        <v>16</v>
      </c>
    </row>
    <row r="901" spans="1:13" x14ac:dyDescent="0.3">
      <c r="A901" s="7" t="str">
        <f>HYPERLINK("https://hsdes.intel.com/resource/14013156776","14013156776")</f>
        <v>14013156776</v>
      </c>
      <c r="B901" s="7" t="s">
        <v>1626</v>
      </c>
      <c r="C901" s="7" t="s">
        <v>1420</v>
      </c>
      <c r="D901" s="7" t="s">
        <v>1627</v>
      </c>
      <c r="E901" s="7" t="s">
        <v>11</v>
      </c>
      <c r="F901" s="7"/>
      <c r="G901" s="7" t="s">
        <v>1482</v>
      </c>
      <c r="H901" s="7"/>
      <c r="I901" s="10">
        <v>44758</v>
      </c>
      <c r="J901" s="7" t="s">
        <v>13</v>
      </c>
      <c r="K901" s="7" t="s">
        <v>1353</v>
      </c>
      <c r="L901" s="7" t="s">
        <v>660</v>
      </c>
      <c r="M901" s="7" t="s">
        <v>16</v>
      </c>
    </row>
    <row r="902" spans="1:13" x14ac:dyDescent="0.3">
      <c r="A902" s="7" t="str">
        <f>HYPERLINK("https://hsdes.intel.com/resource/14013156780","14013156780")</f>
        <v>14013156780</v>
      </c>
      <c r="B902" s="7" t="s">
        <v>1628</v>
      </c>
      <c r="C902" s="7" t="s">
        <v>1420</v>
      </c>
      <c r="D902" s="7" t="s">
        <v>1629</v>
      </c>
      <c r="E902" s="7" t="s">
        <v>11</v>
      </c>
      <c r="F902" s="7"/>
      <c r="G902" s="7" t="s">
        <v>369</v>
      </c>
      <c r="H902" s="7"/>
      <c r="I902" s="10">
        <v>44758</v>
      </c>
      <c r="J902" s="7" t="s">
        <v>13</v>
      </c>
      <c r="K902" s="7" t="s">
        <v>296</v>
      </c>
      <c r="L902" s="7" t="s">
        <v>297</v>
      </c>
      <c r="M902" s="7" t="s">
        <v>16</v>
      </c>
    </row>
    <row r="903" spans="1:13" x14ac:dyDescent="0.3">
      <c r="A903" s="7" t="str">
        <f>HYPERLINK("https://hsdes.intel.com/resource/14013156783","14013156783")</f>
        <v>14013156783</v>
      </c>
      <c r="B903" s="7" t="s">
        <v>1630</v>
      </c>
      <c r="C903" s="7" t="s">
        <v>1420</v>
      </c>
      <c r="D903" s="7" t="s">
        <v>1631</v>
      </c>
      <c r="E903" s="7" t="s">
        <v>11</v>
      </c>
      <c r="F903" s="7"/>
      <c r="G903" s="7" t="s">
        <v>354</v>
      </c>
      <c r="H903" s="7"/>
      <c r="I903" s="10">
        <v>44760</v>
      </c>
      <c r="J903" s="7" t="s">
        <v>13</v>
      </c>
      <c r="K903" s="7" t="s">
        <v>296</v>
      </c>
      <c r="L903" s="7" t="s">
        <v>297</v>
      </c>
      <c r="M903" s="7" t="s">
        <v>16</v>
      </c>
    </row>
    <row r="904" spans="1:13" x14ac:dyDescent="0.3">
      <c r="A904" s="7" t="str">
        <f>HYPERLINK("https://hsdes.intel.com/resource/14013156787","14013156787")</f>
        <v>14013156787</v>
      </c>
      <c r="B904" s="7" t="s">
        <v>1632</v>
      </c>
      <c r="C904" s="7" t="s">
        <v>1420</v>
      </c>
      <c r="D904" s="7" t="s">
        <v>1633</v>
      </c>
      <c r="E904" s="7" t="s">
        <v>11</v>
      </c>
      <c r="F904" s="7"/>
      <c r="G904" s="7" t="s">
        <v>1461</v>
      </c>
      <c r="H904" s="7"/>
      <c r="I904" s="10">
        <v>44764</v>
      </c>
      <c r="J904" s="7" t="s">
        <v>13</v>
      </c>
      <c r="K904" s="7" t="s">
        <v>1433</v>
      </c>
      <c r="L904" s="7" t="s">
        <v>1434</v>
      </c>
      <c r="M904" s="7" t="s">
        <v>24</v>
      </c>
    </row>
    <row r="905" spans="1:13" x14ac:dyDescent="0.3">
      <c r="A905" s="7" t="str">
        <f>HYPERLINK("https://hsdes.intel.com/resource/14013156788","14013156788")</f>
        <v>14013156788</v>
      </c>
      <c r="B905" s="7" t="s">
        <v>1325</v>
      </c>
      <c r="C905" s="7" t="s">
        <v>1420</v>
      </c>
      <c r="D905" s="7" t="s">
        <v>1326</v>
      </c>
      <c r="E905" s="7"/>
      <c r="F905" s="7"/>
      <c r="G905" s="7" t="s">
        <v>833</v>
      </c>
      <c r="H905" s="7"/>
      <c r="I905" s="10"/>
      <c r="J905" s="7" t="s">
        <v>13</v>
      </c>
      <c r="K905" s="7" t="s">
        <v>523</v>
      </c>
      <c r="L905" s="7" t="s">
        <v>660</v>
      </c>
      <c r="M905" s="7" t="s">
        <v>24</v>
      </c>
    </row>
    <row r="906" spans="1:13" x14ac:dyDescent="0.3">
      <c r="A906" s="7" t="str">
        <f>HYPERLINK("https://hsdes.intel.com/resource/14013156791","14013156791")</f>
        <v>14013156791</v>
      </c>
      <c r="B906" s="7" t="s">
        <v>1634</v>
      </c>
      <c r="C906" s="7" t="s">
        <v>1420</v>
      </c>
      <c r="D906" s="7" t="s">
        <v>1635</v>
      </c>
      <c r="E906" s="7" t="s">
        <v>11</v>
      </c>
      <c r="F906" s="7"/>
      <c r="G906" s="7" t="s">
        <v>1461</v>
      </c>
      <c r="H906" s="7"/>
      <c r="I906" s="10">
        <v>44764</v>
      </c>
      <c r="J906" s="7" t="s">
        <v>13</v>
      </c>
      <c r="K906" s="7" t="s">
        <v>1433</v>
      </c>
      <c r="L906" s="7" t="s">
        <v>1434</v>
      </c>
      <c r="M906" s="7" t="s">
        <v>24</v>
      </c>
    </row>
    <row r="907" spans="1:13" x14ac:dyDescent="0.3">
      <c r="A907" s="7" t="str">
        <f>HYPERLINK("https://hsdes.intel.com/resource/14013156792","14013156792")</f>
        <v>14013156792</v>
      </c>
      <c r="B907" s="7" t="s">
        <v>1636</v>
      </c>
      <c r="C907" s="7" t="s">
        <v>1420</v>
      </c>
      <c r="D907" s="7" t="s">
        <v>1637</v>
      </c>
      <c r="E907" s="7" t="s">
        <v>11</v>
      </c>
      <c r="F907" s="7"/>
      <c r="G907" s="7" t="s">
        <v>1461</v>
      </c>
      <c r="H907" s="7"/>
      <c r="I907" s="10">
        <v>44758</v>
      </c>
      <c r="J907" s="7" t="s">
        <v>13</v>
      </c>
      <c r="K907" s="7" t="s">
        <v>1433</v>
      </c>
      <c r="L907" s="7" t="s">
        <v>1434</v>
      </c>
      <c r="M907" s="7" t="s">
        <v>24</v>
      </c>
    </row>
    <row r="908" spans="1:13" x14ac:dyDescent="0.3">
      <c r="A908" s="7" t="str">
        <f>HYPERLINK("https://hsdes.intel.com/resource/14013156795","14013156795")</f>
        <v>14013156795</v>
      </c>
      <c r="B908" s="7" t="s">
        <v>1638</v>
      </c>
      <c r="C908" s="7" t="s">
        <v>1420</v>
      </c>
      <c r="D908" s="7" t="s">
        <v>1639</v>
      </c>
      <c r="E908" s="7" t="s">
        <v>11</v>
      </c>
      <c r="F908" s="7"/>
      <c r="G908" s="7" t="s">
        <v>345</v>
      </c>
      <c r="H908" s="7"/>
      <c r="I908" s="10">
        <v>44758</v>
      </c>
      <c r="J908" s="7" t="s">
        <v>13</v>
      </c>
      <c r="K908" s="7" t="s">
        <v>1433</v>
      </c>
      <c r="L908" s="7" t="s">
        <v>1434</v>
      </c>
      <c r="M908" s="7" t="s">
        <v>24</v>
      </c>
    </row>
    <row r="909" spans="1:13" x14ac:dyDescent="0.3">
      <c r="A909" s="7" t="str">
        <f>HYPERLINK("https://hsdes.intel.com/resource/14013156796","14013156796")</f>
        <v>14013156796</v>
      </c>
      <c r="B909" s="7" t="s">
        <v>1254</v>
      </c>
      <c r="C909" s="7" t="s">
        <v>1420</v>
      </c>
      <c r="D909" s="7" t="s">
        <v>1255</v>
      </c>
      <c r="E909" s="7"/>
      <c r="F909" s="7"/>
      <c r="G909" s="7" t="s">
        <v>833</v>
      </c>
      <c r="H909" s="7"/>
      <c r="I909" s="10">
        <v>44758</v>
      </c>
      <c r="J909" s="7" t="s">
        <v>13</v>
      </c>
      <c r="K909" s="7" t="s">
        <v>14</v>
      </c>
      <c r="L909" s="7" t="s">
        <v>88</v>
      </c>
      <c r="M909" s="7" t="s">
        <v>16</v>
      </c>
    </row>
    <row r="910" spans="1:13" x14ac:dyDescent="0.3">
      <c r="A910" s="7" t="str">
        <f>HYPERLINK("https://hsdes.intel.com/resource/14013156798","14013156798")</f>
        <v>14013156798</v>
      </c>
      <c r="B910" s="7" t="s">
        <v>1640</v>
      </c>
      <c r="C910" s="7" t="s">
        <v>1420</v>
      </c>
      <c r="D910" s="7" t="s">
        <v>1641</v>
      </c>
      <c r="E910" s="7" t="s">
        <v>11</v>
      </c>
      <c r="F910" s="7"/>
      <c r="G910" s="7" t="s">
        <v>345</v>
      </c>
      <c r="H910" s="7"/>
      <c r="I910" s="10">
        <v>44758</v>
      </c>
      <c r="J910" s="7" t="s">
        <v>13</v>
      </c>
      <c r="K910" s="7" t="s">
        <v>1433</v>
      </c>
      <c r="L910" s="7" t="s">
        <v>1434</v>
      </c>
      <c r="M910" s="7" t="s">
        <v>24</v>
      </c>
    </row>
    <row r="911" spans="1:13" x14ac:dyDescent="0.3">
      <c r="A911" s="7" t="str">
        <f>HYPERLINK("https://hsdes.intel.com/resource/14013156799","14013156799")</f>
        <v>14013156799</v>
      </c>
      <c r="B911" s="7" t="s">
        <v>1642</v>
      </c>
      <c r="C911" s="7" t="s">
        <v>1420</v>
      </c>
      <c r="D911" s="7" t="s">
        <v>1643</v>
      </c>
      <c r="E911" s="7" t="s">
        <v>11</v>
      </c>
      <c r="F911" s="7"/>
      <c r="G911" s="7" t="s">
        <v>1569</v>
      </c>
      <c r="H911" s="7"/>
      <c r="I911" s="10">
        <v>44754</v>
      </c>
      <c r="J911" s="7" t="s">
        <v>13</v>
      </c>
      <c r="K911" s="7" t="s">
        <v>14</v>
      </c>
      <c r="L911" s="7" t="s">
        <v>88</v>
      </c>
      <c r="M911" s="7" t="s">
        <v>16</v>
      </c>
    </row>
    <row r="912" spans="1:13" x14ac:dyDescent="0.3">
      <c r="A912" s="7" t="str">
        <f>HYPERLINK("https://hsdes.intel.com/resource/14013156800","14013156800")</f>
        <v>14013156800</v>
      </c>
      <c r="B912" s="7" t="s">
        <v>1644</v>
      </c>
      <c r="C912" s="7" t="s">
        <v>1420</v>
      </c>
      <c r="D912" s="7" t="s">
        <v>1645</v>
      </c>
      <c r="E912" s="7" t="s">
        <v>11</v>
      </c>
      <c r="F912" s="7"/>
      <c r="G912" s="7" t="s">
        <v>1432</v>
      </c>
      <c r="H912" s="7"/>
      <c r="I912" s="10">
        <v>44756</v>
      </c>
      <c r="J912" s="7" t="s">
        <v>13</v>
      </c>
      <c r="K912" s="7" t="s">
        <v>1433</v>
      </c>
      <c r="L912" s="7" t="s">
        <v>1434</v>
      </c>
      <c r="M912" s="7" t="s">
        <v>16</v>
      </c>
    </row>
    <row r="913" spans="1:13" x14ac:dyDescent="0.3">
      <c r="A913" s="7" t="str">
        <f>HYPERLINK("https://hsdes.intel.com/resource/14013156801","14013156801")</f>
        <v>14013156801</v>
      </c>
      <c r="B913" s="7" t="s">
        <v>1646</v>
      </c>
      <c r="C913" s="7" t="s">
        <v>1420</v>
      </c>
      <c r="D913" s="7" t="s">
        <v>1647</v>
      </c>
      <c r="E913" s="7" t="s">
        <v>11</v>
      </c>
      <c r="F913" s="7"/>
      <c r="G913" s="7" t="s">
        <v>1432</v>
      </c>
      <c r="H913" s="7"/>
      <c r="I913" s="10">
        <v>44755</v>
      </c>
      <c r="J913" s="7" t="s">
        <v>13</v>
      </c>
      <c r="K913" s="7" t="s">
        <v>1648</v>
      </c>
      <c r="L913" s="7" t="s">
        <v>1434</v>
      </c>
      <c r="M913" s="7" t="s">
        <v>16</v>
      </c>
    </row>
    <row r="914" spans="1:13" x14ac:dyDescent="0.3">
      <c r="A914" s="7" t="str">
        <f>HYPERLINK("https://hsdes.intel.com/resource/14013156802","14013156802")</f>
        <v>14013156802</v>
      </c>
      <c r="B914" s="7" t="s">
        <v>1649</v>
      </c>
      <c r="C914" s="7" t="s">
        <v>1420</v>
      </c>
      <c r="D914" s="7" t="s">
        <v>1650</v>
      </c>
      <c r="E914" s="7" t="s">
        <v>11</v>
      </c>
      <c r="F914" s="7"/>
      <c r="G914" s="7" t="s">
        <v>1432</v>
      </c>
      <c r="H914" s="7"/>
      <c r="I914" s="10">
        <v>44755</v>
      </c>
      <c r="J914" s="7" t="s">
        <v>13</v>
      </c>
      <c r="K914" s="7" t="s">
        <v>1433</v>
      </c>
      <c r="L914" s="7" t="s">
        <v>1434</v>
      </c>
      <c r="M914" s="7" t="s">
        <v>24</v>
      </c>
    </row>
    <row r="915" spans="1:13" x14ac:dyDescent="0.3">
      <c r="A915" s="7" t="str">
        <f>HYPERLINK("https://hsdes.intel.com/resource/14013156804","14013156804")</f>
        <v>14013156804</v>
      </c>
      <c r="B915" s="7" t="s">
        <v>1651</v>
      </c>
      <c r="C915" s="7" t="s">
        <v>1420</v>
      </c>
      <c r="D915" s="7" t="s">
        <v>1652</v>
      </c>
      <c r="E915" s="7" t="s">
        <v>11</v>
      </c>
      <c r="F915" s="7"/>
      <c r="G915" s="7" t="s">
        <v>1569</v>
      </c>
      <c r="H915" s="7"/>
      <c r="I915" s="10">
        <v>44754</v>
      </c>
      <c r="J915" s="7" t="s">
        <v>13</v>
      </c>
      <c r="K915" s="7" t="s">
        <v>14</v>
      </c>
      <c r="L915" s="7" t="s">
        <v>88</v>
      </c>
      <c r="M915" s="7" t="s">
        <v>16</v>
      </c>
    </row>
    <row r="916" spans="1:13" x14ac:dyDescent="0.3">
      <c r="A916" s="7" t="str">
        <f>HYPERLINK("https://hsdes.intel.com/resource/14013156805","14013156805")</f>
        <v>14013156805</v>
      </c>
      <c r="B916" s="7" t="s">
        <v>1653</v>
      </c>
      <c r="C916" s="7" t="s">
        <v>1420</v>
      </c>
      <c r="D916" s="7" t="s">
        <v>1654</v>
      </c>
      <c r="E916" s="7" t="s">
        <v>11</v>
      </c>
      <c r="F916" s="7"/>
      <c r="G916" s="7" t="s">
        <v>1432</v>
      </c>
      <c r="H916" s="7"/>
      <c r="I916" s="10">
        <v>44756</v>
      </c>
      <c r="J916" s="7" t="s">
        <v>13</v>
      </c>
      <c r="K916" s="7" t="s">
        <v>1433</v>
      </c>
      <c r="L916" s="7" t="s">
        <v>1434</v>
      </c>
      <c r="M916" s="7" t="s">
        <v>21</v>
      </c>
    </row>
    <row r="917" spans="1:13" x14ac:dyDescent="0.3">
      <c r="A917" s="7" t="str">
        <f>HYPERLINK("https://hsdes.intel.com/resource/14013156807","14013156807")</f>
        <v>14013156807</v>
      </c>
      <c r="B917" s="7" t="s">
        <v>1655</v>
      </c>
      <c r="C917" s="7" t="s">
        <v>1420</v>
      </c>
      <c r="D917" s="7" t="s">
        <v>1656</v>
      </c>
      <c r="E917" s="7" t="s">
        <v>11</v>
      </c>
      <c r="F917" s="7"/>
      <c r="G917" s="7" t="s">
        <v>1569</v>
      </c>
      <c r="H917" s="7"/>
      <c r="I917" s="10">
        <v>44754</v>
      </c>
      <c r="J917" s="7" t="s">
        <v>13</v>
      </c>
      <c r="K917" s="7" t="s">
        <v>14</v>
      </c>
      <c r="L917" s="7" t="s">
        <v>88</v>
      </c>
      <c r="M917" s="7" t="s">
        <v>16</v>
      </c>
    </row>
    <row r="918" spans="1:13" x14ac:dyDescent="0.3">
      <c r="A918" s="7" t="str">
        <f>HYPERLINK("https://hsdes.intel.com/resource/14013156809","14013156809")</f>
        <v>14013156809</v>
      </c>
      <c r="B918" s="7" t="s">
        <v>1257</v>
      </c>
      <c r="C918" s="7" t="s">
        <v>1420</v>
      </c>
      <c r="D918" s="7" t="s">
        <v>1258</v>
      </c>
      <c r="E918" s="7"/>
      <c r="F918" s="7"/>
      <c r="G918" s="7" t="s">
        <v>833</v>
      </c>
      <c r="H918" s="7"/>
      <c r="I918" s="7"/>
      <c r="J918" s="7" t="s">
        <v>13</v>
      </c>
      <c r="K918" s="7" t="s">
        <v>14</v>
      </c>
      <c r="L918" s="7" t="s">
        <v>88</v>
      </c>
      <c r="M918" s="7" t="s">
        <v>16</v>
      </c>
    </row>
    <row r="919" spans="1:13" x14ac:dyDescent="0.3">
      <c r="A919" s="7" t="str">
        <f>HYPERLINK("https://hsdes.intel.com/resource/14013156833","14013156833")</f>
        <v>14013156833</v>
      </c>
      <c r="B919" s="7" t="s">
        <v>1260</v>
      </c>
      <c r="C919" s="7" t="s">
        <v>1420</v>
      </c>
      <c r="D919" s="7" t="s">
        <v>1261</v>
      </c>
      <c r="E919" s="7"/>
      <c r="F919" s="7"/>
      <c r="G919" s="7" t="s">
        <v>833</v>
      </c>
      <c r="H919" s="7"/>
      <c r="I919" s="7"/>
      <c r="J919" s="7" t="s">
        <v>13</v>
      </c>
      <c r="K919" s="7" t="s">
        <v>14</v>
      </c>
      <c r="L919" s="7" t="s">
        <v>88</v>
      </c>
      <c r="M919" s="7" t="s">
        <v>16</v>
      </c>
    </row>
    <row r="920" spans="1:13" x14ac:dyDescent="0.3">
      <c r="A920" s="7" t="str">
        <f>HYPERLINK("https://hsdes.intel.com/resource/14013156839","14013156839")</f>
        <v>14013156839</v>
      </c>
      <c r="B920" s="7" t="s">
        <v>1657</v>
      </c>
      <c r="C920" s="7" t="s">
        <v>1420</v>
      </c>
      <c r="D920" s="7" t="s">
        <v>1658</v>
      </c>
      <c r="E920" s="7" t="s">
        <v>11</v>
      </c>
      <c r="F920" s="7"/>
      <c r="G920" s="7" t="s">
        <v>1569</v>
      </c>
      <c r="H920" s="7"/>
      <c r="I920" s="10">
        <v>44754</v>
      </c>
      <c r="J920" s="7" t="s">
        <v>13</v>
      </c>
      <c r="K920" s="7" t="s">
        <v>14</v>
      </c>
      <c r="L920" s="7" t="s">
        <v>88</v>
      </c>
      <c r="M920" s="7" t="s">
        <v>16</v>
      </c>
    </row>
    <row r="921" spans="1:13" x14ac:dyDescent="0.3">
      <c r="A921" s="7" t="str">
        <f>HYPERLINK("https://hsdes.intel.com/resource/14013156842","14013156842")</f>
        <v>14013156842</v>
      </c>
      <c r="B921" s="7" t="s">
        <v>1262</v>
      </c>
      <c r="C921" s="7" t="s">
        <v>1420</v>
      </c>
      <c r="D921" s="7" t="s">
        <v>1263</v>
      </c>
      <c r="E921" s="7"/>
      <c r="F921" s="7"/>
      <c r="G921" s="7" t="s">
        <v>833</v>
      </c>
      <c r="H921" s="7"/>
      <c r="I921" s="7"/>
      <c r="J921" s="7" t="s">
        <v>13</v>
      </c>
      <c r="K921" s="7" t="s">
        <v>14</v>
      </c>
      <c r="L921" s="7" t="s">
        <v>88</v>
      </c>
      <c r="M921" s="7" t="s">
        <v>16</v>
      </c>
    </row>
    <row r="922" spans="1:13" x14ac:dyDescent="0.3">
      <c r="A922" s="7" t="str">
        <f>HYPERLINK("https://hsdes.intel.com/resource/14013156844","14013156844")</f>
        <v>14013156844</v>
      </c>
      <c r="B922" s="7" t="s">
        <v>1659</v>
      </c>
      <c r="C922" s="7" t="s">
        <v>1420</v>
      </c>
      <c r="D922" s="7" t="s">
        <v>1660</v>
      </c>
      <c r="E922" s="7" t="s">
        <v>11</v>
      </c>
      <c r="F922" s="7"/>
      <c r="G922" s="7" t="s">
        <v>1429</v>
      </c>
      <c r="H922" s="7"/>
      <c r="I922" s="10">
        <v>44755</v>
      </c>
      <c r="J922" s="7" t="s">
        <v>13</v>
      </c>
      <c r="K922" s="7" t="s">
        <v>553</v>
      </c>
      <c r="L922" s="7" t="s">
        <v>544</v>
      </c>
      <c r="M922" s="7" t="s">
        <v>16</v>
      </c>
    </row>
    <row r="923" spans="1:13" x14ac:dyDescent="0.3">
      <c r="A923" s="7" t="str">
        <f>HYPERLINK("https://hsdes.intel.com/resource/14013156845","14013156845")</f>
        <v>14013156845</v>
      </c>
      <c r="B923" s="7" t="s">
        <v>1661</v>
      </c>
      <c r="C923" s="7" t="s">
        <v>1420</v>
      </c>
      <c r="D923" s="7" t="s">
        <v>1662</v>
      </c>
      <c r="E923" s="7" t="s">
        <v>11</v>
      </c>
      <c r="F923" s="7"/>
      <c r="G923" s="7" t="s">
        <v>1429</v>
      </c>
      <c r="H923" s="7"/>
      <c r="I923" s="10">
        <v>44755</v>
      </c>
      <c r="J923" s="7" t="s">
        <v>13</v>
      </c>
      <c r="K923" s="7" t="s">
        <v>553</v>
      </c>
      <c r="L923" s="7" t="s">
        <v>544</v>
      </c>
      <c r="M923" s="7" t="s">
        <v>16</v>
      </c>
    </row>
    <row r="924" spans="1:13" x14ac:dyDescent="0.3">
      <c r="A924" s="7" t="str">
        <f>HYPERLINK("https://hsdes.intel.com/resource/14013156846","14013156846")</f>
        <v>14013156846</v>
      </c>
      <c r="B924" s="7" t="s">
        <v>1264</v>
      </c>
      <c r="C924" s="7" t="s">
        <v>1420</v>
      </c>
      <c r="D924" s="7" t="s">
        <v>1265</v>
      </c>
      <c r="E924" s="7"/>
      <c r="F924" s="7"/>
      <c r="G924" s="7" t="s">
        <v>833</v>
      </c>
      <c r="H924" s="7"/>
      <c r="I924" s="7"/>
      <c r="J924" s="7" t="s">
        <v>13</v>
      </c>
      <c r="K924" s="7" t="s">
        <v>14</v>
      </c>
      <c r="L924" s="7" t="s">
        <v>88</v>
      </c>
      <c r="M924" s="7" t="s">
        <v>21</v>
      </c>
    </row>
    <row r="925" spans="1:13" x14ac:dyDescent="0.3">
      <c r="A925" s="7" t="str">
        <f>HYPERLINK("https://hsdes.intel.com/resource/14013156847","14013156847")</f>
        <v>14013156847</v>
      </c>
      <c r="B925" s="7" t="s">
        <v>1267</v>
      </c>
      <c r="C925" s="7" t="s">
        <v>1420</v>
      </c>
      <c r="D925" s="7" t="s">
        <v>1268</v>
      </c>
      <c r="E925" s="7"/>
      <c r="F925" s="7"/>
      <c r="G925" s="7" t="s">
        <v>833</v>
      </c>
      <c r="H925" s="7"/>
      <c r="I925" s="7"/>
      <c r="J925" s="7" t="s">
        <v>13</v>
      </c>
      <c r="K925" s="7" t="s">
        <v>14</v>
      </c>
      <c r="L925" s="7" t="s">
        <v>88</v>
      </c>
      <c r="M925" s="7" t="s">
        <v>16</v>
      </c>
    </row>
    <row r="926" spans="1:13" x14ac:dyDescent="0.3">
      <c r="A926" s="7" t="str">
        <f>HYPERLINK("https://hsdes.intel.com/resource/14013156848","14013156848")</f>
        <v>14013156848</v>
      </c>
      <c r="B926" s="7" t="s">
        <v>1663</v>
      </c>
      <c r="C926" s="7" t="s">
        <v>1420</v>
      </c>
      <c r="D926" s="7" t="s">
        <v>1664</v>
      </c>
      <c r="E926" s="7" t="s">
        <v>11</v>
      </c>
      <c r="F926" s="7"/>
      <c r="G926" s="7" t="s">
        <v>1569</v>
      </c>
      <c r="H926" s="7"/>
      <c r="I926" s="10">
        <v>44754</v>
      </c>
      <c r="J926" s="7" t="s">
        <v>13</v>
      </c>
      <c r="K926" s="7" t="s">
        <v>14</v>
      </c>
      <c r="L926" s="7" t="s">
        <v>88</v>
      </c>
      <c r="M926" s="7" t="s">
        <v>16</v>
      </c>
    </row>
    <row r="927" spans="1:13" x14ac:dyDescent="0.3">
      <c r="A927" s="7" t="str">
        <f>HYPERLINK("https://hsdes.intel.com/resource/14013156854","14013156854")</f>
        <v>14013156854</v>
      </c>
      <c r="B927" s="7" t="s">
        <v>1270</v>
      </c>
      <c r="C927" s="7" t="s">
        <v>1420</v>
      </c>
      <c r="D927" s="7" t="s">
        <v>1271</v>
      </c>
      <c r="E927" s="7"/>
      <c r="F927" s="7"/>
      <c r="G927" s="7" t="s">
        <v>833</v>
      </c>
      <c r="H927" s="7"/>
      <c r="I927" s="7"/>
      <c r="J927" s="7" t="s">
        <v>192</v>
      </c>
      <c r="K927" s="7" t="s">
        <v>14</v>
      </c>
      <c r="L927" s="7" t="s">
        <v>88</v>
      </c>
      <c r="M927" s="7" t="s">
        <v>16</v>
      </c>
    </row>
    <row r="928" spans="1:13" x14ac:dyDescent="0.3">
      <c r="A928" s="7" t="str">
        <f>HYPERLINK("https://hsdes.intel.com/resource/14013156856","14013156856")</f>
        <v>14013156856</v>
      </c>
      <c r="B928" s="7" t="s">
        <v>1665</v>
      </c>
      <c r="C928" s="7" t="s">
        <v>1420</v>
      </c>
      <c r="D928" s="7" t="s">
        <v>1666</v>
      </c>
      <c r="E928" s="7" t="s">
        <v>11</v>
      </c>
      <c r="F928" s="7"/>
      <c r="G928" s="7" t="s">
        <v>1569</v>
      </c>
      <c r="H928" s="7"/>
      <c r="I928" s="10">
        <v>44754</v>
      </c>
      <c r="J928" s="7" t="s">
        <v>13</v>
      </c>
      <c r="K928" s="7" t="s">
        <v>14</v>
      </c>
      <c r="L928" s="7" t="s">
        <v>88</v>
      </c>
      <c r="M928" s="7" t="s">
        <v>16</v>
      </c>
    </row>
    <row r="929" spans="1:13" x14ac:dyDescent="0.3">
      <c r="A929" s="7" t="str">
        <f>HYPERLINK("https://hsdes.intel.com/resource/14013156858","14013156858")</f>
        <v>14013156858</v>
      </c>
      <c r="B929" s="7" t="s">
        <v>1667</v>
      </c>
      <c r="C929" s="7" t="s">
        <v>1420</v>
      </c>
      <c r="D929" s="7" t="s">
        <v>1668</v>
      </c>
      <c r="E929" s="7" t="s">
        <v>11</v>
      </c>
      <c r="F929" s="7"/>
      <c r="G929" s="7" t="s">
        <v>1461</v>
      </c>
      <c r="H929" s="7"/>
      <c r="I929" s="10">
        <v>44755</v>
      </c>
      <c r="J929" s="7" t="s">
        <v>13</v>
      </c>
      <c r="K929" s="7" t="s">
        <v>553</v>
      </c>
      <c r="L929" s="7" t="s">
        <v>297</v>
      </c>
      <c r="M929" s="7" t="s">
        <v>21</v>
      </c>
    </row>
    <row r="930" spans="1:13" x14ac:dyDescent="0.3">
      <c r="A930" s="7" t="str">
        <f>HYPERLINK("https://hsdes.intel.com/resource/14013156860","14013156860")</f>
        <v>14013156860</v>
      </c>
      <c r="B930" s="7" t="s">
        <v>1273</v>
      </c>
      <c r="C930" s="7" t="s">
        <v>1420</v>
      </c>
      <c r="D930" s="7" t="s">
        <v>1274</v>
      </c>
      <c r="E930" s="7"/>
      <c r="F930" s="7"/>
      <c r="G930" s="7" t="s">
        <v>833</v>
      </c>
      <c r="H930" s="7"/>
      <c r="I930" s="7"/>
      <c r="J930" s="7" t="s">
        <v>13</v>
      </c>
      <c r="K930" s="7" t="s">
        <v>14</v>
      </c>
      <c r="L930" s="7" t="s">
        <v>88</v>
      </c>
      <c r="M930" s="7" t="s">
        <v>16</v>
      </c>
    </row>
    <row r="931" spans="1:13" x14ac:dyDescent="0.3">
      <c r="A931" s="7" t="str">
        <f>HYPERLINK("https://hsdes.intel.com/resource/14013156862","14013156862")</f>
        <v>14013156862</v>
      </c>
      <c r="B931" s="7" t="s">
        <v>1276</v>
      </c>
      <c r="C931" s="7" t="s">
        <v>1420</v>
      </c>
      <c r="D931" s="7" t="s">
        <v>1277</v>
      </c>
      <c r="E931" s="7"/>
      <c r="F931" s="7"/>
      <c r="G931" s="7" t="s">
        <v>833</v>
      </c>
      <c r="H931" s="7"/>
      <c r="I931" s="7"/>
      <c r="J931" s="7" t="s">
        <v>13</v>
      </c>
      <c r="K931" s="7" t="s">
        <v>14</v>
      </c>
      <c r="L931" s="7" t="s">
        <v>88</v>
      </c>
      <c r="M931" s="7" t="s">
        <v>16</v>
      </c>
    </row>
    <row r="932" spans="1:13" x14ac:dyDescent="0.3">
      <c r="A932" s="7" t="str">
        <f>HYPERLINK("https://hsdes.intel.com/resource/14013156866","14013156866")</f>
        <v>14013156866</v>
      </c>
      <c r="B932" s="7" t="s">
        <v>1669</v>
      </c>
      <c r="C932" s="7" t="s">
        <v>1420</v>
      </c>
      <c r="D932" s="7" t="s">
        <v>1670</v>
      </c>
      <c r="E932" s="7" t="s">
        <v>11</v>
      </c>
      <c r="F932" s="7"/>
      <c r="G932" s="7" t="s">
        <v>1569</v>
      </c>
      <c r="H932" s="7"/>
      <c r="I932" s="10">
        <v>44754</v>
      </c>
      <c r="J932" s="7" t="s">
        <v>13</v>
      </c>
      <c r="K932" s="7" t="s">
        <v>14</v>
      </c>
      <c r="L932" s="7" t="s">
        <v>88</v>
      </c>
      <c r="M932" s="7" t="s">
        <v>16</v>
      </c>
    </row>
    <row r="933" spans="1:13" x14ac:dyDescent="0.3">
      <c r="A933" s="7" t="str">
        <f>HYPERLINK("https://hsdes.intel.com/resource/14013156868","14013156868")</f>
        <v>14013156868</v>
      </c>
      <c r="B933" s="7" t="s">
        <v>1671</v>
      </c>
      <c r="C933" s="7" t="s">
        <v>1420</v>
      </c>
      <c r="D933" s="7" t="s">
        <v>1672</v>
      </c>
      <c r="E933" s="7" t="s">
        <v>11</v>
      </c>
      <c r="F933" s="7"/>
      <c r="G933" s="7" t="s">
        <v>1569</v>
      </c>
      <c r="H933" s="7"/>
      <c r="I933" s="10">
        <v>44756</v>
      </c>
      <c r="J933" s="7" t="s">
        <v>13</v>
      </c>
      <c r="K933" s="7" t="s">
        <v>14</v>
      </c>
      <c r="L933" s="7" t="s">
        <v>88</v>
      </c>
      <c r="M933" s="7" t="s">
        <v>16</v>
      </c>
    </row>
    <row r="934" spans="1:13" x14ac:dyDescent="0.3">
      <c r="A934" s="7" t="str">
        <f>HYPERLINK("https://hsdes.intel.com/resource/14013156870","14013156870")</f>
        <v>14013156870</v>
      </c>
      <c r="B934" s="7" t="s">
        <v>1279</v>
      </c>
      <c r="C934" s="7" t="s">
        <v>1420</v>
      </c>
      <c r="D934" s="7" t="s">
        <v>1280</v>
      </c>
      <c r="E934" s="7"/>
      <c r="F934" s="7"/>
      <c r="G934" s="7" t="s">
        <v>833</v>
      </c>
      <c r="H934" s="7"/>
      <c r="I934" s="7"/>
      <c r="J934" s="7" t="s">
        <v>13</v>
      </c>
      <c r="K934" s="7" t="s">
        <v>14</v>
      </c>
      <c r="L934" s="7" t="s">
        <v>88</v>
      </c>
      <c r="M934" s="7" t="s">
        <v>16</v>
      </c>
    </row>
    <row r="935" spans="1:13" x14ac:dyDescent="0.3">
      <c r="A935" s="7" t="str">
        <f>HYPERLINK("https://hsdes.intel.com/resource/14013156872","14013156872")</f>
        <v>14013156872</v>
      </c>
      <c r="B935" s="7" t="s">
        <v>1673</v>
      </c>
      <c r="C935" s="7" t="s">
        <v>1420</v>
      </c>
      <c r="D935" s="7" t="s">
        <v>1674</v>
      </c>
      <c r="E935" s="7" t="s">
        <v>11</v>
      </c>
      <c r="F935" s="7"/>
      <c r="G935" s="7" t="s">
        <v>1569</v>
      </c>
      <c r="H935" s="7"/>
      <c r="I935" s="10">
        <v>44756</v>
      </c>
      <c r="J935" s="7" t="s">
        <v>13</v>
      </c>
      <c r="K935" s="7" t="s">
        <v>14</v>
      </c>
      <c r="L935" s="7" t="s">
        <v>88</v>
      </c>
      <c r="M935" s="7" t="s">
        <v>16</v>
      </c>
    </row>
    <row r="936" spans="1:13" x14ac:dyDescent="0.3">
      <c r="A936" s="7" t="str">
        <f>HYPERLINK("https://hsdes.intel.com/resource/14013156874","14013156874")</f>
        <v>14013156874</v>
      </c>
      <c r="B936" s="7" t="s">
        <v>1675</v>
      </c>
      <c r="C936" s="7" t="s">
        <v>1420</v>
      </c>
      <c r="D936" s="7" t="s">
        <v>1676</v>
      </c>
      <c r="E936" s="7" t="s">
        <v>11</v>
      </c>
      <c r="F936" s="7"/>
      <c r="G936" s="7" t="s">
        <v>1569</v>
      </c>
      <c r="H936" s="7"/>
      <c r="I936" s="10">
        <v>44756</v>
      </c>
      <c r="J936" s="7" t="s">
        <v>13</v>
      </c>
      <c r="K936" s="7" t="s">
        <v>14</v>
      </c>
      <c r="L936" s="7" t="s">
        <v>88</v>
      </c>
      <c r="M936" s="7" t="s">
        <v>16</v>
      </c>
    </row>
    <row r="937" spans="1:13" x14ac:dyDescent="0.3">
      <c r="A937" s="7" t="str">
        <f>HYPERLINK("https://hsdes.intel.com/resource/14013156877","14013156877")</f>
        <v>14013156877</v>
      </c>
      <c r="B937" s="7" t="s">
        <v>1282</v>
      </c>
      <c r="C937" s="7" t="s">
        <v>1420</v>
      </c>
      <c r="D937" s="7" t="s">
        <v>1283</v>
      </c>
      <c r="E937" s="7"/>
      <c r="F937" s="7"/>
      <c r="G937" s="7" t="s">
        <v>833</v>
      </c>
      <c r="H937" s="7"/>
      <c r="I937" s="7"/>
      <c r="J937" s="7" t="s">
        <v>13</v>
      </c>
      <c r="K937" s="7" t="s">
        <v>14</v>
      </c>
      <c r="L937" s="7" t="s">
        <v>88</v>
      </c>
      <c r="M937" s="7" t="s">
        <v>16</v>
      </c>
    </row>
    <row r="938" spans="1:13" x14ac:dyDescent="0.3">
      <c r="A938" s="7" t="str">
        <f>HYPERLINK("https://hsdes.intel.com/resource/14013156879","14013156879")</f>
        <v>14013156879</v>
      </c>
      <c r="B938" s="7" t="s">
        <v>1285</v>
      </c>
      <c r="C938" s="7" t="s">
        <v>1420</v>
      </c>
      <c r="D938" s="7" t="s">
        <v>1286</v>
      </c>
      <c r="E938" s="7"/>
      <c r="F938" s="7"/>
      <c r="G938" s="7" t="s">
        <v>833</v>
      </c>
      <c r="H938" s="7"/>
      <c r="I938" s="7"/>
      <c r="J938" s="7" t="s">
        <v>13</v>
      </c>
      <c r="K938" s="7" t="s">
        <v>14</v>
      </c>
      <c r="L938" s="7" t="s">
        <v>88</v>
      </c>
      <c r="M938" s="7" t="s">
        <v>16</v>
      </c>
    </row>
    <row r="939" spans="1:13" x14ac:dyDescent="0.3">
      <c r="A939" s="7" t="str">
        <f>HYPERLINK("https://hsdes.intel.com/resource/14013156880","14013156880")</f>
        <v>14013156880</v>
      </c>
      <c r="B939" s="7" t="s">
        <v>1677</v>
      </c>
      <c r="C939" s="7" t="s">
        <v>1420</v>
      </c>
      <c r="D939" s="7" t="s">
        <v>1678</v>
      </c>
      <c r="E939" s="7" t="s">
        <v>11</v>
      </c>
      <c r="F939" s="7"/>
      <c r="G939" s="7" t="s">
        <v>1432</v>
      </c>
      <c r="H939" s="7"/>
      <c r="I939" s="10">
        <v>44755</v>
      </c>
      <c r="J939" s="7" t="s">
        <v>13</v>
      </c>
      <c r="K939" s="7" t="s">
        <v>1433</v>
      </c>
      <c r="L939" s="7" t="s">
        <v>1434</v>
      </c>
      <c r="M939" s="7" t="s">
        <v>16</v>
      </c>
    </row>
    <row r="940" spans="1:13" x14ac:dyDescent="0.3">
      <c r="A940" s="7" t="str">
        <f>HYPERLINK("https://hsdes.intel.com/resource/14013156883","14013156883")</f>
        <v>14013156883</v>
      </c>
      <c r="B940" s="7" t="s">
        <v>1679</v>
      </c>
      <c r="C940" s="7" t="s">
        <v>1420</v>
      </c>
      <c r="D940" s="7" t="s">
        <v>1680</v>
      </c>
      <c r="E940" s="7" t="s">
        <v>11</v>
      </c>
      <c r="F940" s="7"/>
      <c r="G940" s="7" t="s">
        <v>345</v>
      </c>
      <c r="H940" s="7"/>
      <c r="I940" s="10">
        <v>44757</v>
      </c>
      <c r="J940" s="7" t="s">
        <v>13</v>
      </c>
      <c r="K940" s="7" t="s">
        <v>1433</v>
      </c>
      <c r="L940" s="7" t="s">
        <v>1434</v>
      </c>
      <c r="M940" s="7" t="s">
        <v>21</v>
      </c>
    </row>
    <row r="941" spans="1:13" x14ac:dyDescent="0.3">
      <c r="A941" s="7" t="str">
        <f>HYPERLINK("https://hsdes.intel.com/resource/14013156893","14013156893")</f>
        <v>14013156893</v>
      </c>
      <c r="B941" s="7" t="s">
        <v>1681</v>
      </c>
      <c r="C941" s="7" t="s">
        <v>1420</v>
      </c>
      <c r="D941" s="7" t="s">
        <v>1682</v>
      </c>
      <c r="E941" s="7" t="s">
        <v>11</v>
      </c>
      <c r="F941" s="7"/>
      <c r="G941" s="7" t="s">
        <v>1432</v>
      </c>
      <c r="H941" s="7"/>
      <c r="I941" s="10">
        <v>44755</v>
      </c>
      <c r="J941" s="7" t="s">
        <v>13</v>
      </c>
      <c r="K941" s="7" t="s">
        <v>1433</v>
      </c>
      <c r="L941" s="7" t="s">
        <v>1434</v>
      </c>
      <c r="M941" s="7" t="s">
        <v>16</v>
      </c>
    </row>
    <row r="942" spans="1:13" x14ac:dyDescent="0.3">
      <c r="A942" s="7" t="str">
        <f>HYPERLINK("https://hsdes.intel.com/resource/14013156896","14013156896")</f>
        <v>14013156896</v>
      </c>
      <c r="B942" s="7" t="s">
        <v>1288</v>
      </c>
      <c r="C942" s="7" t="s">
        <v>1420</v>
      </c>
      <c r="D942" s="7" t="s">
        <v>1289</v>
      </c>
      <c r="E942" s="7"/>
      <c r="F942" s="7"/>
      <c r="G942" s="7" t="s">
        <v>833</v>
      </c>
      <c r="H942" s="7"/>
      <c r="I942" s="7"/>
      <c r="J942" s="7" t="s">
        <v>13</v>
      </c>
      <c r="K942" s="7" t="s">
        <v>14</v>
      </c>
      <c r="L942" s="7" t="s">
        <v>88</v>
      </c>
      <c r="M942" s="7" t="s">
        <v>16</v>
      </c>
    </row>
    <row r="943" spans="1:13" x14ac:dyDescent="0.3">
      <c r="A943" s="7" t="str">
        <f>HYPERLINK("https://hsdes.intel.com/resource/14013156898","14013156898")</f>
        <v>14013156898</v>
      </c>
      <c r="B943" s="7" t="s">
        <v>1291</v>
      </c>
      <c r="C943" s="7" t="s">
        <v>1420</v>
      </c>
      <c r="D943" s="7" t="s">
        <v>1292</v>
      </c>
      <c r="E943" s="7"/>
      <c r="F943" s="7"/>
      <c r="G943" s="7" t="s">
        <v>833</v>
      </c>
      <c r="H943" s="7"/>
      <c r="I943" s="7"/>
      <c r="J943" s="7" t="s">
        <v>13</v>
      </c>
      <c r="K943" s="7" t="s">
        <v>14</v>
      </c>
      <c r="L943" s="7" t="s">
        <v>88</v>
      </c>
      <c r="M943" s="7" t="s">
        <v>16</v>
      </c>
    </row>
    <row r="944" spans="1:13" x14ac:dyDescent="0.3">
      <c r="A944" s="7" t="str">
        <f>HYPERLINK("https://hsdes.intel.com/resource/14013156900","14013156900")</f>
        <v>14013156900</v>
      </c>
      <c r="B944" s="7" t="s">
        <v>1294</v>
      </c>
      <c r="C944" s="7" t="s">
        <v>1420</v>
      </c>
      <c r="D944" s="7" t="s">
        <v>1295</v>
      </c>
      <c r="E944" s="7"/>
      <c r="F944" s="7"/>
      <c r="G944" s="7" t="s">
        <v>833</v>
      </c>
      <c r="H944" s="7"/>
      <c r="I944" s="7"/>
      <c r="J944" s="7" t="s">
        <v>13</v>
      </c>
      <c r="K944" s="7" t="s">
        <v>14</v>
      </c>
      <c r="L944" s="7" t="s">
        <v>88</v>
      </c>
      <c r="M944" s="7" t="s">
        <v>16</v>
      </c>
    </row>
    <row r="945" spans="1:13" x14ac:dyDescent="0.3">
      <c r="A945" s="7" t="str">
        <f>HYPERLINK("https://hsdes.intel.com/resource/14013156903","14013156903")</f>
        <v>14013156903</v>
      </c>
      <c r="B945" s="7" t="s">
        <v>1297</v>
      </c>
      <c r="C945" s="7" t="s">
        <v>1420</v>
      </c>
      <c r="D945" s="7" t="s">
        <v>1298</v>
      </c>
      <c r="E945" s="7"/>
      <c r="F945" s="7"/>
      <c r="G945" s="7" t="s">
        <v>833</v>
      </c>
      <c r="H945" s="7"/>
      <c r="I945" s="7"/>
      <c r="J945" s="7" t="s">
        <v>13</v>
      </c>
      <c r="K945" s="7" t="s">
        <v>14</v>
      </c>
      <c r="L945" s="7" t="s">
        <v>88</v>
      </c>
      <c r="M945" s="7" t="s">
        <v>16</v>
      </c>
    </row>
    <row r="946" spans="1:13" x14ac:dyDescent="0.3">
      <c r="A946" s="7" t="str">
        <f>HYPERLINK("https://hsdes.intel.com/resource/14013156911","14013156911")</f>
        <v>14013156911</v>
      </c>
      <c r="B946" s="7" t="s">
        <v>1683</v>
      </c>
      <c r="C946" s="7" t="s">
        <v>1420</v>
      </c>
      <c r="D946" s="7" t="s">
        <v>1684</v>
      </c>
      <c r="E946" s="7" t="s">
        <v>11</v>
      </c>
      <c r="F946" s="7"/>
      <c r="G946" s="7" t="s">
        <v>1569</v>
      </c>
      <c r="H946" s="7"/>
      <c r="I946" s="10">
        <v>44755</v>
      </c>
      <c r="J946" s="7" t="s">
        <v>13</v>
      </c>
      <c r="K946" s="7" t="s">
        <v>14</v>
      </c>
      <c r="L946" s="7" t="s">
        <v>88</v>
      </c>
      <c r="M946" s="7" t="s">
        <v>16</v>
      </c>
    </row>
    <row r="947" spans="1:13" x14ac:dyDescent="0.3">
      <c r="A947" s="7" t="str">
        <f>HYPERLINK("https://hsdes.intel.com/resource/14013156915","14013156915")</f>
        <v>14013156915</v>
      </c>
      <c r="B947" s="7" t="s">
        <v>1685</v>
      </c>
      <c r="C947" s="7" t="s">
        <v>1420</v>
      </c>
      <c r="D947" s="7" t="s">
        <v>1686</v>
      </c>
      <c r="E947" s="7" t="s">
        <v>11</v>
      </c>
      <c r="F947" s="7"/>
      <c r="G947" s="7" t="s">
        <v>1569</v>
      </c>
      <c r="H947" s="7"/>
      <c r="I947" s="10">
        <v>44755</v>
      </c>
      <c r="J947" s="7" t="s">
        <v>13</v>
      </c>
      <c r="K947" s="7" t="s">
        <v>14</v>
      </c>
      <c r="L947" s="7" t="s">
        <v>88</v>
      </c>
      <c r="M947" s="7" t="s">
        <v>16</v>
      </c>
    </row>
    <row r="948" spans="1:13" x14ac:dyDescent="0.3">
      <c r="A948" s="7" t="str">
        <f>HYPERLINK("https://hsdes.intel.com/resource/14013156931","14013156931")</f>
        <v>14013156931</v>
      </c>
      <c r="B948" s="7" t="s">
        <v>1687</v>
      </c>
      <c r="C948" s="7" t="s">
        <v>1420</v>
      </c>
      <c r="D948" s="7" t="s">
        <v>1688</v>
      </c>
      <c r="E948" s="7" t="s">
        <v>11</v>
      </c>
      <c r="F948" s="7"/>
      <c r="G948" s="7" t="s">
        <v>1569</v>
      </c>
      <c r="H948" s="7"/>
      <c r="I948" s="10">
        <v>44755</v>
      </c>
      <c r="J948" s="7" t="s">
        <v>13</v>
      </c>
      <c r="K948" s="7" t="s">
        <v>14</v>
      </c>
      <c r="L948" s="7" t="s">
        <v>88</v>
      </c>
      <c r="M948" s="7" t="s">
        <v>16</v>
      </c>
    </row>
    <row r="949" spans="1:13" x14ac:dyDescent="0.3">
      <c r="A949" s="7" t="str">
        <f>HYPERLINK("https://hsdes.intel.com/resource/14013156951","14013156951")</f>
        <v>14013156951</v>
      </c>
      <c r="B949" s="7" t="s">
        <v>1689</v>
      </c>
      <c r="C949" s="7" t="s">
        <v>1420</v>
      </c>
      <c r="D949" s="7" t="s">
        <v>1690</v>
      </c>
      <c r="E949" s="7" t="s">
        <v>11</v>
      </c>
      <c r="F949" s="7" t="s">
        <v>1691</v>
      </c>
      <c r="G949" s="7" t="s">
        <v>369</v>
      </c>
      <c r="H949" s="7" t="s">
        <v>369</v>
      </c>
      <c r="I949" s="10">
        <v>44769</v>
      </c>
      <c r="J949" s="7" t="s">
        <v>192</v>
      </c>
      <c r="K949" s="7" t="s">
        <v>523</v>
      </c>
      <c r="L949" s="7" t="s">
        <v>291</v>
      </c>
      <c r="M949" s="7" t="s">
        <v>16</v>
      </c>
    </row>
    <row r="950" spans="1:13" x14ac:dyDescent="0.3">
      <c r="A950" s="7" t="str">
        <f>HYPERLINK("https://hsdes.intel.com/resource/14013156953","14013156953")</f>
        <v>14013156953</v>
      </c>
      <c r="B950" s="7" t="s">
        <v>1692</v>
      </c>
      <c r="C950" s="7" t="s">
        <v>1420</v>
      </c>
      <c r="D950" s="7" t="s">
        <v>1693</v>
      </c>
      <c r="E950" s="7" t="s">
        <v>11</v>
      </c>
      <c r="F950" s="7"/>
      <c r="G950" s="7" t="s">
        <v>1569</v>
      </c>
      <c r="H950" s="7"/>
      <c r="I950" s="10">
        <v>44755</v>
      </c>
      <c r="J950" s="7" t="s">
        <v>13</v>
      </c>
      <c r="K950" s="7" t="s">
        <v>14</v>
      </c>
      <c r="L950" s="7" t="s">
        <v>88</v>
      </c>
      <c r="M950" s="7" t="s">
        <v>16</v>
      </c>
    </row>
    <row r="951" spans="1:13" x14ac:dyDescent="0.3">
      <c r="A951" s="7" t="str">
        <f>HYPERLINK("https://hsdes.intel.com/resource/14013156955","14013156955")</f>
        <v>14013156955</v>
      </c>
      <c r="B951" s="7" t="s">
        <v>1694</v>
      </c>
      <c r="C951" s="7" t="s">
        <v>1420</v>
      </c>
      <c r="D951" s="7" t="s">
        <v>1695</v>
      </c>
      <c r="E951" s="7" t="s">
        <v>11</v>
      </c>
      <c r="F951" s="7"/>
      <c r="G951" s="7" t="s">
        <v>1432</v>
      </c>
      <c r="H951" s="7"/>
      <c r="I951" s="10">
        <v>44755</v>
      </c>
      <c r="J951" s="7" t="s">
        <v>394</v>
      </c>
      <c r="K951" s="7" t="s">
        <v>1433</v>
      </c>
      <c r="L951" s="7" t="s">
        <v>1434</v>
      </c>
      <c r="M951" s="7" t="s">
        <v>16</v>
      </c>
    </row>
    <row r="952" spans="1:13" x14ac:dyDescent="0.3">
      <c r="A952" s="7" t="str">
        <f>HYPERLINK("https://hsdes.intel.com/resource/14013156976","14013156976")</f>
        <v>14013156976</v>
      </c>
      <c r="B952" s="7" t="s">
        <v>1300</v>
      </c>
      <c r="C952" s="7" t="s">
        <v>1420</v>
      </c>
      <c r="D952" s="7" t="s">
        <v>1301</v>
      </c>
      <c r="E952" s="7"/>
      <c r="F952" s="7"/>
      <c r="G952" s="7" t="s">
        <v>833</v>
      </c>
      <c r="H952" s="7"/>
      <c r="I952" s="7"/>
      <c r="J952" s="7" t="s">
        <v>13</v>
      </c>
      <c r="K952" s="7" t="s">
        <v>14</v>
      </c>
      <c r="L952" s="7" t="s">
        <v>88</v>
      </c>
      <c r="M952" s="7" t="s">
        <v>16</v>
      </c>
    </row>
    <row r="953" spans="1:13" x14ac:dyDescent="0.3">
      <c r="A953" s="7" t="str">
        <f>HYPERLINK("https://hsdes.intel.com/resource/14013156977","14013156977")</f>
        <v>14013156977</v>
      </c>
      <c r="B953" s="7" t="s">
        <v>1696</v>
      </c>
      <c r="C953" s="7" t="s">
        <v>1420</v>
      </c>
      <c r="D953" s="7" t="s">
        <v>1697</v>
      </c>
      <c r="E953" s="7" t="s">
        <v>11</v>
      </c>
      <c r="F953" s="7"/>
      <c r="G953" s="7" t="s">
        <v>1569</v>
      </c>
      <c r="H953" s="7"/>
      <c r="I953" s="10">
        <v>44755</v>
      </c>
      <c r="J953" s="7" t="s">
        <v>13</v>
      </c>
      <c r="K953" s="7" t="s">
        <v>14</v>
      </c>
      <c r="L953" s="7" t="s">
        <v>88</v>
      </c>
      <c r="M953" s="7" t="s">
        <v>16</v>
      </c>
    </row>
    <row r="954" spans="1:13" x14ac:dyDescent="0.3">
      <c r="A954" s="7" t="str">
        <f>HYPERLINK("https://hsdes.intel.com/resource/14013156979","14013156979")</f>
        <v>14013156979</v>
      </c>
      <c r="B954" s="7" t="s">
        <v>1303</v>
      </c>
      <c r="C954" s="7" t="s">
        <v>1420</v>
      </c>
      <c r="D954" s="7" t="s">
        <v>1304</v>
      </c>
      <c r="E954" s="7"/>
      <c r="F954" s="7"/>
      <c r="G954" s="7" t="s">
        <v>833</v>
      </c>
      <c r="H954" s="7"/>
      <c r="I954" s="7"/>
      <c r="J954" s="7" t="s">
        <v>13</v>
      </c>
      <c r="K954" s="7" t="s">
        <v>14</v>
      </c>
      <c r="L954" s="7" t="s">
        <v>88</v>
      </c>
      <c r="M954" s="7" t="s">
        <v>16</v>
      </c>
    </row>
    <row r="955" spans="1:13" x14ac:dyDescent="0.3">
      <c r="A955" s="7" t="str">
        <f>HYPERLINK("https://hsdes.intel.com/resource/14013156980","14013156980")</f>
        <v>14013156980</v>
      </c>
      <c r="B955" s="7" t="s">
        <v>1306</v>
      </c>
      <c r="C955" s="7" t="s">
        <v>1420</v>
      </c>
      <c r="D955" s="7" t="s">
        <v>1307</v>
      </c>
      <c r="E955" s="7"/>
      <c r="F955" s="7"/>
      <c r="G955" s="7" t="s">
        <v>833</v>
      </c>
      <c r="H955" s="7"/>
      <c r="I955" s="7"/>
      <c r="J955" s="7" t="s">
        <v>13</v>
      </c>
      <c r="K955" s="7" t="s">
        <v>14</v>
      </c>
      <c r="L955" s="7" t="s">
        <v>88</v>
      </c>
      <c r="M955" s="7" t="s">
        <v>16</v>
      </c>
    </row>
    <row r="956" spans="1:13" x14ac:dyDescent="0.3">
      <c r="A956" s="7" t="str">
        <f>HYPERLINK("https://hsdes.intel.com/resource/14013157004","14013157004")</f>
        <v>14013157004</v>
      </c>
      <c r="B956" s="7" t="s">
        <v>1309</v>
      </c>
      <c r="C956" s="7" t="s">
        <v>1420</v>
      </c>
      <c r="D956" s="7" t="s">
        <v>1310</v>
      </c>
      <c r="E956" s="7"/>
      <c r="F956" s="7"/>
      <c r="G956" s="7" t="s">
        <v>833</v>
      </c>
      <c r="H956" s="7"/>
      <c r="I956" s="7"/>
      <c r="J956" s="7" t="s">
        <v>13</v>
      </c>
      <c r="K956" s="7" t="s">
        <v>14</v>
      </c>
      <c r="L956" s="7" t="s">
        <v>88</v>
      </c>
      <c r="M956" s="7" t="s">
        <v>16</v>
      </c>
    </row>
    <row r="957" spans="1:13" x14ac:dyDescent="0.3">
      <c r="A957" s="7" t="str">
        <f>HYPERLINK("https://hsdes.intel.com/resource/14013157008","14013157008")</f>
        <v>14013157008</v>
      </c>
      <c r="B957" s="7" t="s">
        <v>1312</v>
      </c>
      <c r="C957" s="7" t="s">
        <v>1420</v>
      </c>
      <c r="D957" s="7" t="s">
        <v>1313</v>
      </c>
      <c r="E957" s="7"/>
      <c r="F957" s="7"/>
      <c r="G957" s="7" t="s">
        <v>833</v>
      </c>
      <c r="H957" s="7"/>
      <c r="I957" s="7"/>
      <c r="J957" s="7" t="s">
        <v>13</v>
      </c>
      <c r="K957" s="7" t="s">
        <v>14</v>
      </c>
      <c r="L957" s="7" t="s">
        <v>88</v>
      </c>
      <c r="M957" s="7" t="s">
        <v>16</v>
      </c>
    </row>
    <row r="958" spans="1:13" x14ac:dyDescent="0.3">
      <c r="A958" s="7" t="str">
        <f>HYPERLINK("https://hsdes.intel.com/resource/14013157009","14013157009")</f>
        <v>14013157009</v>
      </c>
      <c r="B958" s="7" t="s">
        <v>1315</v>
      </c>
      <c r="C958" s="7" t="s">
        <v>1420</v>
      </c>
      <c r="D958" s="7" t="s">
        <v>1316</v>
      </c>
      <c r="E958" s="7"/>
      <c r="F958" s="7"/>
      <c r="G958" s="7" t="s">
        <v>833</v>
      </c>
      <c r="H958" s="7"/>
      <c r="I958" s="7"/>
      <c r="J958" s="7" t="s">
        <v>13</v>
      </c>
      <c r="K958" s="7" t="s">
        <v>14</v>
      </c>
      <c r="L958" s="7" t="s">
        <v>88</v>
      </c>
      <c r="M958" s="7" t="s">
        <v>16</v>
      </c>
    </row>
    <row r="959" spans="1:13" x14ac:dyDescent="0.3">
      <c r="A959" s="7" t="str">
        <f>HYPERLINK("https://hsdes.intel.com/resource/14013157010","14013157010")</f>
        <v>14013157010</v>
      </c>
      <c r="B959" s="7" t="s">
        <v>1318</v>
      </c>
      <c r="C959" s="7" t="s">
        <v>1420</v>
      </c>
      <c r="D959" s="7" t="s">
        <v>1319</v>
      </c>
      <c r="E959" s="7"/>
      <c r="F959" s="7"/>
      <c r="G959" s="7" t="s">
        <v>833</v>
      </c>
      <c r="H959" s="7"/>
      <c r="I959" s="7"/>
      <c r="J959" s="7" t="s">
        <v>13</v>
      </c>
      <c r="K959" s="7" t="s">
        <v>14</v>
      </c>
      <c r="L959" s="7" t="s">
        <v>88</v>
      </c>
      <c r="M959" s="7" t="s">
        <v>16</v>
      </c>
    </row>
    <row r="960" spans="1:13" x14ac:dyDescent="0.3">
      <c r="A960" s="7" t="str">
        <f>HYPERLINK("https://hsdes.intel.com/resource/14013157012","14013157012")</f>
        <v>14013157012</v>
      </c>
      <c r="B960" s="7" t="s">
        <v>1698</v>
      </c>
      <c r="C960" s="7" t="s">
        <v>1420</v>
      </c>
      <c r="D960" s="7" t="s">
        <v>1699</v>
      </c>
      <c r="E960" s="7" t="s">
        <v>11</v>
      </c>
      <c r="F960" s="7"/>
      <c r="G960" s="7" t="s">
        <v>1700</v>
      </c>
      <c r="H960" s="7"/>
      <c r="I960" s="10">
        <v>44757</v>
      </c>
      <c r="J960" s="7" t="s">
        <v>13</v>
      </c>
      <c r="K960" s="7" t="s">
        <v>14</v>
      </c>
      <c r="L960" s="7" t="s">
        <v>88</v>
      </c>
      <c r="M960" s="7" t="s">
        <v>24</v>
      </c>
    </row>
    <row r="961" spans="1:13" x14ac:dyDescent="0.3">
      <c r="A961" s="7" t="str">
        <f>HYPERLINK("https://hsdes.intel.com/resource/14013157017","14013157017")</f>
        <v>14013157017</v>
      </c>
      <c r="B961" s="7" t="s">
        <v>1701</v>
      </c>
      <c r="C961" s="7" t="s">
        <v>1420</v>
      </c>
      <c r="D961" s="7" t="s">
        <v>1702</v>
      </c>
      <c r="E961" s="7" t="s">
        <v>11</v>
      </c>
      <c r="F961" s="7"/>
      <c r="G961" s="7" t="s">
        <v>1700</v>
      </c>
      <c r="H961" s="7"/>
      <c r="I961" s="10">
        <v>44757</v>
      </c>
      <c r="J961" s="7" t="s">
        <v>13</v>
      </c>
      <c r="K961" s="7" t="s">
        <v>14</v>
      </c>
      <c r="L961" s="7" t="s">
        <v>88</v>
      </c>
      <c r="M961" s="7" t="s">
        <v>16</v>
      </c>
    </row>
    <row r="962" spans="1:13" x14ac:dyDescent="0.3">
      <c r="A962" s="7" t="str">
        <f>HYPERLINK("https://hsdes.intel.com/resource/14013157021","14013157021")</f>
        <v>14013157021</v>
      </c>
      <c r="B962" s="7" t="s">
        <v>1703</v>
      </c>
      <c r="C962" s="7" t="s">
        <v>1420</v>
      </c>
      <c r="D962" s="7" t="s">
        <v>1704</v>
      </c>
      <c r="E962" s="7" t="s">
        <v>11</v>
      </c>
      <c r="F962" s="7"/>
      <c r="G962" s="7" t="s">
        <v>1569</v>
      </c>
      <c r="H962" s="7"/>
      <c r="I962" s="10">
        <v>44755</v>
      </c>
      <c r="J962" s="7" t="s">
        <v>13</v>
      </c>
      <c r="K962" s="7" t="s">
        <v>14</v>
      </c>
      <c r="L962" s="7" t="s">
        <v>88</v>
      </c>
      <c r="M962" s="7" t="s">
        <v>16</v>
      </c>
    </row>
    <row r="963" spans="1:13" x14ac:dyDescent="0.3">
      <c r="A963" s="7" t="str">
        <f>HYPERLINK("https://hsdes.intel.com/resource/14013157052","14013157052")</f>
        <v>14013157052</v>
      </c>
      <c r="B963" s="7" t="s">
        <v>1705</v>
      </c>
      <c r="C963" s="7" t="s">
        <v>1420</v>
      </c>
      <c r="D963" s="7" t="s">
        <v>1706</v>
      </c>
      <c r="E963" s="7" t="s">
        <v>11</v>
      </c>
      <c r="F963" s="7"/>
      <c r="G963" s="7" t="s">
        <v>1569</v>
      </c>
      <c r="H963" s="7"/>
      <c r="I963" s="10">
        <v>44755</v>
      </c>
      <c r="J963" s="7" t="s">
        <v>13</v>
      </c>
      <c r="K963" s="7" t="s">
        <v>14</v>
      </c>
      <c r="L963" s="7" t="s">
        <v>88</v>
      </c>
      <c r="M963" s="7" t="s">
        <v>16</v>
      </c>
    </row>
    <row r="964" spans="1:13" x14ac:dyDescent="0.3">
      <c r="A964" s="7" t="str">
        <f>HYPERLINK("https://hsdes.intel.com/resource/14013157055","14013157055")</f>
        <v>14013157055</v>
      </c>
      <c r="B964" s="7" t="s">
        <v>1707</v>
      </c>
      <c r="C964" s="7" t="s">
        <v>1420</v>
      </c>
      <c r="D964" s="7" t="s">
        <v>1708</v>
      </c>
      <c r="E964" s="7" t="s">
        <v>11</v>
      </c>
      <c r="F964" s="7"/>
      <c r="G964" s="7" t="s">
        <v>1700</v>
      </c>
      <c r="H964" s="7"/>
      <c r="I964" s="10">
        <v>44757</v>
      </c>
      <c r="J964" s="7" t="s">
        <v>13</v>
      </c>
      <c r="K964" s="7" t="s">
        <v>14</v>
      </c>
      <c r="L964" s="7" t="s">
        <v>88</v>
      </c>
      <c r="M964" s="7" t="s">
        <v>16</v>
      </c>
    </row>
    <row r="965" spans="1:13" x14ac:dyDescent="0.3">
      <c r="A965" s="7" t="str">
        <f>HYPERLINK("https://hsdes.intel.com/resource/14013157075","14013157075")</f>
        <v>14013157075</v>
      </c>
      <c r="B965" s="7" t="s">
        <v>1709</v>
      </c>
      <c r="C965" s="7" t="s">
        <v>1420</v>
      </c>
      <c r="D965" s="7" t="s">
        <v>1710</v>
      </c>
      <c r="E965" s="7" t="s">
        <v>11</v>
      </c>
      <c r="F965" s="7"/>
      <c r="G965" s="7" t="s">
        <v>1700</v>
      </c>
      <c r="H965" s="7"/>
      <c r="I965" s="10">
        <v>44760</v>
      </c>
      <c r="J965" s="7" t="s">
        <v>13</v>
      </c>
      <c r="K965" s="7" t="s">
        <v>14</v>
      </c>
      <c r="L965" s="7" t="s">
        <v>88</v>
      </c>
      <c r="M965" s="7" t="s">
        <v>16</v>
      </c>
    </row>
    <row r="966" spans="1:13" x14ac:dyDescent="0.3">
      <c r="A966" s="7" t="str">
        <f>HYPERLINK("https://hsdes.intel.com/resource/14013157085","14013157085")</f>
        <v>14013157085</v>
      </c>
      <c r="B966" s="7" t="s">
        <v>1711</v>
      </c>
      <c r="C966" s="7" t="s">
        <v>1420</v>
      </c>
      <c r="D966" s="7" t="s">
        <v>1712</v>
      </c>
      <c r="E966" s="7" t="s">
        <v>11</v>
      </c>
      <c r="F966" s="7"/>
      <c r="G966" s="7" t="s">
        <v>1700</v>
      </c>
      <c r="H966" s="7"/>
      <c r="I966" s="10">
        <v>44760</v>
      </c>
      <c r="J966" s="7" t="s">
        <v>13</v>
      </c>
      <c r="K966" s="7" t="s">
        <v>14</v>
      </c>
      <c r="L966" s="7" t="s">
        <v>88</v>
      </c>
      <c r="M966" s="7" t="s">
        <v>16</v>
      </c>
    </row>
    <row r="967" spans="1:13" x14ac:dyDescent="0.3">
      <c r="A967" s="7" t="str">
        <f>HYPERLINK("https://hsdes.intel.com/resource/14013157103","14013157103")</f>
        <v>14013157103</v>
      </c>
      <c r="B967" s="7" t="s">
        <v>1713</v>
      </c>
      <c r="C967" s="7" t="s">
        <v>1420</v>
      </c>
      <c r="D967" s="7" t="s">
        <v>1714</v>
      </c>
      <c r="E967" s="7" t="s">
        <v>11</v>
      </c>
      <c r="F967" s="7"/>
      <c r="G967" s="7" t="s">
        <v>1432</v>
      </c>
      <c r="H967" s="7"/>
      <c r="I967" s="10">
        <v>44754</v>
      </c>
      <c r="J967" s="7" t="s">
        <v>13</v>
      </c>
      <c r="K967" s="7" t="s">
        <v>42</v>
      </c>
      <c r="L967" s="7" t="s">
        <v>1434</v>
      </c>
      <c r="M967" s="7" t="s">
        <v>16</v>
      </c>
    </row>
    <row r="968" spans="1:13" x14ac:dyDescent="0.3">
      <c r="A968" s="7" t="str">
        <f>HYPERLINK("https://hsdes.intel.com/resource/14013157109","14013157109")</f>
        <v>14013157109</v>
      </c>
      <c r="B968" s="7" t="s">
        <v>1715</v>
      </c>
      <c r="C968" s="7" t="s">
        <v>1420</v>
      </c>
      <c r="D968" s="7" t="s">
        <v>1716</v>
      </c>
      <c r="E968" s="7" t="s">
        <v>11</v>
      </c>
      <c r="F968" s="7"/>
      <c r="G968" s="7" t="s">
        <v>1432</v>
      </c>
      <c r="H968" s="7"/>
      <c r="I968" s="10">
        <v>44755</v>
      </c>
      <c r="J968" s="7" t="s">
        <v>13</v>
      </c>
      <c r="K968" s="7" t="s">
        <v>1433</v>
      </c>
      <c r="L968" s="7" t="s">
        <v>1434</v>
      </c>
      <c r="M968" s="7" t="s">
        <v>16</v>
      </c>
    </row>
    <row r="969" spans="1:13" x14ac:dyDescent="0.3">
      <c r="A969" s="7" t="str">
        <f>HYPERLINK("https://hsdes.intel.com/resource/14013157130","14013157130")</f>
        <v>14013157130</v>
      </c>
      <c r="B969" s="7" t="s">
        <v>1717</v>
      </c>
      <c r="C969" s="7" t="s">
        <v>1420</v>
      </c>
      <c r="D969" s="7" t="s">
        <v>1718</v>
      </c>
      <c r="E969" s="7" t="s">
        <v>11</v>
      </c>
      <c r="F969" s="7"/>
      <c r="G969" s="7" t="s">
        <v>1432</v>
      </c>
      <c r="H969" s="7"/>
      <c r="I969" s="10">
        <v>44754</v>
      </c>
      <c r="J969" s="7" t="s">
        <v>13</v>
      </c>
      <c r="K969" s="7" t="s">
        <v>1433</v>
      </c>
      <c r="L969" s="7" t="s">
        <v>1434</v>
      </c>
      <c r="M969" s="7" t="s">
        <v>16</v>
      </c>
    </row>
    <row r="970" spans="1:13" x14ac:dyDescent="0.3">
      <c r="A970" s="7" t="str">
        <f>HYPERLINK("https://hsdes.intel.com/resource/14013157133","14013157133")</f>
        <v>14013157133</v>
      </c>
      <c r="B970" s="7" t="s">
        <v>1719</v>
      </c>
      <c r="C970" s="7" t="s">
        <v>1420</v>
      </c>
      <c r="D970" s="7" t="s">
        <v>1720</v>
      </c>
      <c r="E970" s="7" t="s">
        <v>11</v>
      </c>
      <c r="F970" s="7"/>
      <c r="G970" s="7" t="s">
        <v>1432</v>
      </c>
      <c r="H970" s="7"/>
      <c r="I970" s="10">
        <v>44754</v>
      </c>
      <c r="J970" s="7" t="s">
        <v>13</v>
      </c>
      <c r="K970" s="7" t="s">
        <v>1433</v>
      </c>
      <c r="L970" s="7" t="s">
        <v>1434</v>
      </c>
      <c r="M970" s="7" t="s">
        <v>16</v>
      </c>
    </row>
    <row r="971" spans="1:13" x14ac:dyDescent="0.3">
      <c r="A971" s="7" t="str">
        <f>HYPERLINK("https://hsdes.intel.com/resource/14013157136","14013157136")</f>
        <v>14013157136</v>
      </c>
      <c r="B971" s="7" t="s">
        <v>1721</v>
      </c>
      <c r="C971" s="7" t="s">
        <v>1420</v>
      </c>
      <c r="D971" s="7" t="s">
        <v>1722</v>
      </c>
      <c r="E971" s="7" t="s">
        <v>11</v>
      </c>
      <c r="F971" s="7"/>
      <c r="G971" s="7" t="s">
        <v>1432</v>
      </c>
      <c r="H971" s="7"/>
      <c r="I971" s="10">
        <v>44754</v>
      </c>
      <c r="J971" s="7" t="s">
        <v>13</v>
      </c>
      <c r="K971" s="7" t="s">
        <v>1433</v>
      </c>
      <c r="L971" s="7" t="s">
        <v>1434</v>
      </c>
      <c r="M971" s="7" t="s">
        <v>16</v>
      </c>
    </row>
    <row r="972" spans="1:13" x14ac:dyDescent="0.3">
      <c r="A972" s="7" t="str">
        <f>HYPERLINK("https://hsdes.intel.com/resource/14013157146","14013157146")</f>
        <v>14013157146</v>
      </c>
      <c r="B972" s="7" t="s">
        <v>1723</v>
      </c>
      <c r="C972" s="7" t="s">
        <v>1420</v>
      </c>
      <c r="D972" s="7" t="s">
        <v>1724</v>
      </c>
      <c r="E972" s="7" t="s">
        <v>11</v>
      </c>
      <c r="F972" s="7"/>
      <c r="G972" s="7" t="s">
        <v>1432</v>
      </c>
      <c r="H972" s="7"/>
      <c r="I972" s="10">
        <v>44754</v>
      </c>
      <c r="J972" s="7" t="s">
        <v>13</v>
      </c>
      <c r="K972" s="7" t="s">
        <v>1433</v>
      </c>
      <c r="L972" s="7" t="s">
        <v>1434</v>
      </c>
      <c r="M972" s="7" t="s">
        <v>16</v>
      </c>
    </row>
    <row r="973" spans="1:13" x14ac:dyDescent="0.3">
      <c r="A973" s="7" t="str">
        <f>HYPERLINK("https://hsdes.intel.com/resource/14013157148","14013157148")</f>
        <v>14013157148</v>
      </c>
      <c r="B973" s="7" t="s">
        <v>1725</v>
      </c>
      <c r="C973" s="7" t="s">
        <v>1420</v>
      </c>
      <c r="D973" s="7" t="s">
        <v>1726</v>
      </c>
      <c r="E973" s="7" t="s">
        <v>11</v>
      </c>
      <c r="F973" s="7"/>
      <c r="G973" s="7" t="s">
        <v>1700</v>
      </c>
      <c r="H973" s="7"/>
      <c r="I973" s="10">
        <v>44760</v>
      </c>
      <c r="J973" s="7" t="s">
        <v>13</v>
      </c>
      <c r="K973" s="7" t="s">
        <v>14</v>
      </c>
      <c r="L973" s="7" t="s">
        <v>88</v>
      </c>
      <c r="M973" s="7" t="s">
        <v>16</v>
      </c>
    </row>
    <row r="974" spans="1:13" x14ac:dyDescent="0.3">
      <c r="A974" s="7" t="str">
        <f>HYPERLINK("https://hsdes.intel.com/resource/14013157151","14013157151")</f>
        <v>14013157151</v>
      </c>
      <c r="B974" s="7" t="s">
        <v>1727</v>
      </c>
      <c r="C974" s="7" t="s">
        <v>1420</v>
      </c>
      <c r="D974" s="7" t="s">
        <v>1728</v>
      </c>
      <c r="E974" s="7" t="s">
        <v>11</v>
      </c>
      <c r="F974" s="7"/>
      <c r="G974" s="7" t="s">
        <v>1700</v>
      </c>
      <c r="H974" s="7"/>
      <c r="I974" s="10">
        <v>44757</v>
      </c>
      <c r="J974" s="7" t="s">
        <v>13</v>
      </c>
      <c r="K974" s="7" t="s">
        <v>14</v>
      </c>
      <c r="L974" s="7" t="s">
        <v>88</v>
      </c>
      <c r="M974" s="7" t="s">
        <v>16</v>
      </c>
    </row>
    <row r="975" spans="1:13" x14ac:dyDescent="0.3">
      <c r="A975" s="7" t="str">
        <f>HYPERLINK("https://hsdes.intel.com/resource/14013157153","14013157153")</f>
        <v>14013157153</v>
      </c>
      <c r="B975" s="7" t="s">
        <v>1729</v>
      </c>
      <c r="C975" s="7" t="s">
        <v>1420</v>
      </c>
      <c r="D975" s="7" t="s">
        <v>1730</v>
      </c>
      <c r="E975" s="7" t="s">
        <v>11</v>
      </c>
      <c r="F975" s="7"/>
      <c r="G975" s="7" t="s">
        <v>1569</v>
      </c>
      <c r="H975" s="7"/>
      <c r="I975" s="10">
        <v>44755</v>
      </c>
      <c r="J975" s="7" t="s">
        <v>13</v>
      </c>
      <c r="K975" s="7" t="s">
        <v>14</v>
      </c>
      <c r="L975" s="7" t="s">
        <v>88</v>
      </c>
      <c r="M975" s="7" t="s">
        <v>16</v>
      </c>
    </row>
    <row r="976" spans="1:13" x14ac:dyDescent="0.3">
      <c r="A976" s="7" t="str">
        <f>HYPERLINK("https://hsdes.intel.com/resource/14013157179","14013157179")</f>
        <v>14013157179</v>
      </c>
      <c r="B976" s="7" t="s">
        <v>1731</v>
      </c>
      <c r="C976" s="7" t="s">
        <v>1420</v>
      </c>
      <c r="D976" s="7" t="s">
        <v>1732</v>
      </c>
      <c r="E976" s="7" t="s">
        <v>11</v>
      </c>
      <c r="F976" s="7"/>
      <c r="G976" s="7" t="s">
        <v>1700</v>
      </c>
      <c r="H976" s="7"/>
      <c r="I976" s="10">
        <v>44757</v>
      </c>
      <c r="J976" s="7" t="s">
        <v>13</v>
      </c>
      <c r="K976" s="7" t="s">
        <v>14</v>
      </c>
      <c r="L976" s="7" t="s">
        <v>88</v>
      </c>
      <c r="M976" s="7" t="s">
        <v>16</v>
      </c>
    </row>
    <row r="977" spans="1:13" x14ac:dyDescent="0.3">
      <c r="A977" s="7" t="str">
        <f>HYPERLINK("https://hsdes.intel.com/resource/14013157181","14013157181")</f>
        <v>14013157181</v>
      </c>
      <c r="B977" s="7" t="s">
        <v>1733</v>
      </c>
      <c r="C977" s="7" t="s">
        <v>1420</v>
      </c>
      <c r="D977" s="7" t="s">
        <v>1734</v>
      </c>
      <c r="E977" s="7" t="s">
        <v>11</v>
      </c>
      <c r="F977" s="7"/>
      <c r="G977" s="7" t="s">
        <v>1461</v>
      </c>
      <c r="H977" s="7"/>
      <c r="I977" s="10">
        <v>44764</v>
      </c>
      <c r="J977" s="7" t="s">
        <v>13</v>
      </c>
      <c r="K977" s="7" t="s">
        <v>14</v>
      </c>
      <c r="L977" s="7" t="s">
        <v>88</v>
      </c>
      <c r="M977" s="7" t="s">
        <v>16</v>
      </c>
    </row>
    <row r="978" spans="1:13" x14ac:dyDescent="0.3">
      <c r="A978" s="7" t="str">
        <f>HYPERLINK("https://hsdes.intel.com/resource/14013157216","14013157216")</f>
        <v>14013157216</v>
      </c>
      <c r="B978" s="7" t="s">
        <v>1735</v>
      </c>
      <c r="C978" s="7" t="s">
        <v>1420</v>
      </c>
      <c r="D978" s="7" t="s">
        <v>1736</v>
      </c>
      <c r="E978" s="7" t="s">
        <v>11</v>
      </c>
      <c r="F978" s="7"/>
      <c r="G978" s="7" t="s">
        <v>1432</v>
      </c>
      <c r="H978" s="7"/>
      <c r="I978" s="10">
        <v>44755</v>
      </c>
      <c r="J978" s="7" t="s">
        <v>13</v>
      </c>
      <c r="K978" s="7" t="s">
        <v>1433</v>
      </c>
      <c r="L978" s="7" t="s">
        <v>1434</v>
      </c>
      <c r="M978" s="7" t="s">
        <v>16</v>
      </c>
    </row>
    <row r="979" spans="1:13" x14ac:dyDescent="0.3">
      <c r="A979" s="7" t="str">
        <f>HYPERLINK("https://hsdes.intel.com/resource/14013157222","14013157222")</f>
        <v>14013157222</v>
      </c>
      <c r="B979" s="7" t="s">
        <v>1737</v>
      </c>
      <c r="C979" s="7" t="s">
        <v>1420</v>
      </c>
      <c r="D979" s="7" t="s">
        <v>1738</v>
      </c>
      <c r="E979" s="7" t="s">
        <v>11</v>
      </c>
      <c r="F979" s="7"/>
      <c r="G979" s="7" t="s">
        <v>1432</v>
      </c>
      <c r="H979" s="7"/>
      <c r="I979" s="10">
        <v>44755</v>
      </c>
      <c r="J979" s="7" t="s">
        <v>13</v>
      </c>
      <c r="K979" s="7" t="s">
        <v>1433</v>
      </c>
      <c r="L979" s="7" t="s">
        <v>1434</v>
      </c>
      <c r="M979" s="7" t="s">
        <v>16</v>
      </c>
    </row>
    <row r="980" spans="1:13" x14ac:dyDescent="0.3">
      <c r="A980" s="7" t="str">
        <f>HYPERLINK("https://hsdes.intel.com/resource/14013157232","14013157232")</f>
        <v>14013157232</v>
      </c>
      <c r="B980" s="7" t="s">
        <v>1739</v>
      </c>
      <c r="C980" s="7" t="s">
        <v>1420</v>
      </c>
      <c r="D980" s="7" t="s">
        <v>1740</v>
      </c>
      <c r="E980" s="7" t="s">
        <v>11</v>
      </c>
      <c r="F980" s="7"/>
      <c r="G980" s="7" t="s">
        <v>1432</v>
      </c>
      <c r="H980" s="7"/>
      <c r="I980" s="10">
        <v>44755</v>
      </c>
      <c r="J980" s="7" t="s">
        <v>13</v>
      </c>
      <c r="K980" s="7" t="s">
        <v>1741</v>
      </c>
      <c r="L980" s="7" t="s">
        <v>1434</v>
      </c>
      <c r="M980" s="7" t="s">
        <v>16</v>
      </c>
    </row>
    <row r="981" spans="1:13" x14ac:dyDescent="0.3">
      <c r="A981" s="7" t="str">
        <f>HYPERLINK("https://hsdes.intel.com/resource/14013157235","14013157235")</f>
        <v>14013157235</v>
      </c>
      <c r="B981" s="7" t="s">
        <v>1742</v>
      </c>
      <c r="C981" s="7" t="s">
        <v>1420</v>
      </c>
      <c r="D981" s="7" t="s">
        <v>1743</v>
      </c>
      <c r="E981" s="7" t="s">
        <v>11</v>
      </c>
      <c r="F981" s="7"/>
      <c r="G981" s="7" t="s">
        <v>1700</v>
      </c>
      <c r="H981" s="7"/>
      <c r="I981" s="10">
        <v>44760</v>
      </c>
      <c r="J981" s="7" t="s">
        <v>13</v>
      </c>
      <c r="K981" s="7" t="s">
        <v>14</v>
      </c>
      <c r="L981" s="7" t="s">
        <v>88</v>
      </c>
      <c r="M981" s="7" t="s">
        <v>16</v>
      </c>
    </row>
    <row r="982" spans="1:13" x14ac:dyDescent="0.3">
      <c r="A982" s="7" t="str">
        <f>HYPERLINK("https://hsdes.intel.com/resource/14013157237","14013157237")</f>
        <v>14013157237</v>
      </c>
      <c r="B982" s="7" t="s">
        <v>1744</v>
      </c>
      <c r="C982" s="7" t="s">
        <v>1420</v>
      </c>
      <c r="D982" s="7" t="s">
        <v>1745</v>
      </c>
      <c r="E982" s="7" t="s">
        <v>11</v>
      </c>
      <c r="F982" s="7"/>
      <c r="G982" s="7" t="s">
        <v>1461</v>
      </c>
      <c r="H982" s="7"/>
      <c r="I982" s="10">
        <v>44755</v>
      </c>
      <c r="J982" s="7" t="s">
        <v>13</v>
      </c>
      <c r="K982" s="7" t="s">
        <v>28</v>
      </c>
      <c r="L982" s="7" t="s">
        <v>29</v>
      </c>
      <c r="M982" s="7" t="s">
        <v>16</v>
      </c>
    </row>
    <row r="983" spans="1:13" x14ac:dyDescent="0.3">
      <c r="A983" s="7" t="str">
        <f>HYPERLINK("https://hsdes.intel.com/resource/14013157239","14013157239")</f>
        <v>14013157239</v>
      </c>
      <c r="B983" s="7" t="s">
        <v>1746</v>
      </c>
      <c r="C983" s="7" t="s">
        <v>1420</v>
      </c>
      <c r="D983" s="7" t="s">
        <v>1747</v>
      </c>
      <c r="E983" s="7" t="s">
        <v>11</v>
      </c>
      <c r="F983" s="7"/>
      <c r="G983" s="7" t="s">
        <v>1569</v>
      </c>
      <c r="H983" s="7"/>
      <c r="I983" s="10">
        <v>44755</v>
      </c>
      <c r="J983" s="7" t="s">
        <v>13</v>
      </c>
      <c r="K983" s="7" t="s">
        <v>14</v>
      </c>
      <c r="L983" s="7" t="s">
        <v>88</v>
      </c>
      <c r="M983" s="7" t="s">
        <v>16</v>
      </c>
    </row>
    <row r="984" spans="1:13" x14ac:dyDescent="0.3">
      <c r="A984" s="5" t="str">
        <f>HYPERLINK("https://hsdes.intel.com/resource/14013157253","14013157253")</f>
        <v>14013157253</v>
      </c>
      <c r="B984" s="7" t="s">
        <v>1748</v>
      </c>
      <c r="C984" s="7" t="s">
        <v>1420</v>
      </c>
      <c r="D984" s="7" t="s">
        <v>1749</v>
      </c>
      <c r="E984" s="7" t="s">
        <v>11</v>
      </c>
      <c r="F984" s="7"/>
      <c r="G984" s="7" t="s">
        <v>841</v>
      </c>
      <c r="H984" s="7"/>
      <c r="I984" s="10">
        <v>44764</v>
      </c>
      <c r="J984" s="7" t="s">
        <v>13</v>
      </c>
      <c r="K984" s="7" t="s">
        <v>14</v>
      </c>
      <c r="L984" s="7" t="s">
        <v>88</v>
      </c>
      <c r="M984" s="7" t="s">
        <v>21</v>
      </c>
    </row>
    <row r="985" spans="1:13" x14ac:dyDescent="0.3">
      <c r="A985" s="7" t="str">
        <f>HYPERLINK("https://hsdes.intel.com/resource/14013157256","14013157256")</f>
        <v>14013157256</v>
      </c>
      <c r="B985" s="7" t="s">
        <v>1750</v>
      </c>
      <c r="C985" s="7" t="s">
        <v>1420</v>
      </c>
      <c r="D985" s="7" t="s">
        <v>1751</v>
      </c>
      <c r="E985" s="7" t="s">
        <v>11</v>
      </c>
      <c r="F985" s="7" t="s">
        <v>1752</v>
      </c>
      <c r="G985" s="7" t="s">
        <v>345</v>
      </c>
      <c r="H985" s="7"/>
      <c r="I985" s="10">
        <v>44757</v>
      </c>
      <c r="J985" s="7" t="s">
        <v>13</v>
      </c>
      <c r="K985" s="7" t="s">
        <v>1433</v>
      </c>
      <c r="L985" s="7" t="s">
        <v>1434</v>
      </c>
      <c r="M985" s="7" t="s">
        <v>16</v>
      </c>
    </row>
    <row r="986" spans="1:13" x14ac:dyDescent="0.3">
      <c r="A986" s="7" t="str">
        <f>HYPERLINK("https://hsdes.intel.com/resource/14013157270","14013157270")</f>
        <v>14013157270</v>
      </c>
      <c r="B986" s="7" t="s">
        <v>1753</v>
      </c>
      <c r="C986" s="7" t="s">
        <v>1420</v>
      </c>
      <c r="D986" s="7" t="s">
        <v>1754</v>
      </c>
      <c r="E986" s="7" t="s">
        <v>11</v>
      </c>
      <c r="F986" s="7"/>
      <c r="G986" s="7" t="s">
        <v>1461</v>
      </c>
      <c r="H986" s="7"/>
      <c r="I986" s="10">
        <v>44755</v>
      </c>
      <c r="J986" s="7" t="s">
        <v>13</v>
      </c>
      <c r="K986" s="7" t="s">
        <v>296</v>
      </c>
      <c r="L986" s="7" t="s">
        <v>297</v>
      </c>
      <c r="M986" s="7" t="s">
        <v>16</v>
      </c>
    </row>
    <row r="987" spans="1:13" x14ac:dyDescent="0.3">
      <c r="A987" s="7" t="str">
        <f>HYPERLINK("https://hsdes.intel.com/resource/14013157276","14013157276")</f>
        <v>14013157276</v>
      </c>
      <c r="B987" s="7" t="s">
        <v>1755</v>
      </c>
      <c r="C987" s="7" t="s">
        <v>1420</v>
      </c>
      <c r="D987" s="7" t="s">
        <v>1756</v>
      </c>
      <c r="E987" s="7" t="s">
        <v>11</v>
      </c>
      <c r="F987" s="7"/>
      <c r="G987" s="7" t="s">
        <v>1432</v>
      </c>
      <c r="H987" s="7"/>
      <c r="I987" s="10">
        <v>44754</v>
      </c>
      <c r="J987" s="7" t="s">
        <v>13</v>
      </c>
      <c r="K987" s="7" t="s">
        <v>1433</v>
      </c>
      <c r="L987" s="7" t="s">
        <v>1434</v>
      </c>
      <c r="M987" s="7" t="s">
        <v>16</v>
      </c>
    </row>
    <row r="988" spans="1:13" x14ac:dyDescent="0.3">
      <c r="A988" s="7" t="str">
        <f>HYPERLINK("https://hsdes.intel.com/resource/14013157278","14013157278")</f>
        <v>14013157278</v>
      </c>
      <c r="B988" s="7" t="s">
        <v>1757</v>
      </c>
      <c r="C988" s="7" t="s">
        <v>1420</v>
      </c>
      <c r="D988" s="7" t="s">
        <v>1758</v>
      </c>
      <c r="E988" s="7" t="s">
        <v>11</v>
      </c>
      <c r="F988" s="7"/>
      <c r="G988" s="7" t="s">
        <v>1432</v>
      </c>
      <c r="H988" s="7"/>
      <c r="I988" s="10">
        <v>44755</v>
      </c>
      <c r="J988" s="7" t="s">
        <v>13</v>
      </c>
      <c r="K988" s="7" t="s">
        <v>1759</v>
      </c>
      <c r="L988" s="7" t="s">
        <v>1434</v>
      </c>
      <c r="M988" s="7" t="s">
        <v>16</v>
      </c>
    </row>
    <row r="989" spans="1:13" x14ac:dyDescent="0.3">
      <c r="A989" s="7" t="str">
        <f>HYPERLINK("https://hsdes.intel.com/resource/14013157287","14013157287")</f>
        <v>14013157287</v>
      </c>
      <c r="B989" s="7" t="s">
        <v>1760</v>
      </c>
      <c r="C989" s="7" t="s">
        <v>1420</v>
      </c>
      <c r="D989" s="7" t="s">
        <v>1761</v>
      </c>
      <c r="E989" s="7" t="s">
        <v>11</v>
      </c>
      <c r="F989" s="7"/>
      <c r="G989" s="7" t="s">
        <v>841</v>
      </c>
      <c r="H989" s="7"/>
      <c r="I989" s="10">
        <v>44764</v>
      </c>
      <c r="J989" s="7" t="s">
        <v>13</v>
      </c>
      <c r="K989" s="7" t="s">
        <v>14</v>
      </c>
      <c r="L989" s="7" t="s">
        <v>88</v>
      </c>
      <c r="M989" s="7" t="s">
        <v>16</v>
      </c>
    </row>
    <row r="990" spans="1:13" x14ac:dyDescent="0.3">
      <c r="A990" s="7" t="str">
        <f>HYPERLINK("https://hsdes.intel.com/resource/14013157290","14013157290")</f>
        <v>14013157290</v>
      </c>
      <c r="B990" s="7" t="s">
        <v>1762</v>
      </c>
      <c r="C990" s="7" t="s">
        <v>1420</v>
      </c>
      <c r="D990" s="7" t="s">
        <v>1763</v>
      </c>
      <c r="E990" s="7" t="s">
        <v>11</v>
      </c>
      <c r="F990" s="7"/>
      <c r="G990" s="7" t="s">
        <v>1432</v>
      </c>
      <c r="H990" s="7"/>
      <c r="I990" s="10">
        <v>44755</v>
      </c>
      <c r="J990" s="7" t="s">
        <v>13</v>
      </c>
      <c r="K990" s="7" t="s">
        <v>1433</v>
      </c>
      <c r="L990" s="7" t="s">
        <v>1434</v>
      </c>
      <c r="M990" s="7" t="s">
        <v>16</v>
      </c>
    </row>
    <row r="991" spans="1:13" x14ac:dyDescent="0.3">
      <c r="A991" s="7" t="str">
        <f>HYPERLINK("https://hsdes.intel.com/resource/14013157294","14013157294")</f>
        <v>14013157294</v>
      </c>
      <c r="B991" s="7" t="s">
        <v>1764</v>
      </c>
      <c r="C991" s="7" t="s">
        <v>1420</v>
      </c>
      <c r="D991" s="7" t="s">
        <v>1765</v>
      </c>
      <c r="E991" s="7"/>
      <c r="F991" s="7"/>
      <c r="G991" s="7" t="s">
        <v>541</v>
      </c>
      <c r="H991" s="7"/>
      <c r="I991" s="7"/>
      <c r="J991" s="7" t="s">
        <v>13</v>
      </c>
      <c r="K991" s="7" t="s">
        <v>553</v>
      </c>
      <c r="L991" s="7" t="s">
        <v>544</v>
      </c>
      <c r="M991" s="7" t="s">
        <v>16</v>
      </c>
    </row>
    <row r="992" spans="1:13" x14ac:dyDescent="0.3">
      <c r="A992" s="7" t="str">
        <f>HYPERLINK("https://hsdes.intel.com/resource/14013157299","14013157299")</f>
        <v>14013157299</v>
      </c>
      <c r="B992" s="7" t="s">
        <v>1766</v>
      </c>
      <c r="C992" s="7" t="s">
        <v>1420</v>
      </c>
      <c r="D992" s="7" t="s">
        <v>1767</v>
      </c>
      <c r="E992" s="7" t="s">
        <v>11</v>
      </c>
      <c r="F992" s="7"/>
      <c r="G992" s="7" t="s">
        <v>1429</v>
      </c>
      <c r="H992" s="7"/>
      <c r="I992" s="10">
        <v>44755</v>
      </c>
      <c r="J992" s="7" t="s">
        <v>13</v>
      </c>
      <c r="K992" s="7" t="s">
        <v>553</v>
      </c>
      <c r="L992" s="7" t="s">
        <v>544</v>
      </c>
      <c r="M992" s="7" t="s">
        <v>16</v>
      </c>
    </row>
    <row r="993" spans="1:13" x14ac:dyDescent="0.3">
      <c r="A993" s="7" t="str">
        <f>HYPERLINK("https://hsdes.intel.com/resource/14013157301","14013157301")</f>
        <v>14013157301</v>
      </c>
      <c r="B993" s="7" t="s">
        <v>1768</v>
      </c>
      <c r="C993" s="7" t="s">
        <v>1420</v>
      </c>
      <c r="D993" s="7" t="s">
        <v>1769</v>
      </c>
      <c r="E993" s="7" t="s">
        <v>11</v>
      </c>
      <c r="F993" s="7"/>
      <c r="G993" s="7" t="s">
        <v>1700</v>
      </c>
      <c r="H993" s="7"/>
      <c r="I993" s="10">
        <v>44757</v>
      </c>
      <c r="J993" s="7" t="s">
        <v>13</v>
      </c>
      <c r="K993" s="7" t="s">
        <v>14</v>
      </c>
      <c r="L993" s="7" t="s">
        <v>88</v>
      </c>
      <c r="M993" s="7" t="s">
        <v>16</v>
      </c>
    </row>
    <row r="994" spans="1:13" x14ac:dyDescent="0.3">
      <c r="A994" s="7" t="str">
        <f>HYPERLINK("https://hsdes.intel.com/resource/14013157313","14013157313")</f>
        <v>14013157313</v>
      </c>
      <c r="B994" s="7" t="s">
        <v>281</v>
      </c>
      <c r="C994" s="7" t="s">
        <v>1420</v>
      </c>
      <c r="D994" s="7" t="s">
        <v>282</v>
      </c>
      <c r="E994" s="7" t="s">
        <v>11</v>
      </c>
      <c r="F994" s="7"/>
      <c r="G994" s="7" t="s">
        <v>1770</v>
      </c>
      <c r="H994" s="7"/>
      <c r="I994" s="10">
        <v>44763</v>
      </c>
      <c r="J994" s="7" t="s">
        <v>13</v>
      </c>
      <c r="K994" s="7" t="s">
        <v>14</v>
      </c>
      <c r="L994" s="7" t="s">
        <v>88</v>
      </c>
      <c r="M994" s="7" t="s">
        <v>16</v>
      </c>
    </row>
    <row r="995" spans="1:13" x14ac:dyDescent="0.3">
      <c r="A995" s="7" t="str">
        <f>HYPERLINK("https://hsdes.intel.com/resource/14013157315","14013157315")</f>
        <v>14013157315</v>
      </c>
      <c r="B995" s="7" t="s">
        <v>1771</v>
      </c>
      <c r="C995" s="7" t="s">
        <v>1420</v>
      </c>
      <c r="D995" s="7" t="s">
        <v>1772</v>
      </c>
      <c r="E995" s="7" t="s">
        <v>342</v>
      </c>
      <c r="F995" s="7"/>
      <c r="G995" s="7" t="s">
        <v>1700</v>
      </c>
      <c r="H995" s="7"/>
      <c r="I995" s="10"/>
      <c r="J995" s="7" t="s">
        <v>13</v>
      </c>
      <c r="K995" s="7" t="s">
        <v>14</v>
      </c>
      <c r="L995" s="7" t="s">
        <v>88</v>
      </c>
      <c r="M995" s="7" t="s">
        <v>16</v>
      </c>
    </row>
    <row r="996" spans="1:13" x14ac:dyDescent="0.3">
      <c r="A996" s="5" t="str">
        <f>HYPERLINK("https://hsdes.intel.com/resource/14013157317","14013157317")</f>
        <v>14013157317</v>
      </c>
      <c r="B996" s="7" t="s">
        <v>1773</v>
      </c>
      <c r="C996" s="7" t="s">
        <v>1420</v>
      </c>
      <c r="D996" s="7" t="s">
        <v>1774</v>
      </c>
      <c r="E996" s="7" t="s">
        <v>342</v>
      </c>
      <c r="F996" s="7"/>
      <c r="G996" s="7" t="s">
        <v>841</v>
      </c>
      <c r="H996" s="7"/>
      <c r="I996" s="10">
        <v>44762</v>
      </c>
      <c r="J996" s="7" t="s">
        <v>13</v>
      </c>
      <c r="K996" s="7" t="s">
        <v>14</v>
      </c>
      <c r="L996" s="7" t="s">
        <v>88</v>
      </c>
      <c r="M996" s="7" t="s">
        <v>16</v>
      </c>
    </row>
    <row r="997" spans="1:13" x14ac:dyDescent="0.3">
      <c r="A997" s="7" t="str">
        <f>HYPERLINK("https://hsdes.intel.com/resource/14013157319","14013157319")</f>
        <v>14013157319</v>
      </c>
      <c r="B997" s="7" t="s">
        <v>1775</v>
      </c>
      <c r="C997" s="7" t="s">
        <v>1420</v>
      </c>
      <c r="D997" s="7" t="s">
        <v>1776</v>
      </c>
      <c r="E997" s="7" t="s">
        <v>11</v>
      </c>
      <c r="F997" s="7"/>
      <c r="G997" s="7" t="s">
        <v>1569</v>
      </c>
      <c r="H997" s="7"/>
      <c r="I997" s="10">
        <v>44755</v>
      </c>
      <c r="J997" s="7" t="s">
        <v>13</v>
      </c>
      <c r="K997" s="7" t="s">
        <v>14</v>
      </c>
      <c r="L997" s="7" t="s">
        <v>88</v>
      </c>
      <c r="M997" s="7" t="s">
        <v>16</v>
      </c>
    </row>
    <row r="998" spans="1:13" x14ac:dyDescent="0.3">
      <c r="A998" s="7" t="str">
        <f>HYPERLINK("https://hsdes.intel.com/resource/14013157332","14013157332")</f>
        <v>14013157332</v>
      </c>
      <c r="B998" s="7" t="s">
        <v>1777</v>
      </c>
      <c r="C998" s="7" t="s">
        <v>1420</v>
      </c>
      <c r="D998" s="7" t="s">
        <v>1778</v>
      </c>
      <c r="E998" s="7" t="s">
        <v>11</v>
      </c>
      <c r="F998" s="7"/>
      <c r="G998" s="7" t="s">
        <v>1569</v>
      </c>
      <c r="H998" s="7"/>
      <c r="I998" s="10">
        <v>44755</v>
      </c>
      <c r="J998" s="7" t="s">
        <v>13</v>
      </c>
      <c r="K998" s="7" t="s">
        <v>14</v>
      </c>
      <c r="L998" s="7" t="s">
        <v>88</v>
      </c>
      <c r="M998" s="7" t="s">
        <v>16</v>
      </c>
    </row>
    <row r="999" spans="1:13" x14ac:dyDescent="0.3">
      <c r="A999" s="7" t="str">
        <f>HYPERLINK("https://hsdes.intel.com/resource/14013157335","14013157335")</f>
        <v>14013157335</v>
      </c>
      <c r="B999" s="7" t="s">
        <v>1779</v>
      </c>
      <c r="C999" s="7" t="s">
        <v>1420</v>
      </c>
      <c r="D999" s="7" t="s">
        <v>1780</v>
      </c>
      <c r="E999" s="7" t="s">
        <v>11</v>
      </c>
      <c r="F999" s="7"/>
      <c r="G999" s="7" t="s">
        <v>1432</v>
      </c>
      <c r="H999" s="7"/>
      <c r="I999" s="10">
        <v>44755</v>
      </c>
      <c r="J999" s="7" t="s">
        <v>13</v>
      </c>
      <c r="K999" s="7" t="s">
        <v>1433</v>
      </c>
      <c r="L999" s="7" t="s">
        <v>1434</v>
      </c>
      <c r="M999" s="7" t="s">
        <v>16</v>
      </c>
    </row>
    <row r="1000" spans="1:13" x14ac:dyDescent="0.3">
      <c r="A1000" s="7" t="str">
        <f>HYPERLINK("https://hsdes.intel.com/resource/14013157343","14013157343")</f>
        <v>14013157343</v>
      </c>
      <c r="B1000" s="7" t="s">
        <v>1781</v>
      </c>
      <c r="C1000" s="7" t="s">
        <v>1420</v>
      </c>
      <c r="D1000" s="7" t="s">
        <v>1782</v>
      </c>
      <c r="E1000" s="7" t="s">
        <v>11</v>
      </c>
      <c r="F1000" s="7"/>
      <c r="G1000" s="7" t="s">
        <v>1783</v>
      </c>
      <c r="H1000" s="7"/>
      <c r="I1000" s="10">
        <v>44757</v>
      </c>
      <c r="J1000" s="7" t="s">
        <v>13</v>
      </c>
      <c r="K1000" s="7" t="s">
        <v>14</v>
      </c>
      <c r="L1000" s="7" t="s">
        <v>88</v>
      </c>
      <c r="M1000" s="7" t="s">
        <v>16</v>
      </c>
    </row>
    <row r="1001" spans="1:13" x14ac:dyDescent="0.3">
      <c r="A1001" s="7" t="str">
        <f>HYPERLINK("https://hsdes.intel.com/resource/14013157345","14013157345")</f>
        <v>14013157345</v>
      </c>
      <c r="B1001" s="7" t="s">
        <v>1784</v>
      </c>
      <c r="C1001" s="7" t="s">
        <v>1420</v>
      </c>
      <c r="D1001" s="7" t="s">
        <v>1785</v>
      </c>
      <c r="E1001" s="7" t="s">
        <v>37</v>
      </c>
      <c r="F1001" s="7" t="s">
        <v>1786</v>
      </c>
      <c r="G1001" s="7" t="s">
        <v>841</v>
      </c>
      <c r="H1001" s="7"/>
      <c r="I1001" s="7"/>
      <c r="J1001" s="7" t="s">
        <v>13</v>
      </c>
      <c r="K1001" s="7" t="s">
        <v>14</v>
      </c>
      <c r="L1001" s="7" t="s">
        <v>88</v>
      </c>
      <c r="M1001" s="7" t="s">
        <v>16</v>
      </c>
    </row>
    <row r="1002" spans="1:13" x14ac:dyDescent="0.3">
      <c r="A1002" s="7" t="str">
        <f>HYPERLINK("https://hsdes.intel.com/resource/14013157347","14013157347")</f>
        <v>14013157347</v>
      </c>
      <c r="B1002" s="7" t="s">
        <v>1787</v>
      </c>
      <c r="C1002" s="7" t="s">
        <v>1420</v>
      </c>
      <c r="D1002" s="7" t="s">
        <v>1788</v>
      </c>
      <c r="E1002" s="7" t="s">
        <v>11</v>
      </c>
      <c r="F1002" s="7"/>
      <c r="G1002" s="7" t="s">
        <v>841</v>
      </c>
      <c r="H1002" s="7"/>
      <c r="I1002" s="10">
        <v>44763</v>
      </c>
      <c r="J1002" s="7" t="s">
        <v>13</v>
      </c>
      <c r="K1002" s="7" t="s">
        <v>14</v>
      </c>
      <c r="L1002" s="7" t="s">
        <v>88</v>
      </c>
      <c r="M1002" s="7" t="s">
        <v>16</v>
      </c>
    </row>
    <row r="1003" spans="1:13" x14ac:dyDescent="0.3">
      <c r="A1003" s="7" t="str">
        <f>HYPERLINK("https://hsdes.intel.com/resource/14013157360","14013157360")</f>
        <v>14013157360</v>
      </c>
      <c r="B1003" s="7" t="s">
        <v>1789</v>
      </c>
      <c r="C1003" s="7" t="s">
        <v>1420</v>
      </c>
      <c r="D1003" s="7" t="s">
        <v>1790</v>
      </c>
      <c r="E1003" s="7" t="s">
        <v>11</v>
      </c>
      <c r="F1003" s="7"/>
      <c r="G1003" s="7" t="s">
        <v>1700</v>
      </c>
      <c r="H1003" s="7"/>
      <c r="I1003" s="10">
        <v>44757</v>
      </c>
      <c r="J1003" s="7" t="s">
        <v>13</v>
      </c>
      <c r="K1003" s="7" t="s">
        <v>14</v>
      </c>
      <c r="L1003" s="7" t="s">
        <v>88</v>
      </c>
      <c r="M1003" s="7" t="s">
        <v>16</v>
      </c>
    </row>
    <row r="1004" spans="1:13" x14ac:dyDescent="0.3">
      <c r="A1004" s="7" t="str">
        <f>HYPERLINK("https://hsdes.intel.com/resource/14013157372","14013157372")</f>
        <v>14013157372</v>
      </c>
      <c r="B1004" s="7" t="s">
        <v>1791</v>
      </c>
      <c r="C1004" s="7" t="s">
        <v>1420</v>
      </c>
      <c r="D1004" s="7" t="s">
        <v>1792</v>
      </c>
      <c r="E1004" s="7" t="s">
        <v>11</v>
      </c>
      <c r="F1004" s="7"/>
      <c r="G1004" s="7" t="s">
        <v>1569</v>
      </c>
      <c r="H1004" s="7"/>
      <c r="I1004" s="10">
        <v>44755</v>
      </c>
      <c r="J1004" s="7" t="s">
        <v>13</v>
      </c>
      <c r="K1004" s="7" t="s">
        <v>14</v>
      </c>
      <c r="L1004" s="7" t="s">
        <v>88</v>
      </c>
      <c r="M1004" s="7" t="s">
        <v>16</v>
      </c>
    </row>
    <row r="1005" spans="1:13" x14ac:dyDescent="0.3">
      <c r="A1005" s="7" t="str">
        <f>HYPERLINK("https://hsdes.intel.com/resource/14013157378","14013157378")</f>
        <v>14013157378</v>
      </c>
      <c r="B1005" s="7" t="s">
        <v>1793</v>
      </c>
      <c r="C1005" s="7" t="s">
        <v>1420</v>
      </c>
      <c r="D1005" s="7" t="s">
        <v>1794</v>
      </c>
      <c r="E1005" s="7" t="s">
        <v>11</v>
      </c>
      <c r="F1005" s="7"/>
      <c r="G1005" s="7" t="s">
        <v>1569</v>
      </c>
      <c r="H1005" s="7"/>
      <c r="I1005" s="10">
        <v>44755</v>
      </c>
      <c r="J1005" s="7" t="s">
        <v>13</v>
      </c>
      <c r="K1005" s="7" t="s">
        <v>14</v>
      </c>
      <c r="L1005" s="7" t="s">
        <v>88</v>
      </c>
      <c r="M1005" s="7" t="s">
        <v>16</v>
      </c>
    </row>
    <row r="1006" spans="1:13" x14ac:dyDescent="0.3">
      <c r="A1006" s="7" t="str">
        <f>HYPERLINK("https://hsdes.intel.com/resource/14013157437","14013157437")</f>
        <v>14013157437</v>
      </c>
      <c r="B1006" s="7" t="s">
        <v>1795</v>
      </c>
      <c r="C1006" s="7" t="s">
        <v>1420</v>
      </c>
      <c r="D1006" s="7" t="s">
        <v>1796</v>
      </c>
      <c r="E1006" s="7" t="s">
        <v>11</v>
      </c>
      <c r="F1006" s="7"/>
      <c r="G1006" s="7" t="s">
        <v>1569</v>
      </c>
      <c r="H1006" s="7"/>
      <c r="I1006" s="10">
        <v>44755</v>
      </c>
      <c r="J1006" s="7" t="s">
        <v>13</v>
      </c>
      <c r="K1006" s="7" t="s">
        <v>14</v>
      </c>
      <c r="L1006" s="7" t="s">
        <v>88</v>
      </c>
      <c r="M1006" s="7" t="s">
        <v>16</v>
      </c>
    </row>
    <row r="1007" spans="1:13" x14ac:dyDescent="0.3">
      <c r="A1007" s="7" t="str">
        <f>HYPERLINK("https://hsdes.intel.com/resource/14013157449","14013157449")</f>
        <v>14013157449</v>
      </c>
      <c r="B1007" s="7" t="s">
        <v>1797</v>
      </c>
      <c r="C1007" s="7" t="s">
        <v>1420</v>
      </c>
      <c r="D1007" s="7" t="s">
        <v>1798</v>
      </c>
      <c r="E1007" s="7" t="s">
        <v>11</v>
      </c>
      <c r="F1007" s="7"/>
      <c r="G1007" s="7" t="s">
        <v>1432</v>
      </c>
      <c r="H1007" s="7"/>
      <c r="I1007" s="10">
        <v>44754</v>
      </c>
      <c r="J1007" s="7" t="s">
        <v>13</v>
      </c>
      <c r="K1007" s="7" t="s">
        <v>1433</v>
      </c>
      <c r="L1007" s="7" t="s">
        <v>1434</v>
      </c>
      <c r="M1007" s="7" t="s">
        <v>24</v>
      </c>
    </row>
    <row r="1008" spans="1:13" x14ac:dyDescent="0.3">
      <c r="A1008" s="7" t="str">
        <f>HYPERLINK("https://hsdes.intel.com/resource/14013157450","14013157450")</f>
        <v>14013157450</v>
      </c>
      <c r="B1008" s="7" t="s">
        <v>1799</v>
      </c>
      <c r="C1008" s="7" t="s">
        <v>1420</v>
      </c>
      <c r="D1008" s="7" t="s">
        <v>1800</v>
      </c>
      <c r="E1008" s="7" t="s">
        <v>11</v>
      </c>
      <c r="F1008" s="7"/>
      <c r="G1008" s="7" t="s">
        <v>1432</v>
      </c>
      <c r="H1008" s="7"/>
      <c r="I1008" s="10">
        <v>44755</v>
      </c>
      <c r="J1008" s="7" t="s">
        <v>13</v>
      </c>
      <c r="K1008" s="7" t="s">
        <v>1433</v>
      </c>
      <c r="L1008" s="7" t="s">
        <v>1434</v>
      </c>
      <c r="M1008" s="7" t="s">
        <v>24</v>
      </c>
    </row>
    <row r="1009" spans="1:13" x14ac:dyDescent="0.3">
      <c r="A1009" s="7" t="str">
        <f>HYPERLINK("https://hsdes.intel.com/resource/14013157452","14013157452")</f>
        <v>14013157452</v>
      </c>
      <c r="B1009" s="7" t="s">
        <v>1801</v>
      </c>
      <c r="C1009" s="7" t="s">
        <v>1420</v>
      </c>
      <c r="D1009" s="7" t="s">
        <v>1802</v>
      </c>
      <c r="E1009" s="7" t="s">
        <v>11</v>
      </c>
      <c r="F1009" s="7"/>
      <c r="G1009" s="7" t="s">
        <v>1432</v>
      </c>
      <c r="H1009" s="7"/>
      <c r="I1009" s="7"/>
      <c r="J1009" s="7" t="s">
        <v>13</v>
      </c>
      <c r="K1009" s="7" t="s">
        <v>1433</v>
      </c>
      <c r="L1009" s="7" t="s">
        <v>1434</v>
      </c>
      <c r="M1009" s="7" t="s">
        <v>24</v>
      </c>
    </row>
    <row r="1010" spans="1:13" x14ac:dyDescent="0.3">
      <c r="A1010" s="7" t="str">
        <f>HYPERLINK("https://hsdes.intel.com/resource/14013157454","14013157454")</f>
        <v>14013157454</v>
      </c>
      <c r="B1010" s="7" t="s">
        <v>1803</v>
      </c>
      <c r="C1010" s="7" t="s">
        <v>1420</v>
      </c>
      <c r="D1010" s="7" t="s">
        <v>1804</v>
      </c>
      <c r="E1010" s="7" t="s">
        <v>11</v>
      </c>
      <c r="F1010" s="7"/>
      <c r="G1010" s="7" t="s">
        <v>1432</v>
      </c>
      <c r="H1010" s="7"/>
      <c r="I1010" s="7"/>
      <c r="J1010" s="7" t="s">
        <v>13</v>
      </c>
      <c r="K1010" s="7" t="s">
        <v>1433</v>
      </c>
      <c r="L1010" s="7" t="s">
        <v>1434</v>
      </c>
      <c r="M1010" s="7" t="s">
        <v>16</v>
      </c>
    </row>
    <row r="1011" spans="1:13" x14ac:dyDescent="0.3">
      <c r="A1011" s="7" t="str">
        <f>HYPERLINK("https://hsdes.intel.com/resource/14013157474","14013157474")</f>
        <v>14013157474</v>
      </c>
      <c r="B1011" s="7" t="s">
        <v>1805</v>
      </c>
      <c r="C1011" s="7" t="s">
        <v>1420</v>
      </c>
      <c r="D1011" s="7" t="s">
        <v>1806</v>
      </c>
      <c r="E1011" s="7" t="s">
        <v>11</v>
      </c>
      <c r="F1011" s="7"/>
      <c r="G1011" s="7" t="s">
        <v>841</v>
      </c>
      <c r="H1011" s="7"/>
      <c r="I1011" s="10">
        <v>44762</v>
      </c>
      <c r="J1011" s="7" t="s">
        <v>192</v>
      </c>
      <c r="K1011" s="7" t="s">
        <v>14</v>
      </c>
      <c r="L1011" s="7" t="s">
        <v>88</v>
      </c>
      <c r="M1011" s="7" t="s">
        <v>16</v>
      </c>
    </row>
    <row r="1012" spans="1:13" x14ac:dyDescent="0.3">
      <c r="A1012" s="7" t="str">
        <f>HYPERLINK("https://hsdes.intel.com/resource/14013157476","14013157476")</f>
        <v>14013157476</v>
      </c>
      <c r="B1012" s="7" t="s">
        <v>1807</v>
      </c>
      <c r="C1012" s="7" t="s">
        <v>1420</v>
      </c>
      <c r="D1012" s="7" t="s">
        <v>1808</v>
      </c>
      <c r="E1012" s="7" t="s">
        <v>11</v>
      </c>
      <c r="F1012" s="7"/>
      <c r="G1012" s="7" t="s">
        <v>1569</v>
      </c>
      <c r="H1012" s="7"/>
      <c r="I1012" s="10">
        <v>44755</v>
      </c>
      <c r="J1012" s="7" t="s">
        <v>192</v>
      </c>
      <c r="K1012" s="7" t="s">
        <v>14</v>
      </c>
      <c r="L1012" s="7" t="s">
        <v>88</v>
      </c>
      <c r="M1012" s="7" t="s">
        <v>16</v>
      </c>
    </row>
    <row r="1013" spans="1:13" x14ac:dyDescent="0.3">
      <c r="A1013" s="7" t="str">
        <f>HYPERLINK("https://hsdes.intel.com/resource/14013157506","14013157506")</f>
        <v>14013157506</v>
      </c>
      <c r="B1013" s="7" t="s">
        <v>1809</v>
      </c>
      <c r="C1013" s="7" t="s">
        <v>1420</v>
      </c>
      <c r="D1013" s="7" t="s">
        <v>1810</v>
      </c>
      <c r="E1013" s="7" t="s">
        <v>11</v>
      </c>
      <c r="F1013" s="7"/>
      <c r="G1013" s="7" t="s">
        <v>1700</v>
      </c>
      <c r="H1013" s="7"/>
      <c r="I1013" s="10">
        <v>44757</v>
      </c>
      <c r="J1013" s="7" t="s">
        <v>13</v>
      </c>
      <c r="K1013" s="7" t="s">
        <v>14</v>
      </c>
      <c r="L1013" s="7" t="s">
        <v>88</v>
      </c>
      <c r="M1013" s="7" t="s">
        <v>16</v>
      </c>
    </row>
    <row r="1014" spans="1:13" x14ac:dyDescent="0.3">
      <c r="A1014" s="7" t="str">
        <f>HYPERLINK("https://hsdes.intel.com/resource/14013157514","14013157514")</f>
        <v>14013157514</v>
      </c>
      <c r="B1014" s="7" t="s">
        <v>1811</v>
      </c>
      <c r="C1014" s="7" t="s">
        <v>1420</v>
      </c>
      <c r="D1014" s="7" t="s">
        <v>1812</v>
      </c>
      <c r="E1014" s="7" t="s">
        <v>11</v>
      </c>
      <c r="F1014" s="7"/>
      <c r="G1014" s="7" t="s">
        <v>1700</v>
      </c>
      <c r="H1014" s="7"/>
      <c r="I1014" s="10">
        <v>44757</v>
      </c>
      <c r="J1014" s="7" t="s">
        <v>13</v>
      </c>
      <c r="K1014" s="7" t="s">
        <v>14</v>
      </c>
      <c r="L1014" s="7" t="s">
        <v>88</v>
      </c>
      <c r="M1014" s="7" t="s">
        <v>16</v>
      </c>
    </row>
    <row r="1015" spans="1:13" x14ac:dyDescent="0.3">
      <c r="A1015" s="7" t="str">
        <f>HYPERLINK("https://hsdes.intel.com/resource/14013157520","14013157520")</f>
        <v>14013157520</v>
      </c>
      <c r="B1015" s="7" t="s">
        <v>1813</v>
      </c>
      <c r="C1015" s="7" t="s">
        <v>1420</v>
      </c>
      <c r="D1015" s="7" t="s">
        <v>1814</v>
      </c>
      <c r="E1015" s="7" t="s">
        <v>11</v>
      </c>
      <c r="F1015" s="7"/>
      <c r="G1015" s="7" t="s">
        <v>1569</v>
      </c>
      <c r="H1015" s="7"/>
      <c r="I1015" s="10">
        <v>44755</v>
      </c>
      <c r="J1015" s="7" t="s">
        <v>13</v>
      </c>
      <c r="K1015" s="7" t="s">
        <v>14</v>
      </c>
      <c r="L1015" s="7" t="s">
        <v>88</v>
      </c>
      <c r="M1015" s="7" t="s">
        <v>16</v>
      </c>
    </row>
    <row r="1016" spans="1:13" x14ac:dyDescent="0.3">
      <c r="A1016" s="7" t="str">
        <f>HYPERLINK("https://hsdes.intel.com/resource/14013157529","14013157529")</f>
        <v>14013157529</v>
      </c>
      <c r="B1016" s="7" t="s">
        <v>1815</v>
      </c>
      <c r="C1016" s="7" t="s">
        <v>1420</v>
      </c>
      <c r="D1016" s="7" t="s">
        <v>1816</v>
      </c>
      <c r="E1016" s="7" t="s">
        <v>11</v>
      </c>
      <c r="F1016" s="7"/>
      <c r="G1016" s="7" t="s">
        <v>1569</v>
      </c>
      <c r="H1016" s="7"/>
      <c r="I1016" s="10">
        <v>44755</v>
      </c>
      <c r="J1016" s="7" t="s">
        <v>13</v>
      </c>
      <c r="K1016" s="7" t="s">
        <v>14</v>
      </c>
      <c r="L1016" s="7" t="s">
        <v>88</v>
      </c>
      <c r="M1016" s="7" t="s">
        <v>16</v>
      </c>
    </row>
    <row r="1017" spans="1:13" x14ac:dyDescent="0.3">
      <c r="A1017" s="7" t="str">
        <f>HYPERLINK("https://hsdes.intel.com/resource/14013157531","14013157531")</f>
        <v>14013157531</v>
      </c>
      <c r="B1017" s="7" t="s">
        <v>1817</v>
      </c>
      <c r="C1017" s="7" t="s">
        <v>1420</v>
      </c>
      <c r="D1017" s="7" t="s">
        <v>1818</v>
      </c>
      <c r="E1017" s="7" t="s">
        <v>11</v>
      </c>
      <c r="F1017" s="7"/>
      <c r="G1017" s="7" t="s">
        <v>1700</v>
      </c>
      <c r="H1017" s="7"/>
      <c r="I1017" s="10">
        <v>44757</v>
      </c>
      <c r="J1017" s="7" t="s">
        <v>13</v>
      </c>
      <c r="K1017" s="7" t="s">
        <v>14</v>
      </c>
      <c r="L1017" s="7" t="s">
        <v>88</v>
      </c>
      <c r="M1017" s="7" t="s">
        <v>16</v>
      </c>
    </row>
    <row r="1018" spans="1:13" x14ac:dyDescent="0.3">
      <c r="A1018" s="7" t="str">
        <f>HYPERLINK("https://hsdes.intel.com/resource/14013157558","14013157558")</f>
        <v>14013157558</v>
      </c>
      <c r="B1018" s="7" t="s">
        <v>1819</v>
      </c>
      <c r="C1018" s="7" t="s">
        <v>1420</v>
      </c>
      <c r="D1018" s="7" t="s">
        <v>1820</v>
      </c>
      <c r="E1018" s="7" t="s">
        <v>11</v>
      </c>
      <c r="F1018" s="7"/>
      <c r="G1018" s="7" t="s">
        <v>1461</v>
      </c>
      <c r="H1018" s="7"/>
      <c r="I1018" s="10">
        <v>44762</v>
      </c>
      <c r="J1018" s="7" t="s">
        <v>13</v>
      </c>
      <c r="K1018" s="7" t="s">
        <v>1759</v>
      </c>
      <c r="L1018" s="7" t="s">
        <v>1434</v>
      </c>
      <c r="M1018" s="7" t="s">
        <v>24</v>
      </c>
    </row>
    <row r="1019" spans="1:13" x14ac:dyDescent="0.3">
      <c r="A1019" s="7" t="str">
        <f>HYPERLINK("https://hsdes.intel.com/resource/14013157560","14013157560")</f>
        <v>14013157560</v>
      </c>
      <c r="B1019" s="7" t="s">
        <v>1821</v>
      </c>
      <c r="C1019" s="7" t="s">
        <v>1420</v>
      </c>
      <c r="D1019" s="7" t="s">
        <v>1822</v>
      </c>
      <c r="E1019" s="7" t="s">
        <v>11</v>
      </c>
      <c r="F1019" s="7"/>
      <c r="G1019" s="7" t="s">
        <v>1700</v>
      </c>
      <c r="H1019" s="7"/>
      <c r="I1019" s="10">
        <v>44757</v>
      </c>
      <c r="J1019" s="7" t="s">
        <v>192</v>
      </c>
      <c r="K1019" s="7" t="s">
        <v>14</v>
      </c>
      <c r="L1019" s="7" t="s">
        <v>88</v>
      </c>
      <c r="M1019" s="7" t="s">
        <v>16</v>
      </c>
    </row>
    <row r="1020" spans="1:13" x14ac:dyDescent="0.3">
      <c r="A1020" s="7" t="str">
        <f>HYPERLINK("https://hsdes.intel.com/resource/14013157562","14013157562")</f>
        <v>14013157562</v>
      </c>
      <c r="B1020" s="7" t="s">
        <v>1823</v>
      </c>
      <c r="C1020" s="7" t="s">
        <v>1420</v>
      </c>
      <c r="D1020" s="7" t="s">
        <v>1824</v>
      </c>
      <c r="E1020" s="7" t="s">
        <v>11</v>
      </c>
      <c r="F1020" s="7"/>
      <c r="G1020" s="7" t="s">
        <v>1569</v>
      </c>
      <c r="H1020" s="7"/>
      <c r="I1020" s="10">
        <v>44755</v>
      </c>
      <c r="J1020" s="7" t="s">
        <v>13</v>
      </c>
      <c r="K1020" s="7" t="s">
        <v>14</v>
      </c>
      <c r="L1020" s="7" t="s">
        <v>88</v>
      </c>
      <c r="M1020" s="7" t="s">
        <v>16</v>
      </c>
    </row>
    <row r="1021" spans="1:13" x14ac:dyDescent="0.3">
      <c r="A1021" s="7" t="str">
        <f>HYPERLINK("https://hsdes.intel.com/resource/14013157564","14013157564")</f>
        <v>14013157564</v>
      </c>
      <c r="B1021" s="7" t="s">
        <v>1825</v>
      </c>
      <c r="C1021" s="7" t="s">
        <v>1420</v>
      </c>
      <c r="D1021" s="7" t="s">
        <v>1826</v>
      </c>
      <c r="E1021" s="7" t="s">
        <v>11</v>
      </c>
      <c r="F1021" s="7" t="s">
        <v>1827</v>
      </c>
      <c r="G1021" s="7" t="s">
        <v>841</v>
      </c>
      <c r="H1021" s="7"/>
      <c r="I1021" s="10">
        <v>44763</v>
      </c>
      <c r="J1021" s="7" t="s">
        <v>13</v>
      </c>
      <c r="K1021" s="7" t="s">
        <v>14</v>
      </c>
      <c r="L1021" s="7" t="s">
        <v>88</v>
      </c>
      <c r="M1021" s="7" t="s">
        <v>16</v>
      </c>
    </row>
    <row r="1022" spans="1:13" x14ac:dyDescent="0.3">
      <c r="A1022" s="7" t="str">
        <f>HYPERLINK("https://hsdes.intel.com/resource/14013157573","14013157573")</f>
        <v>14013157573</v>
      </c>
      <c r="B1022" s="7" t="s">
        <v>1828</v>
      </c>
      <c r="C1022" s="7" t="s">
        <v>1420</v>
      </c>
      <c r="D1022" s="7" t="s">
        <v>1829</v>
      </c>
      <c r="E1022" s="7" t="s">
        <v>11</v>
      </c>
      <c r="F1022" s="7"/>
      <c r="G1022" s="7" t="s">
        <v>1569</v>
      </c>
      <c r="H1022" s="7"/>
      <c r="I1022" s="10">
        <v>44755</v>
      </c>
      <c r="J1022" s="7" t="s">
        <v>13</v>
      </c>
      <c r="K1022" s="7" t="s">
        <v>14</v>
      </c>
      <c r="L1022" s="7" t="s">
        <v>88</v>
      </c>
      <c r="M1022" s="7" t="s">
        <v>24</v>
      </c>
    </row>
    <row r="1023" spans="1:13" x14ac:dyDescent="0.3">
      <c r="A1023" s="7" t="str">
        <f>HYPERLINK("https://hsdes.intel.com/resource/14013157584","14013157584")</f>
        <v>14013157584</v>
      </c>
      <c r="B1023" s="7" t="s">
        <v>1830</v>
      </c>
      <c r="C1023" s="7" t="s">
        <v>1420</v>
      </c>
      <c r="D1023" s="7" t="s">
        <v>1831</v>
      </c>
      <c r="E1023" s="7" t="s">
        <v>11</v>
      </c>
      <c r="F1023" s="7"/>
      <c r="G1023" s="7" t="s">
        <v>1429</v>
      </c>
      <c r="H1023" s="7"/>
      <c r="I1023" s="10">
        <v>44755</v>
      </c>
      <c r="J1023" s="7" t="s">
        <v>13</v>
      </c>
      <c r="K1023" s="7" t="s">
        <v>553</v>
      </c>
      <c r="L1023" s="7" t="s">
        <v>544</v>
      </c>
      <c r="M1023" s="7" t="s">
        <v>16</v>
      </c>
    </row>
    <row r="1024" spans="1:13" x14ac:dyDescent="0.3">
      <c r="A1024" s="7" t="str">
        <f>HYPERLINK("https://hsdes.intel.com/resource/14013157619","14013157619")</f>
        <v>14013157619</v>
      </c>
      <c r="B1024" s="7" t="s">
        <v>1832</v>
      </c>
      <c r="C1024" s="7" t="s">
        <v>1420</v>
      </c>
      <c r="D1024" s="7" t="s">
        <v>1833</v>
      </c>
      <c r="E1024" s="7" t="s">
        <v>11</v>
      </c>
      <c r="F1024" s="7"/>
      <c r="G1024" s="7" t="s">
        <v>1429</v>
      </c>
      <c r="H1024" s="7"/>
      <c r="I1024" s="10">
        <v>44755</v>
      </c>
      <c r="J1024" s="7" t="s">
        <v>13</v>
      </c>
      <c r="K1024" s="7" t="s">
        <v>553</v>
      </c>
      <c r="L1024" s="7" t="s">
        <v>544</v>
      </c>
      <c r="M1024" s="7" t="s">
        <v>16</v>
      </c>
    </row>
    <row r="1025" spans="1:13" x14ac:dyDescent="0.3">
      <c r="A1025" s="7" t="str">
        <f>HYPERLINK("https://hsdes.intel.com/resource/14013157625","14013157625")</f>
        <v>14013157625</v>
      </c>
      <c r="B1025" s="7" t="s">
        <v>1834</v>
      </c>
      <c r="C1025" s="7" t="s">
        <v>1420</v>
      </c>
      <c r="D1025" s="7" t="s">
        <v>1835</v>
      </c>
      <c r="E1025" s="7" t="s">
        <v>11</v>
      </c>
      <c r="F1025" s="7"/>
      <c r="G1025" s="7" t="s">
        <v>1700</v>
      </c>
      <c r="H1025" s="7"/>
      <c r="I1025" s="10">
        <v>44757</v>
      </c>
      <c r="J1025" s="7" t="s">
        <v>13</v>
      </c>
      <c r="K1025" s="7" t="s">
        <v>3605</v>
      </c>
      <c r="L1025" s="7" t="s">
        <v>88</v>
      </c>
      <c r="M1025" s="7" t="s">
        <v>16</v>
      </c>
    </row>
    <row r="1026" spans="1:13" x14ac:dyDescent="0.3">
      <c r="A1026" s="7" t="str">
        <f>HYPERLINK("https://hsdes.intel.com/resource/14013157627","14013157627")</f>
        <v>14013157627</v>
      </c>
      <c r="B1026" s="7" t="s">
        <v>1836</v>
      </c>
      <c r="C1026" s="7" t="s">
        <v>1420</v>
      </c>
      <c r="D1026" s="7" t="s">
        <v>1837</v>
      </c>
      <c r="E1026" s="7" t="s">
        <v>11</v>
      </c>
      <c r="F1026" s="7"/>
      <c r="G1026" s="7" t="s">
        <v>1700</v>
      </c>
      <c r="H1026" s="7"/>
      <c r="I1026" s="10">
        <v>44757</v>
      </c>
      <c r="J1026" s="7" t="s">
        <v>13</v>
      </c>
      <c r="K1026" s="7" t="s">
        <v>14</v>
      </c>
      <c r="L1026" s="7" t="s">
        <v>88</v>
      </c>
      <c r="M1026" s="7" t="s">
        <v>16</v>
      </c>
    </row>
    <row r="1027" spans="1:13" x14ac:dyDescent="0.3">
      <c r="A1027" s="7" t="str">
        <f>HYPERLINK("https://hsdes.intel.com/resource/14013157652","14013157652")</f>
        <v>14013157652</v>
      </c>
      <c r="B1027" s="7" t="s">
        <v>1838</v>
      </c>
      <c r="C1027" s="7" t="s">
        <v>1420</v>
      </c>
      <c r="D1027" s="7" t="s">
        <v>1839</v>
      </c>
      <c r="E1027" s="7" t="s">
        <v>11</v>
      </c>
      <c r="F1027" s="7"/>
      <c r="G1027" s="7" t="s">
        <v>1429</v>
      </c>
      <c r="H1027" s="7"/>
      <c r="I1027" s="10">
        <v>44755</v>
      </c>
      <c r="J1027" s="7" t="s">
        <v>13</v>
      </c>
      <c r="K1027" s="7" t="s">
        <v>553</v>
      </c>
      <c r="L1027" s="7" t="s">
        <v>544</v>
      </c>
      <c r="M1027" s="7" t="s">
        <v>16</v>
      </c>
    </row>
    <row r="1028" spans="1:13" x14ac:dyDescent="0.3">
      <c r="A1028" s="7" t="str">
        <f>HYPERLINK("https://hsdes.intel.com/resource/14013157670","14013157670")</f>
        <v>14013157670</v>
      </c>
      <c r="B1028" s="7" t="s">
        <v>1840</v>
      </c>
      <c r="C1028" s="7" t="s">
        <v>1420</v>
      </c>
      <c r="D1028" s="7" t="s">
        <v>1841</v>
      </c>
      <c r="E1028" s="7" t="s">
        <v>11</v>
      </c>
      <c r="F1028" s="7"/>
      <c r="G1028" s="7" t="s">
        <v>369</v>
      </c>
      <c r="H1028" s="7"/>
      <c r="I1028" s="10">
        <v>44764</v>
      </c>
      <c r="J1028" s="7" t="s">
        <v>13</v>
      </c>
      <c r="K1028" s="7" t="s">
        <v>296</v>
      </c>
      <c r="L1028" s="7" t="s">
        <v>297</v>
      </c>
      <c r="M1028" s="7" t="s">
        <v>24</v>
      </c>
    </row>
    <row r="1029" spans="1:13" x14ac:dyDescent="0.3">
      <c r="A1029" s="7" t="str">
        <f>HYPERLINK("https://hsdes.intel.com/resource/14013157672","14013157672")</f>
        <v>14013157672</v>
      </c>
      <c r="B1029" s="7" t="s">
        <v>1842</v>
      </c>
      <c r="C1029" s="7" t="s">
        <v>1420</v>
      </c>
      <c r="D1029" s="7" t="s">
        <v>1843</v>
      </c>
      <c r="E1029" s="7" t="s">
        <v>11</v>
      </c>
      <c r="F1029" s="7"/>
      <c r="G1029" s="7" t="s">
        <v>1569</v>
      </c>
      <c r="H1029" s="7"/>
      <c r="I1029" s="10">
        <v>44755</v>
      </c>
      <c r="J1029" s="7" t="s">
        <v>13</v>
      </c>
      <c r="K1029" s="7" t="s">
        <v>14</v>
      </c>
      <c r="L1029" s="7" t="s">
        <v>88</v>
      </c>
      <c r="M1029" s="7" t="s">
        <v>16</v>
      </c>
    </row>
    <row r="1030" spans="1:13" x14ac:dyDescent="0.3">
      <c r="A1030" s="7" t="str">
        <f>HYPERLINK("https://hsdes.intel.com/resource/14013157676","14013157676")</f>
        <v>14013157676</v>
      </c>
      <c r="B1030" s="7" t="s">
        <v>1844</v>
      </c>
      <c r="C1030" s="7" t="s">
        <v>1420</v>
      </c>
      <c r="D1030" s="7" t="s">
        <v>1845</v>
      </c>
      <c r="E1030" s="7" t="s">
        <v>37</v>
      </c>
      <c r="F1030" s="27" t="s">
        <v>1846</v>
      </c>
      <c r="G1030" s="7" t="s">
        <v>841</v>
      </c>
      <c r="H1030" s="7" t="s">
        <v>343</v>
      </c>
      <c r="I1030" s="10">
        <v>44764</v>
      </c>
      <c r="J1030" s="7" t="s">
        <v>13</v>
      </c>
      <c r="K1030" s="7" t="s">
        <v>14</v>
      </c>
      <c r="L1030" s="7" t="s">
        <v>88</v>
      </c>
      <c r="M1030" s="7" t="s">
        <v>16</v>
      </c>
    </row>
    <row r="1031" spans="1:13" x14ac:dyDescent="0.3">
      <c r="A1031" s="7" t="str">
        <f>HYPERLINK("https://hsdes.intel.com/resource/14013157677","14013157677")</f>
        <v>14013157677</v>
      </c>
      <c r="B1031" s="7" t="s">
        <v>1847</v>
      </c>
      <c r="C1031" s="7" t="s">
        <v>1420</v>
      </c>
      <c r="D1031" s="7" t="s">
        <v>1848</v>
      </c>
      <c r="E1031" s="7" t="s">
        <v>11</v>
      </c>
      <c r="F1031" s="7"/>
      <c r="G1031" s="7" t="s">
        <v>1849</v>
      </c>
      <c r="H1031" s="7"/>
      <c r="I1031" s="10">
        <v>44754</v>
      </c>
      <c r="J1031" s="7" t="s">
        <v>13</v>
      </c>
      <c r="K1031" s="7" t="s">
        <v>14</v>
      </c>
      <c r="L1031" s="7" t="s">
        <v>88</v>
      </c>
      <c r="M1031" s="7" t="s">
        <v>16</v>
      </c>
    </row>
    <row r="1032" spans="1:13" x14ac:dyDescent="0.3">
      <c r="A1032" s="7" t="str">
        <f>HYPERLINK("https://hsdes.intel.com/resource/14013157679","14013157679")</f>
        <v>14013157679</v>
      </c>
      <c r="B1032" s="7" t="s">
        <v>1157</v>
      </c>
      <c r="C1032" s="7" t="s">
        <v>1420</v>
      </c>
      <c r="D1032" s="7" t="s">
        <v>1158</v>
      </c>
      <c r="E1032" s="7"/>
      <c r="F1032" s="7"/>
      <c r="G1032" s="7" t="s">
        <v>833</v>
      </c>
      <c r="H1032" s="7"/>
      <c r="I1032" s="7"/>
      <c r="J1032" s="7" t="s">
        <v>13</v>
      </c>
      <c r="K1032" s="7" t="s">
        <v>14</v>
      </c>
      <c r="L1032" s="7" t="s">
        <v>88</v>
      </c>
      <c r="M1032" s="7" t="s">
        <v>16</v>
      </c>
    </row>
    <row r="1033" spans="1:13" x14ac:dyDescent="0.3">
      <c r="A1033" s="7" t="str">
        <f>HYPERLINK("https://hsdes.intel.com/resource/14013157684","14013157684")</f>
        <v>14013157684</v>
      </c>
      <c r="B1033" s="7" t="s">
        <v>1161</v>
      </c>
      <c r="C1033" s="7" t="s">
        <v>1420</v>
      </c>
      <c r="D1033" s="7" t="s">
        <v>1162</v>
      </c>
      <c r="E1033" s="7"/>
      <c r="F1033" s="7"/>
      <c r="G1033" s="7" t="s">
        <v>833</v>
      </c>
      <c r="H1033" s="7"/>
      <c r="I1033" s="7"/>
      <c r="J1033" s="7" t="s">
        <v>13</v>
      </c>
      <c r="K1033" s="7" t="s">
        <v>14</v>
      </c>
      <c r="L1033" s="7" t="s">
        <v>88</v>
      </c>
      <c r="M1033" s="7" t="s">
        <v>16</v>
      </c>
    </row>
    <row r="1034" spans="1:13" x14ac:dyDescent="0.3">
      <c r="A1034" s="7" t="str">
        <f>HYPERLINK("https://hsdes.intel.com/resource/14013157693","14013157693")</f>
        <v>14013157693</v>
      </c>
      <c r="B1034" s="7" t="s">
        <v>1164</v>
      </c>
      <c r="C1034" s="7" t="s">
        <v>1420</v>
      </c>
      <c r="D1034" s="7" t="s">
        <v>1165</v>
      </c>
      <c r="E1034" s="7"/>
      <c r="F1034" s="7"/>
      <c r="G1034" s="7" t="s">
        <v>833</v>
      </c>
      <c r="H1034" s="7"/>
      <c r="I1034" s="7"/>
      <c r="J1034" s="7" t="s">
        <v>13</v>
      </c>
      <c r="K1034" s="7" t="s">
        <v>14</v>
      </c>
      <c r="L1034" s="7" t="s">
        <v>88</v>
      </c>
      <c r="M1034" s="7" t="s">
        <v>16</v>
      </c>
    </row>
    <row r="1035" spans="1:13" x14ac:dyDescent="0.3">
      <c r="A1035" s="7" t="str">
        <f>HYPERLINK("https://hsdes.intel.com/resource/14013157705","14013157705")</f>
        <v>14013157705</v>
      </c>
      <c r="B1035" s="7" t="s">
        <v>1850</v>
      </c>
      <c r="C1035" s="7" t="s">
        <v>1420</v>
      </c>
      <c r="D1035" s="7" t="s">
        <v>1851</v>
      </c>
      <c r="E1035" s="7" t="s">
        <v>11</v>
      </c>
      <c r="F1035" s="7"/>
      <c r="G1035" s="7" t="s">
        <v>345</v>
      </c>
      <c r="H1035" s="7"/>
      <c r="I1035" s="10">
        <v>44756</v>
      </c>
      <c r="J1035" s="7" t="s">
        <v>192</v>
      </c>
      <c r="K1035" s="7" t="s">
        <v>19</v>
      </c>
      <c r="L1035" s="7" t="s">
        <v>20</v>
      </c>
      <c r="M1035" s="7" t="s">
        <v>21</v>
      </c>
    </row>
    <row r="1036" spans="1:13" x14ac:dyDescent="0.3">
      <c r="A1036" s="7" t="str">
        <f>HYPERLINK("https://hsdes.intel.com/resource/14013157715","14013157715")</f>
        <v>14013157715</v>
      </c>
      <c r="B1036" s="7" t="s">
        <v>1852</v>
      </c>
      <c r="C1036" s="7" t="s">
        <v>1420</v>
      </c>
      <c r="D1036" s="7" t="s">
        <v>1853</v>
      </c>
      <c r="E1036" s="7" t="s">
        <v>11</v>
      </c>
      <c r="F1036" s="7"/>
      <c r="G1036" s="7" t="s">
        <v>1849</v>
      </c>
      <c r="H1036" s="7"/>
      <c r="I1036" s="10">
        <v>44754</v>
      </c>
      <c r="J1036" s="7" t="s">
        <v>13</v>
      </c>
      <c r="K1036" s="7" t="s">
        <v>14</v>
      </c>
      <c r="L1036" s="7" t="s">
        <v>88</v>
      </c>
      <c r="M1036" s="7" t="s">
        <v>16</v>
      </c>
    </row>
    <row r="1037" spans="1:13" x14ac:dyDescent="0.3">
      <c r="A1037" s="7" t="str">
        <f>HYPERLINK("https://hsdes.intel.com/resource/14013157742","14013157742")</f>
        <v>14013157742</v>
      </c>
      <c r="B1037" s="7" t="s">
        <v>1854</v>
      </c>
      <c r="C1037" s="7" t="s">
        <v>1420</v>
      </c>
      <c r="D1037" s="7" t="s">
        <v>1855</v>
      </c>
      <c r="E1037" s="7" t="s">
        <v>11</v>
      </c>
      <c r="F1037" s="7"/>
      <c r="G1037" s="7" t="s">
        <v>1849</v>
      </c>
      <c r="H1037" s="7"/>
      <c r="I1037" s="10">
        <v>44754</v>
      </c>
      <c r="J1037" s="7" t="s">
        <v>13</v>
      </c>
      <c r="K1037" s="7" t="s">
        <v>14</v>
      </c>
      <c r="L1037" s="7" t="s">
        <v>88</v>
      </c>
      <c r="M1037" s="7" t="s">
        <v>16</v>
      </c>
    </row>
    <row r="1038" spans="1:13" x14ac:dyDescent="0.3">
      <c r="A1038" s="7" t="str">
        <f>HYPERLINK("https://hsdes.intel.com/resource/14013157743","14013157743")</f>
        <v>14013157743</v>
      </c>
      <c r="B1038" s="7" t="s">
        <v>1856</v>
      </c>
      <c r="C1038" s="7" t="s">
        <v>1420</v>
      </c>
      <c r="D1038" s="7" t="s">
        <v>1857</v>
      </c>
      <c r="E1038" s="7" t="s">
        <v>11</v>
      </c>
      <c r="F1038" s="7"/>
      <c r="G1038" s="7" t="s">
        <v>369</v>
      </c>
      <c r="H1038" s="7"/>
      <c r="I1038" s="10">
        <v>44764</v>
      </c>
      <c r="J1038" s="7" t="s">
        <v>192</v>
      </c>
      <c r="K1038" s="7" t="s">
        <v>14</v>
      </c>
      <c r="L1038" s="7" t="s">
        <v>297</v>
      </c>
      <c r="M1038" s="7" t="s">
        <v>24</v>
      </c>
    </row>
    <row r="1039" spans="1:13" x14ac:dyDescent="0.3">
      <c r="A1039" s="7" t="str">
        <f>HYPERLINK("https://hsdes.intel.com/resource/14013157749","14013157749")</f>
        <v>14013157749</v>
      </c>
      <c r="B1039" s="7" t="s">
        <v>1858</v>
      </c>
      <c r="C1039" s="7" t="s">
        <v>1420</v>
      </c>
      <c r="D1039" s="7" t="s">
        <v>1859</v>
      </c>
      <c r="E1039" s="7" t="s">
        <v>11</v>
      </c>
      <c r="F1039" s="7"/>
      <c r="G1039" s="7" t="s">
        <v>1429</v>
      </c>
      <c r="H1039" s="7"/>
      <c r="I1039" s="10">
        <v>44755</v>
      </c>
      <c r="J1039" s="7" t="s">
        <v>13</v>
      </c>
      <c r="K1039" s="7" t="s">
        <v>553</v>
      </c>
      <c r="L1039" s="7" t="s">
        <v>544</v>
      </c>
      <c r="M1039" s="7" t="s">
        <v>16</v>
      </c>
    </row>
    <row r="1040" spans="1:13" x14ac:dyDescent="0.3">
      <c r="A1040" s="7" t="str">
        <f>HYPERLINK("https://hsdes.intel.com/resource/14013157753","14013157753")</f>
        <v>14013157753</v>
      </c>
      <c r="B1040" s="7" t="s">
        <v>1795</v>
      </c>
      <c r="C1040" s="7" t="s">
        <v>1420</v>
      </c>
      <c r="D1040" s="7" t="s">
        <v>1860</v>
      </c>
      <c r="E1040" s="7" t="s">
        <v>11</v>
      </c>
      <c r="F1040" s="7"/>
      <c r="G1040" s="7" t="s">
        <v>1849</v>
      </c>
      <c r="H1040" s="7"/>
      <c r="I1040" s="10">
        <v>44755</v>
      </c>
      <c r="J1040" s="7" t="s">
        <v>13</v>
      </c>
      <c r="K1040" s="7" t="s">
        <v>14</v>
      </c>
      <c r="L1040" s="7" t="s">
        <v>88</v>
      </c>
      <c r="M1040" s="7" t="s">
        <v>16</v>
      </c>
    </row>
    <row r="1041" spans="1:13" x14ac:dyDescent="0.3">
      <c r="A1041" s="7" t="str">
        <f>HYPERLINK("https://hsdes.intel.com/resource/14013157784","14013157784")</f>
        <v>14013157784</v>
      </c>
      <c r="B1041" s="7" t="s">
        <v>1861</v>
      </c>
      <c r="C1041" s="7" t="s">
        <v>1420</v>
      </c>
      <c r="D1041" s="7" t="s">
        <v>1862</v>
      </c>
      <c r="E1041" s="7" t="s">
        <v>11</v>
      </c>
      <c r="F1041" s="7"/>
      <c r="G1041" s="7" t="s">
        <v>345</v>
      </c>
      <c r="H1041" s="7"/>
      <c r="I1041" s="10">
        <v>44760</v>
      </c>
      <c r="J1041" s="7" t="s">
        <v>192</v>
      </c>
      <c r="K1041" s="7" t="s">
        <v>296</v>
      </c>
      <c r="L1041" s="7" t="s">
        <v>297</v>
      </c>
      <c r="M1041" s="7" t="s">
        <v>24</v>
      </c>
    </row>
    <row r="1042" spans="1:13" x14ac:dyDescent="0.3">
      <c r="A1042" s="7" t="str">
        <f>HYPERLINK("https://hsdes.intel.com/resource/14013157808","14013157808")</f>
        <v>14013157808</v>
      </c>
      <c r="B1042" s="7" t="s">
        <v>1863</v>
      </c>
      <c r="C1042" s="7" t="s">
        <v>1420</v>
      </c>
      <c r="D1042" s="7" t="s">
        <v>1864</v>
      </c>
      <c r="E1042" s="7" t="s">
        <v>11</v>
      </c>
      <c r="F1042" s="7"/>
      <c r="G1042" s="7" t="s">
        <v>1849</v>
      </c>
      <c r="H1042" s="7"/>
      <c r="I1042" s="10">
        <v>44755</v>
      </c>
      <c r="J1042" s="7" t="s">
        <v>13</v>
      </c>
      <c r="K1042" s="7" t="s">
        <v>14</v>
      </c>
      <c r="L1042" s="7" t="s">
        <v>88</v>
      </c>
      <c r="M1042" s="7" t="s">
        <v>16</v>
      </c>
    </row>
    <row r="1043" spans="1:13" x14ac:dyDescent="0.3">
      <c r="A1043" s="7" t="str">
        <f>HYPERLINK("https://hsdes.intel.com/resource/14013157811","14013157811")</f>
        <v>14013157811</v>
      </c>
      <c r="B1043" s="7" t="s">
        <v>1865</v>
      </c>
      <c r="C1043" s="7" t="s">
        <v>1420</v>
      </c>
      <c r="D1043" s="7" t="s">
        <v>1866</v>
      </c>
      <c r="E1043" s="7" t="s">
        <v>11</v>
      </c>
      <c r="F1043" s="7"/>
      <c r="G1043" s="7" t="s">
        <v>1849</v>
      </c>
      <c r="H1043" s="7"/>
      <c r="I1043" s="10">
        <v>44755</v>
      </c>
      <c r="J1043" s="7" t="s">
        <v>13</v>
      </c>
      <c r="K1043" s="7" t="s">
        <v>14</v>
      </c>
      <c r="L1043" s="7" t="s">
        <v>88</v>
      </c>
      <c r="M1043" s="7" t="s">
        <v>16</v>
      </c>
    </row>
    <row r="1044" spans="1:13" x14ac:dyDescent="0.3">
      <c r="A1044" s="7" t="str">
        <f>HYPERLINK("https://hsdes.intel.com/resource/14013157817","14013157817")</f>
        <v>14013157817</v>
      </c>
      <c r="B1044" s="7" t="s">
        <v>1166</v>
      </c>
      <c r="C1044" s="7" t="s">
        <v>1420</v>
      </c>
      <c r="D1044" s="7" t="s">
        <v>1167</v>
      </c>
      <c r="E1044" s="7"/>
      <c r="F1044" s="7"/>
      <c r="G1044" s="7" t="s">
        <v>833</v>
      </c>
      <c r="H1044" s="7"/>
      <c r="I1044" s="7"/>
      <c r="J1044" s="7" t="s">
        <v>13</v>
      </c>
      <c r="K1044" s="7" t="s">
        <v>14</v>
      </c>
      <c r="L1044" s="7" t="s">
        <v>88</v>
      </c>
      <c r="M1044" s="7" t="s">
        <v>16</v>
      </c>
    </row>
    <row r="1045" spans="1:13" x14ac:dyDescent="0.3">
      <c r="A1045" s="7" t="str">
        <f>HYPERLINK("https://hsdes.intel.com/resource/14013157822","14013157822")</f>
        <v>14013157822</v>
      </c>
      <c r="B1045" s="7" t="s">
        <v>1169</v>
      </c>
      <c r="C1045" s="7" t="s">
        <v>1420</v>
      </c>
      <c r="D1045" s="7" t="s">
        <v>1170</v>
      </c>
      <c r="E1045" s="7"/>
      <c r="F1045" s="7"/>
      <c r="G1045" s="7" t="s">
        <v>833</v>
      </c>
      <c r="H1045" s="7"/>
      <c r="I1045" s="7"/>
      <c r="J1045" s="7" t="s">
        <v>13</v>
      </c>
      <c r="K1045" s="7" t="s">
        <v>14</v>
      </c>
      <c r="L1045" s="7" t="s">
        <v>88</v>
      </c>
      <c r="M1045" s="7" t="s">
        <v>16</v>
      </c>
    </row>
    <row r="1046" spans="1:13" x14ac:dyDescent="0.3">
      <c r="A1046" s="7" t="str">
        <f>HYPERLINK("https://hsdes.intel.com/resource/14013157826","14013157826")</f>
        <v>14013157826</v>
      </c>
      <c r="B1046" s="7" t="s">
        <v>1867</v>
      </c>
      <c r="C1046" s="7" t="s">
        <v>1420</v>
      </c>
      <c r="D1046" s="7" t="s">
        <v>1868</v>
      </c>
      <c r="E1046" s="7" t="s">
        <v>11</v>
      </c>
      <c r="F1046" s="7"/>
      <c r="G1046" s="7" t="s">
        <v>1461</v>
      </c>
      <c r="H1046" s="7"/>
      <c r="I1046" s="10">
        <v>44755</v>
      </c>
      <c r="J1046" s="7" t="s">
        <v>192</v>
      </c>
      <c r="K1046" s="7" t="s">
        <v>1515</v>
      </c>
      <c r="L1046" s="7" t="s">
        <v>291</v>
      </c>
      <c r="M1046" s="7" t="s">
        <v>21</v>
      </c>
    </row>
    <row r="1047" spans="1:13" x14ac:dyDescent="0.3">
      <c r="A1047" s="7" t="str">
        <f>HYPERLINK("https://hsdes.intel.com/resource/14013157922","14013157922")</f>
        <v>14013157922</v>
      </c>
      <c r="B1047" s="7" t="s">
        <v>1869</v>
      </c>
      <c r="C1047" s="7" t="s">
        <v>1420</v>
      </c>
      <c r="D1047" s="7" t="s">
        <v>1870</v>
      </c>
      <c r="E1047" s="7" t="s">
        <v>11</v>
      </c>
      <c r="F1047" s="7"/>
      <c r="G1047" s="7" t="s">
        <v>1849</v>
      </c>
      <c r="H1047" s="7"/>
      <c r="I1047" s="10">
        <v>44754</v>
      </c>
      <c r="J1047" s="7" t="s">
        <v>13</v>
      </c>
      <c r="K1047" s="7" t="s">
        <v>14</v>
      </c>
      <c r="L1047" s="7" t="s">
        <v>88</v>
      </c>
      <c r="M1047" s="7" t="s">
        <v>16</v>
      </c>
    </row>
    <row r="1048" spans="1:13" x14ac:dyDescent="0.3">
      <c r="A1048" s="7" t="str">
        <f>HYPERLINK("https://hsdes.intel.com/resource/14013157950","14013157950")</f>
        <v>14013157950</v>
      </c>
      <c r="B1048" s="7" t="s">
        <v>1871</v>
      </c>
      <c r="C1048" s="7" t="s">
        <v>1420</v>
      </c>
      <c r="D1048" s="7" t="s">
        <v>1872</v>
      </c>
      <c r="E1048" s="7" t="s">
        <v>838</v>
      </c>
      <c r="F1048" s="7" t="s">
        <v>1873</v>
      </c>
      <c r="G1048" s="7" t="s">
        <v>345</v>
      </c>
      <c r="H1048" s="7"/>
      <c r="I1048" s="10">
        <v>44757</v>
      </c>
      <c r="J1048" s="7" t="s">
        <v>13</v>
      </c>
      <c r="K1048" s="7" t="s">
        <v>93</v>
      </c>
      <c r="L1048" s="7" t="s">
        <v>94</v>
      </c>
      <c r="M1048" s="7" t="s">
        <v>16</v>
      </c>
    </row>
    <row r="1049" spans="1:13" x14ac:dyDescent="0.3">
      <c r="A1049" s="7" t="str">
        <f>HYPERLINK("https://hsdes.intel.com/resource/14013158076","14013158076")</f>
        <v>14013158076</v>
      </c>
      <c r="B1049" s="7" t="s">
        <v>1874</v>
      </c>
      <c r="C1049" s="7" t="s">
        <v>1420</v>
      </c>
      <c r="D1049" s="7" t="s">
        <v>1875</v>
      </c>
      <c r="E1049" s="7" t="s">
        <v>11</v>
      </c>
      <c r="F1049" s="7"/>
      <c r="G1049" s="7" t="s">
        <v>345</v>
      </c>
      <c r="H1049" s="7"/>
      <c r="I1049" s="10">
        <v>44756</v>
      </c>
      <c r="J1049" s="7" t="s">
        <v>13</v>
      </c>
      <c r="K1049" s="7" t="s">
        <v>19</v>
      </c>
      <c r="L1049" s="7" t="s">
        <v>20</v>
      </c>
      <c r="M1049" s="7" t="s">
        <v>16</v>
      </c>
    </row>
    <row r="1050" spans="1:13" x14ac:dyDescent="0.3">
      <c r="A1050" s="7" t="str">
        <f>HYPERLINK("https://hsdes.intel.com/resource/14013158089","14013158089")</f>
        <v>14013158089</v>
      </c>
      <c r="B1050" s="7" t="s">
        <v>1876</v>
      </c>
      <c r="C1050" s="7" t="s">
        <v>1420</v>
      </c>
      <c r="D1050" s="7" t="s">
        <v>1877</v>
      </c>
      <c r="E1050" s="7" t="s">
        <v>11</v>
      </c>
      <c r="F1050" s="7"/>
      <c r="G1050" s="7" t="s">
        <v>345</v>
      </c>
      <c r="H1050" s="7"/>
      <c r="I1050" s="10">
        <v>44755</v>
      </c>
      <c r="J1050" s="7" t="s">
        <v>13</v>
      </c>
      <c r="K1050" s="7" t="s">
        <v>19</v>
      </c>
      <c r="L1050" s="7" t="s">
        <v>20</v>
      </c>
      <c r="M1050" s="7" t="s">
        <v>21</v>
      </c>
    </row>
    <row r="1051" spans="1:13" x14ac:dyDescent="0.3">
      <c r="A1051" s="7" t="str">
        <f>HYPERLINK("https://hsdes.intel.com/resource/14013158096","14013158096")</f>
        <v>14013158096</v>
      </c>
      <c r="B1051" s="7" t="s">
        <v>1878</v>
      </c>
      <c r="C1051" s="7" t="s">
        <v>1420</v>
      </c>
      <c r="D1051" s="7" t="s">
        <v>1879</v>
      </c>
      <c r="E1051" s="7" t="s">
        <v>11</v>
      </c>
      <c r="F1051" s="7"/>
      <c r="G1051" s="7" t="s">
        <v>345</v>
      </c>
      <c r="H1051" s="7"/>
      <c r="I1051" s="10">
        <v>44755</v>
      </c>
      <c r="J1051" s="7" t="s">
        <v>13</v>
      </c>
      <c r="K1051" s="7" t="s">
        <v>19</v>
      </c>
      <c r="L1051" s="7" t="s">
        <v>20</v>
      </c>
      <c r="M1051" s="7" t="s">
        <v>24</v>
      </c>
    </row>
    <row r="1052" spans="1:13" x14ac:dyDescent="0.3">
      <c r="A1052" s="7" t="str">
        <f>HYPERLINK("https://hsdes.intel.com/resource/14013158099","14013158099")</f>
        <v>14013158099</v>
      </c>
      <c r="B1052" s="7" t="s">
        <v>1171</v>
      </c>
      <c r="C1052" s="7" t="s">
        <v>1420</v>
      </c>
      <c r="D1052" s="7" t="s">
        <v>1172</v>
      </c>
      <c r="E1052" s="7"/>
      <c r="F1052" s="7"/>
      <c r="G1052" s="7" t="s">
        <v>833</v>
      </c>
      <c r="H1052" s="7"/>
      <c r="I1052" s="7"/>
      <c r="J1052" s="7" t="s">
        <v>13</v>
      </c>
      <c r="K1052" s="7" t="s">
        <v>14</v>
      </c>
      <c r="L1052" s="7" t="s">
        <v>88</v>
      </c>
      <c r="M1052" s="7" t="s">
        <v>24</v>
      </c>
    </row>
    <row r="1053" spans="1:13" x14ac:dyDescent="0.3">
      <c r="A1053" s="7" t="str">
        <f>HYPERLINK("https://hsdes.intel.com/resource/14013158101","14013158101")</f>
        <v>14013158101</v>
      </c>
      <c r="B1053" s="7" t="s">
        <v>1174</v>
      </c>
      <c r="C1053" s="7" t="s">
        <v>1420</v>
      </c>
      <c r="D1053" s="7" t="s">
        <v>1175</v>
      </c>
      <c r="E1053" s="7"/>
      <c r="F1053" s="7"/>
      <c r="G1053" s="7" t="s">
        <v>833</v>
      </c>
      <c r="H1053" s="7"/>
      <c r="I1053" s="7"/>
      <c r="J1053" s="7" t="s">
        <v>13</v>
      </c>
      <c r="K1053" s="7" t="s">
        <v>14</v>
      </c>
      <c r="L1053" s="7" t="s">
        <v>88</v>
      </c>
      <c r="M1053" s="7" t="s">
        <v>24</v>
      </c>
    </row>
    <row r="1054" spans="1:13" x14ac:dyDescent="0.3">
      <c r="A1054" s="7" t="str">
        <f>HYPERLINK("https://hsdes.intel.com/resource/14013158103","14013158103")</f>
        <v>14013158103</v>
      </c>
      <c r="B1054" s="7" t="s">
        <v>1880</v>
      </c>
      <c r="C1054" s="7" t="s">
        <v>1420</v>
      </c>
      <c r="D1054" s="7" t="s">
        <v>1881</v>
      </c>
      <c r="E1054" s="7" t="s">
        <v>838</v>
      </c>
      <c r="F1054" s="7" t="s">
        <v>838</v>
      </c>
      <c r="G1054" s="7" t="s">
        <v>345</v>
      </c>
      <c r="H1054" s="7" t="s">
        <v>354</v>
      </c>
      <c r="I1054" s="10">
        <v>44756</v>
      </c>
      <c r="J1054" s="7" t="s">
        <v>13</v>
      </c>
      <c r="K1054" s="7" t="s">
        <v>19</v>
      </c>
      <c r="L1054" s="7" t="s">
        <v>20</v>
      </c>
      <c r="M1054" s="7" t="s">
        <v>16</v>
      </c>
    </row>
    <row r="1055" spans="1:13" x14ac:dyDescent="0.3">
      <c r="A1055" s="7" t="str">
        <f>HYPERLINK("https://hsdes.intel.com/resource/14013158128","14013158128")</f>
        <v>14013158128</v>
      </c>
      <c r="B1055" s="7" t="s">
        <v>1177</v>
      </c>
      <c r="C1055" s="7" t="s">
        <v>1420</v>
      </c>
      <c r="D1055" s="7" t="s">
        <v>1178</v>
      </c>
      <c r="E1055" s="7"/>
      <c r="F1055" s="7"/>
      <c r="G1055" s="7" t="s">
        <v>833</v>
      </c>
      <c r="H1055" s="7"/>
      <c r="I1055" s="7"/>
      <c r="J1055" s="7" t="s">
        <v>13</v>
      </c>
      <c r="K1055" s="7" t="s">
        <v>14</v>
      </c>
      <c r="L1055" s="7" t="s">
        <v>88</v>
      </c>
      <c r="M1055" s="7" t="s">
        <v>16</v>
      </c>
    </row>
    <row r="1056" spans="1:13" x14ac:dyDescent="0.3">
      <c r="A1056" s="7" t="str">
        <f>HYPERLINK("https://hsdes.intel.com/resource/14013158163","14013158163")</f>
        <v>14013158163</v>
      </c>
      <c r="B1056" s="7" t="s">
        <v>1882</v>
      </c>
      <c r="C1056" s="7" t="s">
        <v>1420</v>
      </c>
      <c r="D1056" s="7" t="s">
        <v>1883</v>
      </c>
      <c r="E1056" s="7" t="s">
        <v>11</v>
      </c>
      <c r="F1056" s="7"/>
      <c r="G1056" s="7" t="s">
        <v>345</v>
      </c>
      <c r="H1056" s="7"/>
      <c r="I1056" s="10">
        <v>44760</v>
      </c>
      <c r="J1056" s="7" t="s">
        <v>13</v>
      </c>
      <c r="K1056" s="7" t="s">
        <v>296</v>
      </c>
      <c r="L1056" s="7" t="s">
        <v>297</v>
      </c>
      <c r="M1056" s="7" t="s">
        <v>24</v>
      </c>
    </row>
    <row r="1057" spans="1:13" x14ac:dyDescent="0.3">
      <c r="A1057" s="7" t="str">
        <f>HYPERLINK("https://hsdes.intel.com/resource/14013158182","14013158182")</f>
        <v>14013158182</v>
      </c>
      <c r="B1057" s="7" t="s">
        <v>970</v>
      </c>
      <c r="C1057" s="7" t="s">
        <v>1420</v>
      </c>
      <c r="D1057" s="7" t="s">
        <v>971</v>
      </c>
      <c r="E1057" s="7"/>
      <c r="F1057" s="7"/>
      <c r="G1057" s="7" t="s">
        <v>833</v>
      </c>
      <c r="H1057" s="7"/>
      <c r="I1057" s="7"/>
      <c r="J1057" s="7" t="s">
        <v>13</v>
      </c>
      <c r="K1057" s="7" t="s">
        <v>639</v>
      </c>
      <c r="L1057" s="7" t="s">
        <v>110</v>
      </c>
      <c r="M1057" s="7" t="s">
        <v>16</v>
      </c>
    </row>
    <row r="1058" spans="1:13" x14ac:dyDescent="0.3">
      <c r="A1058" s="7" t="str">
        <f>HYPERLINK("https://hsdes.intel.com/resource/14013158256","14013158256")</f>
        <v>14013158256</v>
      </c>
      <c r="B1058" s="7" t="s">
        <v>1884</v>
      </c>
      <c r="C1058" s="7" t="s">
        <v>1420</v>
      </c>
      <c r="D1058" s="7" t="s">
        <v>1885</v>
      </c>
      <c r="E1058" s="7" t="s">
        <v>11</v>
      </c>
      <c r="F1058" s="7"/>
      <c r="G1058" s="7" t="s">
        <v>345</v>
      </c>
      <c r="H1058" s="7"/>
      <c r="I1058" s="10">
        <v>44755</v>
      </c>
      <c r="J1058" s="7" t="s">
        <v>192</v>
      </c>
      <c r="K1058" s="7" t="s">
        <v>19</v>
      </c>
      <c r="L1058" s="7" t="s">
        <v>20</v>
      </c>
      <c r="M1058" s="7" t="s">
        <v>16</v>
      </c>
    </row>
    <row r="1059" spans="1:13" x14ac:dyDescent="0.3">
      <c r="A1059" s="7" t="str">
        <f>HYPERLINK("https://hsdes.intel.com/resource/14013158276","14013158276")</f>
        <v>14013158276</v>
      </c>
      <c r="B1059" s="7" t="s">
        <v>1886</v>
      </c>
      <c r="C1059" s="7" t="s">
        <v>1420</v>
      </c>
      <c r="D1059" s="7" t="s">
        <v>1887</v>
      </c>
      <c r="E1059" s="7" t="s">
        <v>11</v>
      </c>
      <c r="F1059" s="7"/>
      <c r="G1059" s="7" t="s">
        <v>1482</v>
      </c>
      <c r="H1059" s="7"/>
      <c r="I1059" s="10">
        <v>44754</v>
      </c>
      <c r="J1059" s="7" t="s">
        <v>13</v>
      </c>
      <c r="K1059" s="7" t="s">
        <v>523</v>
      </c>
      <c r="L1059" s="7" t="s">
        <v>660</v>
      </c>
      <c r="M1059" s="7" t="s">
        <v>16</v>
      </c>
    </row>
    <row r="1060" spans="1:13" x14ac:dyDescent="0.3">
      <c r="A1060" s="7" t="str">
        <f>HYPERLINK("https://hsdes.intel.com/resource/14013158288","14013158288")</f>
        <v>14013158288</v>
      </c>
      <c r="B1060" s="7" t="s">
        <v>1888</v>
      </c>
      <c r="C1060" s="7" t="s">
        <v>1420</v>
      </c>
      <c r="D1060" s="7" t="s">
        <v>1889</v>
      </c>
      <c r="E1060" s="7" t="s">
        <v>838</v>
      </c>
      <c r="F1060" s="7" t="s">
        <v>1873</v>
      </c>
      <c r="G1060" s="7" t="s">
        <v>345</v>
      </c>
      <c r="H1060" s="7"/>
      <c r="I1060" s="10">
        <v>44757</v>
      </c>
      <c r="J1060" s="7" t="s">
        <v>13</v>
      </c>
      <c r="K1060" s="7" t="s">
        <v>93</v>
      </c>
      <c r="L1060" s="7" t="s">
        <v>94</v>
      </c>
      <c r="M1060" s="7" t="s">
        <v>16</v>
      </c>
    </row>
    <row r="1061" spans="1:13" x14ac:dyDescent="0.3">
      <c r="A1061" s="7" t="str">
        <f>HYPERLINK("https://hsdes.intel.com/resource/14013158290","14013158290")</f>
        <v>14013158290</v>
      </c>
      <c r="B1061" s="7" t="s">
        <v>1180</v>
      </c>
      <c r="C1061" s="7" t="s">
        <v>1420</v>
      </c>
      <c r="D1061" s="7" t="s">
        <v>1181</v>
      </c>
      <c r="E1061" s="7"/>
      <c r="F1061" s="7"/>
      <c r="G1061" s="7" t="s">
        <v>833</v>
      </c>
      <c r="H1061" s="7"/>
      <c r="I1061" s="7"/>
      <c r="J1061" s="7" t="s">
        <v>13</v>
      </c>
      <c r="K1061" s="7" t="s">
        <v>14</v>
      </c>
      <c r="L1061" s="7" t="s">
        <v>88</v>
      </c>
      <c r="M1061" s="7" t="s">
        <v>16</v>
      </c>
    </row>
    <row r="1062" spans="1:13" x14ac:dyDescent="0.3">
      <c r="A1062" s="7" t="str">
        <f>HYPERLINK("https://hsdes.intel.com/resource/14013158293","14013158293")</f>
        <v>14013158293</v>
      </c>
      <c r="B1062" s="7" t="s">
        <v>1890</v>
      </c>
      <c r="C1062" s="7" t="s">
        <v>1420</v>
      </c>
      <c r="D1062" s="7" t="s">
        <v>1891</v>
      </c>
      <c r="E1062" s="7" t="s">
        <v>37</v>
      </c>
      <c r="F1062" s="7" t="s">
        <v>37</v>
      </c>
      <c r="G1062" s="7" t="s">
        <v>369</v>
      </c>
      <c r="H1062" s="7"/>
      <c r="I1062" s="7"/>
      <c r="J1062" s="7" t="s">
        <v>13</v>
      </c>
      <c r="K1062" s="7" t="s">
        <v>33</v>
      </c>
      <c r="L1062" s="7" t="s">
        <v>34</v>
      </c>
      <c r="M1062" s="7" t="s">
        <v>16</v>
      </c>
    </row>
    <row r="1063" spans="1:13" x14ac:dyDescent="0.3">
      <c r="A1063" s="7" t="str">
        <f>HYPERLINK("https://hsdes.intel.com/resource/14013158306","14013158306")</f>
        <v>14013158306</v>
      </c>
      <c r="B1063" s="7" t="s">
        <v>1892</v>
      </c>
      <c r="C1063" s="7" t="s">
        <v>1420</v>
      </c>
      <c r="D1063" s="7" t="s">
        <v>1893</v>
      </c>
      <c r="E1063" s="7" t="s">
        <v>37</v>
      </c>
      <c r="F1063" s="7"/>
      <c r="G1063" s="7" t="s">
        <v>345</v>
      </c>
      <c r="H1063" s="7"/>
      <c r="I1063" s="10">
        <v>44755</v>
      </c>
      <c r="J1063" s="7" t="s">
        <v>192</v>
      </c>
      <c r="K1063" s="7" t="s">
        <v>19</v>
      </c>
      <c r="L1063" s="7" t="s">
        <v>20</v>
      </c>
      <c r="M1063" s="7" t="s">
        <v>24</v>
      </c>
    </row>
    <row r="1064" spans="1:13" x14ac:dyDescent="0.3">
      <c r="A1064" s="7" t="str">
        <f>HYPERLINK("https://hsdes.intel.com/resource/14013158308","14013158308")</f>
        <v>14013158308</v>
      </c>
      <c r="B1064" s="7" t="s">
        <v>1894</v>
      </c>
      <c r="C1064" s="7" t="s">
        <v>1420</v>
      </c>
      <c r="D1064" s="7" t="s">
        <v>1895</v>
      </c>
      <c r="E1064" s="7" t="s">
        <v>37</v>
      </c>
      <c r="F1064" s="7"/>
      <c r="G1064" s="7" t="s">
        <v>345</v>
      </c>
      <c r="H1064" s="7"/>
      <c r="I1064" s="10">
        <v>44756</v>
      </c>
      <c r="J1064" s="7" t="s">
        <v>192</v>
      </c>
      <c r="K1064" s="7" t="s">
        <v>19</v>
      </c>
      <c r="L1064" s="7" t="s">
        <v>20</v>
      </c>
      <c r="M1064" s="7" t="s">
        <v>16</v>
      </c>
    </row>
    <row r="1065" spans="1:13" x14ac:dyDescent="0.3">
      <c r="A1065" s="7" t="str">
        <f>HYPERLINK("https://hsdes.intel.com/resource/14013158313","14013158313")</f>
        <v>14013158313</v>
      </c>
      <c r="B1065" s="7" t="s">
        <v>1896</v>
      </c>
      <c r="C1065" s="7" t="s">
        <v>1420</v>
      </c>
      <c r="D1065" s="7" t="s">
        <v>1897</v>
      </c>
      <c r="E1065" s="7" t="s">
        <v>11</v>
      </c>
      <c r="F1065" s="7"/>
      <c r="G1065" s="7" t="s">
        <v>345</v>
      </c>
      <c r="H1065" s="7"/>
      <c r="I1065" s="10">
        <v>44756</v>
      </c>
      <c r="J1065" s="7" t="s">
        <v>13</v>
      </c>
      <c r="K1065" s="7" t="s">
        <v>19</v>
      </c>
      <c r="L1065" s="7" t="s">
        <v>20</v>
      </c>
      <c r="M1065" s="7" t="s">
        <v>21</v>
      </c>
    </row>
    <row r="1066" spans="1:13" x14ac:dyDescent="0.3">
      <c r="A1066" s="7" t="str">
        <f>HYPERLINK("https://hsdes.intel.com/resource/14013158318","14013158318")</f>
        <v>14013158318</v>
      </c>
      <c r="B1066" s="7" t="s">
        <v>1898</v>
      </c>
      <c r="C1066" s="7" t="s">
        <v>1420</v>
      </c>
      <c r="D1066" s="7" t="s">
        <v>1899</v>
      </c>
      <c r="E1066" s="7" t="s">
        <v>11</v>
      </c>
      <c r="F1066" s="7"/>
      <c r="G1066" s="7" t="s">
        <v>1849</v>
      </c>
      <c r="H1066" s="7"/>
      <c r="I1066" s="10">
        <v>44754</v>
      </c>
      <c r="J1066" s="7" t="s">
        <v>13</v>
      </c>
      <c r="K1066" s="7" t="s">
        <v>14</v>
      </c>
      <c r="L1066" s="7" t="s">
        <v>88</v>
      </c>
      <c r="M1066" s="7" t="s">
        <v>16</v>
      </c>
    </row>
    <row r="1067" spans="1:13" x14ac:dyDescent="0.3">
      <c r="A1067" s="7" t="str">
        <f>HYPERLINK("https://hsdes.intel.com/resource/14013158370","14013158370")</f>
        <v>14013158370</v>
      </c>
      <c r="B1067" s="7" t="s">
        <v>1900</v>
      </c>
      <c r="C1067" s="7" t="s">
        <v>1420</v>
      </c>
      <c r="D1067" s="7" t="s">
        <v>1901</v>
      </c>
      <c r="E1067" s="7" t="s">
        <v>11</v>
      </c>
      <c r="F1067" s="7"/>
      <c r="G1067" s="7" t="s">
        <v>1447</v>
      </c>
      <c r="H1067" s="7"/>
      <c r="I1067" s="10">
        <v>44754</v>
      </c>
      <c r="J1067" s="7" t="s">
        <v>13</v>
      </c>
      <c r="K1067" s="7" t="s">
        <v>157</v>
      </c>
      <c r="L1067" s="7" t="s">
        <v>158</v>
      </c>
      <c r="M1067" s="7" t="s">
        <v>16</v>
      </c>
    </row>
    <row r="1068" spans="1:13" x14ac:dyDescent="0.3">
      <c r="A1068" s="7" t="str">
        <f>HYPERLINK("https://hsdes.intel.com/resource/14013158378","14013158378")</f>
        <v>14013158378</v>
      </c>
      <c r="B1068" s="7" t="s">
        <v>1323</v>
      </c>
      <c r="C1068" s="7" t="s">
        <v>1420</v>
      </c>
      <c r="D1068" s="7" t="s">
        <v>1324</v>
      </c>
      <c r="E1068" s="7"/>
      <c r="F1068" s="7"/>
      <c r="G1068" s="7" t="s">
        <v>833</v>
      </c>
      <c r="H1068" s="7"/>
      <c r="I1068" s="7"/>
      <c r="J1068" s="7" t="s">
        <v>192</v>
      </c>
      <c r="K1068" s="7" t="s">
        <v>290</v>
      </c>
      <c r="L1068" s="7" t="s">
        <v>291</v>
      </c>
      <c r="M1068" s="7" t="s">
        <v>24</v>
      </c>
    </row>
    <row r="1069" spans="1:13" x14ac:dyDescent="0.3">
      <c r="A1069" s="7" t="str">
        <f>HYPERLINK("https://hsdes.intel.com/resource/14013158395","14013158395")</f>
        <v>14013158395</v>
      </c>
      <c r="B1069" s="7" t="s">
        <v>1902</v>
      </c>
      <c r="C1069" s="7" t="s">
        <v>1420</v>
      </c>
      <c r="D1069" s="7" t="s">
        <v>1903</v>
      </c>
      <c r="E1069" s="7" t="s">
        <v>11</v>
      </c>
      <c r="F1069" s="7"/>
      <c r="G1069" s="7" t="s">
        <v>345</v>
      </c>
      <c r="H1069" s="7"/>
      <c r="I1069" s="10">
        <v>44756</v>
      </c>
      <c r="J1069" s="7" t="s">
        <v>13</v>
      </c>
      <c r="K1069" s="7" t="s">
        <v>19</v>
      </c>
      <c r="L1069" s="7" t="s">
        <v>20</v>
      </c>
      <c r="M1069" s="7" t="s">
        <v>24</v>
      </c>
    </row>
    <row r="1070" spans="1:13" x14ac:dyDescent="0.3">
      <c r="A1070" s="7" t="str">
        <f>HYPERLINK("https://hsdes.intel.com/resource/14013158406","14013158406")</f>
        <v>14013158406</v>
      </c>
      <c r="B1070" s="7" t="s">
        <v>1904</v>
      </c>
      <c r="C1070" s="7" t="s">
        <v>1420</v>
      </c>
      <c r="D1070" s="7" t="s">
        <v>1905</v>
      </c>
      <c r="E1070" s="7" t="s">
        <v>11</v>
      </c>
      <c r="F1070" s="7"/>
      <c r="G1070" s="7" t="s">
        <v>1849</v>
      </c>
      <c r="H1070" s="7"/>
      <c r="I1070" s="10">
        <v>44754</v>
      </c>
      <c r="J1070" s="7" t="s">
        <v>13</v>
      </c>
      <c r="K1070" s="7" t="s">
        <v>14</v>
      </c>
      <c r="L1070" s="7" t="s">
        <v>88</v>
      </c>
      <c r="M1070" s="7" t="s">
        <v>16</v>
      </c>
    </row>
    <row r="1071" spans="1:13" x14ac:dyDescent="0.3">
      <c r="A1071" s="7" t="str">
        <f>HYPERLINK("https://hsdes.intel.com/resource/14013158435","14013158435")</f>
        <v>14013158435</v>
      </c>
      <c r="B1071" s="7" t="s">
        <v>1906</v>
      </c>
      <c r="C1071" s="7" t="s">
        <v>1420</v>
      </c>
      <c r="D1071" s="7" t="s">
        <v>1907</v>
      </c>
      <c r="E1071" s="7" t="s">
        <v>11</v>
      </c>
      <c r="F1071" s="7"/>
      <c r="G1071" s="7" t="s">
        <v>1461</v>
      </c>
      <c r="H1071" s="7"/>
      <c r="I1071" s="10">
        <v>44755</v>
      </c>
      <c r="J1071" s="7" t="s">
        <v>192</v>
      </c>
      <c r="K1071" s="7" t="s">
        <v>523</v>
      </c>
      <c r="L1071" s="7" t="s">
        <v>291</v>
      </c>
      <c r="M1071" s="7" t="s">
        <v>16</v>
      </c>
    </row>
    <row r="1072" spans="1:13" x14ac:dyDescent="0.3">
      <c r="A1072" s="7" t="str">
        <f>HYPERLINK("https://hsdes.intel.com/resource/14013158443","14013158443")</f>
        <v>14013158443</v>
      </c>
      <c r="B1072" s="7" t="s">
        <v>1908</v>
      </c>
      <c r="C1072" s="7" t="s">
        <v>1420</v>
      </c>
      <c r="D1072" s="7" t="s">
        <v>1909</v>
      </c>
      <c r="E1072" s="7" t="s">
        <v>11</v>
      </c>
      <c r="F1072" s="7"/>
      <c r="G1072" s="7" t="s">
        <v>1849</v>
      </c>
      <c r="H1072" s="7"/>
      <c r="I1072" s="10">
        <v>44756</v>
      </c>
      <c r="J1072" s="7" t="s">
        <v>13</v>
      </c>
      <c r="K1072" s="7" t="s">
        <v>14</v>
      </c>
      <c r="L1072" s="7" t="s">
        <v>88</v>
      </c>
      <c r="M1072" s="7" t="s">
        <v>16</v>
      </c>
    </row>
    <row r="1073" spans="1:13" x14ac:dyDescent="0.3">
      <c r="A1073" s="7" t="str">
        <f>HYPERLINK("https://hsdes.intel.com/resource/14013158446","14013158446")</f>
        <v>14013158446</v>
      </c>
      <c r="B1073" s="7" t="s">
        <v>1183</v>
      </c>
      <c r="C1073" s="7" t="s">
        <v>1420</v>
      </c>
      <c r="D1073" s="7" t="s">
        <v>1184</v>
      </c>
      <c r="E1073" s="7"/>
      <c r="F1073" s="7"/>
      <c r="G1073" s="7" t="s">
        <v>833</v>
      </c>
      <c r="H1073" s="7"/>
      <c r="I1073" s="7"/>
      <c r="J1073" s="7" t="s">
        <v>13</v>
      </c>
      <c r="K1073" s="7" t="s">
        <v>14</v>
      </c>
      <c r="L1073" s="7" t="s">
        <v>88</v>
      </c>
      <c r="M1073" s="7" t="s">
        <v>21</v>
      </c>
    </row>
    <row r="1074" spans="1:13" x14ac:dyDescent="0.3">
      <c r="A1074" s="7" t="str">
        <f>HYPERLINK("https://hsdes.intel.com/resource/14013158464","14013158464")</f>
        <v>14013158464</v>
      </c>
      <c r="B1074" s="7" t="s">
        <v>1910</v>
      </c>
      <c r="C1074" s="7" t="s">
        <v>1420</v>
      </c>
      <c r="D1074" s="7" t="s">
        <v>1911</v>
      </c>
      <c r="E1074" s="7" t="s">
        <v>11</v>
      </c>
      <c r="F1074" s="7"/>
      <c r="G1074" s="7" t="s">
        <v>1447</v>
      </c>
      <c r="H1074" s="7"/>
      <c r="I1074" s="10">
        <v>44761</v>
      </c>
      <c r="J1074" s="7" t="s">
        <v>13</v>
      </c>
      <c r="K1074" s="7" t="s">
        <v>523</v>
      </c>
      <c r="L1074" s="7" t="s">
        <v>660</v>
      </c>
      <c r="M1074" s="7" t="s">
        <v>24</v>
      </c>
    </row>
    <row r="1075" spans="1:13" x14ac:dyDescent="0.3">
      <c r="A1075" s="7" t="str">
        <f>HYPERLINK("https://hsdes.intel.com/resource/14013158470","14013158470")</f>
        <v>14013158470</v>
      </c>
      <c r="B1075" s="7" t="s">
        <v>1187</v>
      </c>
      <c r="C1075" s="7" t="s">
        <v>1420</v>
      </c>
      <c r="D1075" s="7" t="s">
        <v>1188</v>
      </c>
      <c r="E1075" s="7"/>
      <c r="F1075" s="7"/>
      <c r="G1075" s="7" t="s">
        <v>833</v>
      </c>
      <c r="H1075" s="7"/>
      <c r="I1075" s="7"/>
      <c r="J1075" s="7" t="s">
        <v>13</v>
      </c>
      <c r="K1075" s="7" t="s">
        <v>14</v>
      </c>
      <c r="L1075" s="7" t="s">
        <v>88</v>
      </c>
      <c r="M1075" s="7" t="s">
        <v>16</v>
      </c>
    </row>
    <row r="1076" spans="1:13" x14ac:dyDescent="0.3">
      <c r="A1076" s="7" t="str">
        <f>HYPERLINK("https://hsdes.intel.com/resource/14013158485","14013158485")</f>
        <v>14013158485</v>
      </c>
      <c r="B1076" s="7" t="s">
        <v>1190</v>
      </c>
      <c r="C1076" s="7" t="s">
        <v>1420</v>
      </c>
      <c r="D1076" s="7" t="s">
        <v>1191</v>
      </c>
      <c r="E1076" s="7" t="s">
        <v>342</v>
      </c>
      <c r="F1076" s="7" t="s">
        <v>833</v>
      </c>
      <c r="G1076" s="7" t="s">
        <v>345</v>
      </c>
      <c r="H1076" s="7"/>
      <c r="I1076" s="10">
        <v>44757</v>
      </c>
      <c r="J1076" s="7" t="s">
        <v>13</v>
      </c>
      <c r="K1076" s="7" t="s">
        <v>14</v>
      </c>
      <c r="L1076" s="7" t="s">
        <v>88</v>
      </c>
      <c r="M1076" s="7" t="s">
        <v>16</v>
      </c>
    </row>
    <row r="1077" spans="1:13" x14ac:dyDescent="0.3">
      <c r="A1077" s="7" t="str">
        <f>HYPERLINK("https://hsdes.intel.com/resource/14013158501","14013158501")</f>
        <v>14013158501</v>
      </c>
      <c r="B1077" s="7" t="s">
        <v>1193</v>
      </c>
      <c r="C1077" s="7" t="s">
        <v>1420</v>
      </c>
      <c r="D1077" s="7" t="s">
        <v>1194</v>
      </c>
      <c r="E1077" s="7" t="s">
        <v>11</v>
      </c>
      <c r="F1077" s="7" t="s">
        <v>833</v>
      </c>
      <c r="G1077" s="7" t="s">
        <v>345</v>
      </c>
      <c r="H1077" s="7"/>
      <c r="I1077" s="10">
        <v>44757</v>
      </c>
      <c r="J1077" s="7" t="s">
        <v>13</v>
      </c>
      <c r="K1077" s="7" t="s">
        <v>14</v>
      </c>
      <c r="L1077" s="7" t="s">
        <v>88</v>
      </c>
      <c r="M1077" s="7" t="s">
        <v>16</v>
      </c>
    </row>
    <row r="1078" spans="1:13" x14ac:dyDescent="0.3">
      <c r="A1078" s="7" t="str">
        <f>HYPERLINK("https://hsdes.intel.com/resource/14013158511","14013158511")</f>
        <v>14013158511</v>
      </c>
      <c r="B1078" s="7" t="s">
        <v>1912</v>
      </c>
      <c r="C1078" s="7" t="s">
        <v>1420</v>
      </c>
      <c r="D1078" s="7" t="s">
        <v>1913</v>
      </c>
      <c r="E1078" s="7" t="s">
        <v>11</v>
      </c>
      <c r="F1078" s="7"/>
      <c r="G1078" s="7" t="s">
        <v>1849</v>
      </c>
      <c r="H1078" s="7"/>
      <c r="I1078" s="10">
        <v>44754</v>
      </c>
      <c r="J1078" s="7" t="s">
        <v>13</v>
      </c>
      <c r="K1078" s="7" t="s">
        <v>14</v>
      </c>
      <c r="L1078" s="7" t="s">
        <v>88</v>
      </c>
      <c r="M1078" s="7" t="s">
        <v>16</v>
      </c>
    </row>
    <row r="1079" spans="1:13" x14ac:dyDescent="0.3">
      <c r="A1079" s="7" t="str">
        <f>HYPERLINK("https://hsdes.intel.com/resource/14013158520","14013158520")</f>
        <v>14013158520</v>
      </c>
      <c r="B1079" s="7" t="s">
        <v>1914</v>
      </c>
      <c r="C1079" s="7" t="s">
        <v>1420</v>
      </c>
      <c r="D1079" s="7" t="s">
        <v>1915</v>
      </c>
      <c r="E1079" s="7" t="s">
        <v>11</v>
      </c>
      <c r="F1079" s="7"/>
      <c r="G1079" s="7" t="s">
        <v>1482</v>
      </c>
      <c r="H1079" s="7"/>
      <c r="I1079" s="10">
        <v>44754</v>
      </c>
      <c r="J1079" s="7" t="s">
        <v>13</v>
      </c>
      <c r="K1079" s="7" t="s">
        <v>1334</v>
      </c>
      <c r="L1079" s="7" t="s">
        <v>660</v>
      </c>
      <c r="M1079" s="7" t="s">
        <v>16</v>
      </c>
    </row>
    <row r="1080" spans="1:13" x14ac:dyDescent="0.3">
      <c r="A1080" s="7" t="str">
        <f>HYPERLINK("https://hsdes.intel.com/resource/14013158536","14013158536")</f>
        <v>14013158536</v>
      </c>
      <c r="B1080" s="7" t="s">
        <v>1916</v>
      </c>
      <c r="C1080" s="7" t="s">
        <v>1420</v>
      </c>
      <c r="D1080" s="7" t="s">
        <v>1917</v>
      </c>
      <c r="E1080" s="7" t="s">
        <v>11</v>
      </c>
      <c r="F1080" s="7"/>
      <c r="G1080" s="7" t="s">
        <v>1849</v>
      </c>
      <c r="H1080" s="7"/>
      <c r="I1080" s="10">
        <v>44754</v>
      </c>
      <c r="J1080" s="7" t="s">
        <v>13</v>
      </c>
      <c r="K1080" s="7" t="s">
        <v>14</v>
      </c>
      <c r="L1080" s="7" t="s">
        <v>88</v>
      </c>
      <c r="M1080" s="7" t="s">
        <v>16</v>
      </c>
    </row>
    <row r="1081" spans="1:13" x14ac:dyDescent="0.3">
      <c r="A1081" s="7" t="str">
        <f>HYPERLINK("https://hsdes.intel.com/resource/14013158554","14013158554")</f>
        <v>14013158554</v>
      </c>
      <c r="B1081" s="7" t="s">
        <v>1918</v>
      </c>
      <c r="C1081" s="7" t="s">
        <v>1420</v>
      </c>
      <c r="D1081" s="7" t="s">
        <v>1919</v>
      </c>
      <c r="E1081" s="7" t="s">
        <v>11</v>
      </c>
      <c r="F1081" s="7" t="s">
        <v>1920</v>
      </c>
      <c r="G1081" s="7" t="s">
        <v>354</v>
      </c>
      <c r="H1081" s="7"/>
      <c r="I1081" s="10">
        <v>44761</v>
      </c>
      <c r="J1081" s="7" t="s">
        <v>13</v>
      </c>
      <c r="K1081" s="7" t="s">
        <v>296</v>
      </c>
      <c r="L1081" s="7" t="s">
        <v>297</v>
      </c>
      <c r="M1081" s="7" t="s">
        <v>21</v>
      </c>
    </row>
    <row r="1082" spans="1:13" x14ac:dyDescent="0.3">
      <c r="A1082" s="7" t="str">
        <f>HYPERLINK("https://hsdes.intel.com/resource/14013158557","14013158557")</f>
        <v>14013158557</v>
      </c>
      <c r="B1082" s="7" t="s">
        <v>1921</v>
      </c>
      <c r="C1082" s="7" t="s">
        <v>1420</v>
      </c>
      <c r="D1082" s="7" t="s">
        <v>1922</v>
      </c>
      <c r="E1082" s="7" t="s">
        <v>11</v>
      </c>
      <c r="F1082" s="7"/>
      <c r="G1082" s="7" t="s">
        <v>1482</v>
      </c>
      <c r="H1082" s="7"/>
      <c r="I1082" s="10">
        <v>44754</v>
      </c>
      <c r="J1082" s="7" t="s">
        <v>13</v>
      </c>
      <c r="K1082" s="7" t="s">
        <v>45</v>
      </c>
      <c r="L1082" s="7" t="s">
        <v>15</v>
      </c>
      <c r="M1082" s="7" t="s">
        <v>16</v>
      </c>
    </row>
    <row r="1083" spans="1:13" x14ac:dyDescent="0.3">
      <c r="A1083" s="7" t="str">
        <f>HYPERLINK("https://hsdes.intel.com/resource/14013158668","14013158668")</f>
        <v>14013158668</v>
      </c>
      <c r="B1083" s="7" t="s">
        <v>1923</v>
      </c>
      <c r="C1083" s="7" t="s">
        <v>1420</v>
      </c>
      <c r="D1083" s="7" t="s">
        <v>1924</v>
      </c>
      <c r="E1083" s="7" t="s">
        <v>37</v>
      </c>
      <c r="F1083" s="7" t="s">
        <v>352</v>
      </c>
      <c r="G1083" s="7" t="s">
        <v>345</v>
      </c>
      <c r="H1083" s="7"/>
      <c r="I1083" s="10">
        <v>44755</v>
      </c>
      <c r="J1083" s="7" t="s">
        <v>13</v>
      </c>
      <c r="K1083" s="7" t="s">
        <v>19</v>
      </c>
      <c r="L1083" s="7" t="s">
        <v>20</v>
      </c>
      <c r="M1083" s="7" t="s">
        <v>24</v>
      </c>
    </row>
    <row r="1084" spans="1:13" x14ac:dyDescent="0.3">
      <c r="A1084" s="7" t="str">
        <f>HYPERLINK("https://hsdes.intel.com/resource/14013158670","14013158670")</f>
        <v>14013158670</v>
      </c>
      <c r="B1084" s="7" t="s">
        <v>1925</v>
      </c>
      <c r="C1084" s="7" t="s">
        <v>1420</v>
      </c>
      <c r="D1084" s="7" t="s">
        <v>1926</v>
      </c>
      <c r="E1084" s="7" t="s">
        <v>37</v>
      </c>
      <c r="F1084" s="7" t="s">
        <v>352</v>
      </c>
      <c r="G1084" s="7" t="s">
        <v>345</v>
      </c>
      <c r="H1084" s="7"/>
      <c r="I1084" s="10">
        <v>44755</v>
      </c>
      <c r="J1084" s="7" t="s">
        <v>13</v>
      </c>
      <c r="K1084" s="7" t="s">
        <v>19</v>
      </c>
      <c r="L1084" s="7" t="s">
        <v>20</v>
      </c>
      <c r="M1084" s="7" t="s">
        <v>24</v>
      </c>
    </row>
    <row r="1085" spans="1:13" x14ac:dyDescent="0.3">
      <c r="A1085" s="7" t="str">
        <f>HYPERLINK("https://hsdes.intel.com/resource/14013158691","14013158691")</f>
        <v>14013158691</v>
      </c>
      <c r="B1085" s="7" t="s">
        <v>1927</v>
      </c>
      <c r="C1085" s="7" t="s">
        <v>1420</v>
      </c>
      <c r="D1085" s="7" t="s">
        <v>1928</v>
      </c>
      <c r="E1085" s="7" t="s">
        <v>11</v>
      </c>
      <c r="F1085" s="7"/>
      <c r="G1085" s="7" t="s">
        <v>345</v>
      </c>
      <c r="H1085" s="7"/>
      <c r="I1085" s="10">
        <v>44755</v>
      </c>
      <c r="J1085" s="7" t="s">
        <v>13</v>
      </c>
      <c r="K1085" s="7" t="s">
        <v>19</v>
      </c>
      <c r="L1085" s="7" t="s">
        <v>20</v>
      </c>
      <c r="M1085" s="7" t="s">
        <v>16</v>
      </c>
    </row>
    <row r="1086" spans="1:13" x14ac:dyDescent="0.3">
      <c r="A1086" s="7" t="str">
        <f>HYPERLINK("https://hsdes.intel.com/resource/14013158695","14013158695")</f>
        <v>14013158695</v>
      </c>
      <c r="B1086" s="7" t="s">
        <v>187</v>
      </c>
      <c r="C1086" s="7" t="s">
        <v>1420</v>
      </c>
      <c r="D1086" s="7" t="s">
        <v>188</v>
      </c>
      <c r="E1086" s="7"/>
      <c r="F1086" s="7" t="s">
        <v>1135</v>
      </c>
      <c r="G1086" s="7" t="s">
        <v>9</v>
      </c>
      <c r="H1086" s="7"/>
      <c r="I1086" s="10"/>
      <c r="J1086" s="7" t="s">
        <v>13</v>
      </c>
      <c r="K1086" s="7" t="s">
        <v>19</v>
      </c>
      <c r="L1086" s="7" t="s">
        <v>20</v>
      </c>
      <c r="M1086" s="7" t="s">
        <v>21</v>
      </c>
    </row>
    <row r="1087" spans="1:13" x14ac:dyDescent="0.3">
      <c r="A1087" s="7" t="str">
        <f>HYPERLINK("https://hsdes.intel.com/resource/14013158711","14013158711")</f>
        <v>14013158711</v>
      </c>
      <c r="B1087" s="7" t="s">
        <v>1929</v>
      </c>
      <c r="C1087" s="7" t="s">
        <v>1420</v>
      </c>
      <c r="D1087" s="7" t="s">
        <v>1930</v>
      </c>
      <c r="E1087" s="7" t="s">
        <v>11</v>
      </c>
      <c r="F1087" s="7"/>
      <c r="G1087" s="7" t="s">
        <v>345</v>
      </c>
      <c r="H1087" s="7"/>
      <c r="I1087" s="10">
        <v>44755</v>
      </c>
      <c r="J1087" s="7" t="s">
        <v>13</v>
      </c>
      <c r="K1087" s="7" t="s">
        <v>19</v>
      </c>
      <c r="L1087" s="7" t="s">
        <v>20</v>
      </c>
      <c r="M1087" s="7" t="s">
        <v>21</v>
      </c>
    </row>
    <row r="1088" spans="1:13" x14ac:dyDescent="0.3">
      <c r="A1088" s="7" t="str">
        <f>HYPERLINK("https://hsdes.intel.com/resource/14013158731","14013158731")</f>
        <v>14013158731</v>
      </c>
      <c r="B1088" s="7" t="s">
        <v>1931</v>
      </c>
      <c r="C1088" s="7" t="s">
        <v>1420</v>
      </c>
      <c r="D1088" s="7" t="s">
        <v>1932</v>
      </c>
      <c r="E1088" s="7" t="s">
        <v>11</v>
      </c>
      <c r="F1088" s="7"/>
      <c r="G1088" s="7" t="s">
        <v>345</v>
      </c>
      <c r="H1088" s="7"/>
      <c r="I1088" s="10">
        <v>44756</v>
      </c>
      <c r="J1088" s="7" t="s">
        <v>13</v>
      </c>
      <c r="K1088" s="7" t="s">
        <v>19</v>
      </c>
      <c r="L1088" s="7" t="s">
        <v>20</v>
      </c>
      <c r="M1088" s="7" t="s">
        <v>24</v>
      </c>
    </row>
    <row r="1089" spans="1:13" x14ac:dyDescent="0.3">
      <c r="A1089" s="7" t="str">
        <f>HYPERLINK("https://hsdes.intel.com/resource/14013158739","14013158739")</f>
        <v>14013158739</v>
      </c>
      <c r="B1089" s="7" t="s">
        <v>1933</v>
      </c>
      <c r="C1089" s="7" t="s">
        <v>1420</v>
      </c>
      <c r="D1089" s="7" t="s">
        <v>1934</v>
      </c>
      <c r="E1089" s="7" t="s">
        <v>11</v>
      </c>
      <c r="F1089" s="7"/>
      <c r="G1089" s="7" t="s">
        <v>345</v>
      </c>
      <c r="H1089" s="7"/>
      <c r="I1089" s="10">
        <v>44756</v>
      </c>
      <c r="J1089" s="7" t="s">
        <v>13</v>
      </c>
      <c r="K1089" s="7" t="s">
        <v>19</v>
      </c>
      <c r="L1089" s="7" t="s">
        <v>20</v>
      </c>
      <c r="M1089" s="7" t="s">
        <v>24</v>
      </c>
    </row>
    <row r="1090" spans="1:13" x14ac:dyDescent="0.3">
      <c r="A1090" s="7" t="str">
        <f>HYPERLINK("https://hsdes.intel.com/resource/14013158753","14013158753")</f>
        <v>14013158753</v>
      </c>
      <c r="B1090" s="7" t="s">
        <v>1935</v>
      </c>
      <c r="C1090" s="7" t="s">
        <v>1420</v>
      </c>
      <c r="D1090" s="7" t="s">
        <v>1936</v>
      </c>
      <c r="E1090" s="7" t="s">
        <v>11</v>
      </c>
      <c r="F1090" s="7"/>
      <c r="G1090" s="7" t="s">
        <v>1482</v>
      </c>
      <c r="H1090" s="7"/>
      <c r="I1090" s="10">
        <v>44754</v>
      </c>
      <c r="J1090" s="7" t="s">
        <v>13</v>
      </c>
      <c r="K1090" s="7" t="s">
        <v>1334</v>
      </c>
      <c r="L1090" s="7" t="s">
        <v>660</v>
      </c>
      <c r="M1090" s="7" t="s">
        <v>16</v>
      </c>
    </row>
    <row r="1091" spans="1:13" x14ac:dyDescent="0.3">
      <c r="A1091" s="7" t="str">
        <f>HYPERLINK("https://hsdes.intel.com/resource/14013158782","14013158782")</f>
        <v>14013158782</v>
      </c>
      <c r="B1091" s="7" t="s">
        <v>1937</v>
      </c>
      <c r="C1091" s="7" t="s">
        <v>1420</v>
      </c>
      <c r="D1091" s="7" t="s">
        <v>1938</v>
      </c>
      <c r="E1091" s="7" t="s">
        <v>11</v>
      </c>
      <c r="F1091" s="7"/>
      <c r="G1091" s="7" t="s">
        <v>1432</v>
      </c>
      <c r="H1091" s="7"/>
      <c r="I1091" s="10">
        <v>44755</v>
      </c>
      <c r="J1091" s="7" t="s">
        <v>13</v>
      </c>
      <c r="K1091" s="7" t="s">
        <v>1433</v>
      </c>
      <c r="L1091" s="7" t="s">
        <v>1434</v>
      </c>
      <c r="M1091" s="7" t="s">
        <v>21</v>
      </c>
    </row>
    <row r="1092" spans="1:13" x14ac:dyDescent="0.3">
      <c r="A1092" s="7" t="str">
        <f>HYPERLINK("https://hsdes.intel.com/resource/14013158784","14013158784")</f>
        <v>14013158784</v>
      </c>
      <c r="B1092" s="7" t="s">
        <v>1939</v>
      </c>
      <c r="C1092" s="7" t="s">
        <v>1420</v>
      </c>
      <c r="D1092" s="7" t="s">
        <v>1940</v>
      </c>
      <c r="E1092" s="7" t="s">
        <v>11</v>
      </c>
      <c r="F1092" s="7"/>
      <c r="G1092" s="7" t="s">
        <v>1432</v>
      </c>
      <c r="H1092" s="7"/>
      <c r="I1092" s="10">
        <v>44755</v>
      </c>
      <c r="J1092" s="7" t="s">
        <v>13</v>
      </c>
      <c r="K1092" s="7" t="s">
        <v>1433</v>
      </c>
      <c r="L1092" s="7" t="s">
        <v>1434</v>
      </c>
      <c r="M1092" s="7" t="s">
        <v>16</v>
      </c>
    </row>
    <row r="1093" spans="1:13" x14ac:dyDescent="0.3">
      <c r="A1093" s="7" t="str">
        <f>HYPERLINK("https://hsdes.intel.com/resource/14013158786","14013158786")</f>
        <v>14013158786</v>
      </c>
      <c r="B1093" s="7" t="s">
        <v>1941</v>
      </c>
      <c r="C1093" s="7" t="s">
        <v>1420</v>
      </c>
      <c r="D1093" s="7" t="s">
        <v>1942</v>
      </c>
      <c r="E1093" s="7" t="s">
        <v>11</v>
      </c>
      <c r="F1093" s="7"/>
      <c r="G1093" s="7" t="s">
        <v>1432</v>
      </c>
      <c r="H1093" s="7"/>
      <c r="I1093" s="10">
        <v>44755</v>
      </c>
      <c r="J1093" s="7" t="s">
        <v>13</v>
      </c>
      <c r="K1093" s="7" t="s">
        <v>1433</v>
      </c>
      <c r="L1093" s="7" t="s">
        <v>1434</v>
      </c>
      <c r="M1093" s="7" t="s">
        <v>16</v>
      </c>
    </row>
    <row r="1094" spans="1:13" x14ac:dyDescent="0.3">
      <c r="A1094" s="7" t="str">
        <f>HYPERLINK("https://hsdes.intel.com/resource/14013158788","14013158788")</f>
        <v>14013158788</v>
      </c>
      <c r="B1094" s="7" t="s">
        <v>1943</v>
      </c>
      <c r="C1094" s="7" t="s">
        <v>1420</v>
      </c>
      <c r="D1094" s="7" t="s">
        <v>1944</v>
      </c>
      <c r="E1094" s="7" t="s">
        <v>11</v>
      </c>
      <c r="F1094" s="7"/>
      <c r="G1094" s="7" t="s">
        <v>1432</v>
      </c>
      <c r="H1094" s="7"/>
      <c r="I1094" s="10">
        <v>44755</v>
      </c>
      <c r="J1094" s="7" t="s">
        <v>13</v>
      </c>
      <c r="K1094" s="7" t="s">
        <v>1433</v>
      </c>
      <c r="L1094" s="7" t="s">
        <v>1434</v>
      </c>
      <c r="M1094" s="7" t="s">
        <v>24</v>
      </c>
    </row>
    <row r="1095" spans="1:13" x14ac:dyDescent="0.3">
      <c r="A1095" s="7" t="str">
        <f>HYPERLINK("https://hsdes.intel.com/resource/14013158792","14013158792")</f>
        <v>14013158792</v>
      </c>
      <c r="B1095" s="7" t="s">
        <v>190</v>
      </c>
      <c r="C1095" s="7" t="s">
        <v>1420</v>
      </c>
      <c r="D1095" s="7" t="s">
        <v>191</v>
      </c>
      <c r="E1095" s="7"/>
      <c r="F1095" s="7" t="s">
        <v>1945</v>
      </c>
      <c r="G1095" s="7" t="s">
        <v>9</v>
      </c>
      <c r="H1095" s="7"/>
      <c r="I1095" s="10"/>
      <c r="J1095" s="7" t="s">
        <v>192</v>
      </c>
      <c r="K1095" s="7" t="s">
        <v>19</v>
      </c>
      <c r="L1095" s="7" t="s">
        <v>20</v>
      </c>
      <c r="M1095" s="7" t="s">
        <v>21</v>
      </c>
    </row>
    <row r="1096" spans="1:13" x14ac:dyDescent="0.3">
      <c r="A1096" s="7" t="str">
        <f>HYPERLINK("https://hsdes.intel.com/resource/14013158797","14013158797")</f>
        <v>14013158797</v>
      </c>
      <c r="B1096" s="7" t="s">
        <v>1946</v>
      </c>
      <c r="C1096" s="7" t="s">
        <v>1420</v>
      </c>
      <c r="D1096" s="7" t="s">
        <v>1947</v>
      </c>
      <c r="E1096" s="7" t="s">
        <v>11</v>
      </c>
      <c r="F1096" s="7"/>
      <c r="G1096" s="7" t="s">
        <v>345</v>
      </c>
      <c r="H1096" s="7"/>
      <c r="I1096" s="10">
        <v>44756</v>
      </c>
      <c r="J1096" s="7" t="s">
        <v>13</v>
      </c>
      <c r="K1096" s="7" t="s">
        <v>19</v>
      </c>
      <c r="L1096" s="7" t="s">
        <v>20</v>
      </c>
      <c r="M1096" s="7" t="s">
        <v>16</v>
      </c>
    </row>
    <row r="1097" spans="1:13" x14ac:dyDescent="0.3">
      <c r="A1097" s="7" t="str">
        <f>HYPERLINK("https://hsdes.intel.com/resource/14013158804","14013158804")</f>
        <v>14013158804</v>
      </c>
      <c r="B1097" s="7" t="s">
        <v>1948</v>
      </c>
      <c r="C1097" s="7" t="s">
        <v>1420</v>
      </c>
      <c r="D1097" s="7" t="s">
        <v>1949</v>
      </c>
      <c r="E1097" s="7" t="s">
        <v>11</v>
      </c>
      <c r="F1097" s="7"/>
      <c r="G1097" s="7" t="s">
        <v>345</v>
      </c>
      <c r="H1097" s="7"/>
      <c r="I1097" s="10">
        <v>44756</v>
      </c>
      <c r="J1097" s="7" t="s">
        <v>13</v>
      </c>
      <c r="K1097" s="7" t="s">
        <v>19</v>
      </c>
      <c r="L1097" s="7" t="s">
        <v>20</v>
      </c>
      <c r="M1097" s="7" t="s">
        <v>16</v>
      </c>
    </row>
    <row r="1098" spans="1:13" x14ac:dyDescent="0.3">
      <c r="A1098" s="7" t="str">
        <f>HYPERLINK("https://hsdes.intel.com/resource/14013158806","14013158806")</f>
        <v>14013158806</v>
      </c>
      <c r="B1098" s="7" t="s">
        <v>1950</v>
      </c>
      <c r="C1098" s="7" t="s">
        <v>1420</v>
      </c>
      <c r="D1098" s="7" t="s">
        <v>1951</v>
      </c>
      <c r="E1098" s="7" t="s">
        <v>11</v>
      </c>
      <c r="F1098" s="7"/>
      <c r="G1098" s="7" t="s">
        <v>345</v>
      </c>
      <c r="H1098" s="7"/>
      <c r="I1098" s="10">
        <v>44755</v>
      </c>
      <c r="J1098" s="7" t="s">
        <v>13</v>
      </c>
      <c r="K1098" s="7" t="s">
        <v>19</v>
      </c>
      <c r="L1098" s="7" t="s">
        <v>20</v>
      </c>
      <c r="M1098" s="7" t="s">
        <v>24</v>
      </c>
    </row>
    <row r="1099" spans="1:13" x14ac:dyDescent="0.3">
      <c r="A1099" s="7" t="str">
        <f>HYPERLINK("https://hsdes.intel.com/resource/14013158809","14013158809")</f>
        <v>14013158809</v>
      </c>
      <c r="B1099" s="7" t="s">
        <v>1952</v>
      </c>
      <c r="C1099" s="7" t="s">
        <v>1420</v>
      </c>
      <c r="D1099" s="7" t="s">
        <v>1953</v>
      </c>
      <c r="E1099" s="7" t="s">
        <v>11</v>
      </c>
      <c r="F1099" s="7"/>
      <c r="G1099" s="7" t="s">
        <v>345</v>
      </c>
      <c r="H1099" s="7"/>
      <c r="I1099" s="10">
        <v>44755</v>
      </c>
      <c r="J1099" s="7" t="s">
        <v>13</v>
      </c>
      <c r="K1099" s="7" t="s">
        <v>19</v>
      </c>
      <c r="L1099" s="7" t="s">
        <v>20</v>
      </c>
      <c r="M1099" s="7" t="s">
        <v>24</v>
      </c>
    </row>
    <row r="1100" spans="1:13" x14ac:dyDescent="0.3">
      <c r="A1100" s="7" t="str">
        <f>HYPERLINK("https://hsdes.intel.com/resource/14013158811","14013158811")</f>
        <v>14013158811</v>
      </c>
      <c r="B1100" s="7" t="s">
        <v>1954</v>
      </c>
      <c r="C1100" s="7" t="s">
        <v>1420</v>
      </c>
      <c r="D1100" s="7" t="s">
        <v>1955</v>
      </c>
      <c r="E1100" s="7" t="s">
        <v>32</v>
      </c>
      <c r="F1100" s="7" t="s">
        <v>3615</v>
      </c>
      <c r="G1100" s="7" t="s">
        <v>369</v>
      </c>
      <c r="H1100" s="7" t="s">
        <v>369</v>
      </c>
      <c r="I1100" s="7"/>
      <c r="J1100" s="7" t="s">
        <v>13</v>
      </c>
      <c r="K1100" s="7" t="s">
        <v>296</v>
      </c>
      <c r="L1100" s="7" t="s">
        <v>297</v>
      </c>
      <c r="M1100" s="7" t="s">
        <v>21</v>
      </c>
    </row>
    <row r="1101" spans="1:13" x14ac:dyDescent="0.3">
      <c r="A1101" s="7" t="str">
        <f>HYPERLINK("https://hsdes.intel.com/resource/14013158815","14013158815")</f>
        <v>14013158815</v>
      </c>
      <c r="B1101" s="7" t="s">
        <v>1956</v>
      </c>
      <c r="C1101" s="7" t="s">
        <v>1420</v>
      </c>
      <c r="D1101" s="7" t="s">
        <v>1957</v>
      </c>
      <c r="E1101" s="7" t="s">
        <v>11</v>
      </c>
      <c r="F1101" s="7"/>
      <c r="G1101" s="7" t="s">
        <v>345</v>
      </c>
      <c r="H1101" s="7"/>
      <c r="I1101" s="10">
        <v>44756</v>
      </c>
      <c r="J1101" s="7" t="s">
        <v>13</v>
      </c>
      <c r="K1101" s="7" t="s">
        <v>19</v>
      </c>
      <c r="L1101" s="7" t="s">
        <v>20</v>
      </c>
      <c r="M1101" s="7" t="s">
        <v>21</v>
      </c>
    </row>
    <row r="1102" spans="1:13" x14ac:dyDescent="0.3">
      <c r="A1102" s="7" t="str">
        <f>HYPERLINK("https://hsdes.intel.com/resource/14013158817","14013158817")</f>
        <v>14013158817</v>
      </c>
      <c r="B1102" s="7" t="s">
        <v>1958</v>
      </c>
      <c r="C1102" s="7" t="s">
        <v>1420</v>
      </c>
      <c r="D1102" s="7" t="s">
        <v>1959</v>
      </c>
      <c r="E1102" s="7" t="s">
        <v>11</v>
      </c>
      <c r="F1102" s="7"/>
      <c r="G1102" s="7" t="s">
        <v>345</v>
      </c>
      <c r="H1102" s="7"/>
      <c r="I1102" s="10">
        <v>44756</v>
      </c>
      <c r="J1102" s="7" t="s">
        <v>13</v>
      </c>
      <c r="K1102" s="7" t="s">
        <v>19</v>
      </c>
      <c r="L1102" s="7" t="s">
        <v>20</v>
      </c>
      <c r="M1102" s="7" t="s">
        <v>21</v>
      </c>
    </row>
    <row r="1103" spans="1:13" x14ac:dyDescent="0.3">
      <c r="A1103" s="7" t="str">
        <f>HYPERLINK("https://hsdes.intel.com/resource/14013158819","14013158819")</f>
        <v>14013158819</v>
      </c>
      <c r="B1103" s="7" t="s">
        <v>1960</v>
      </c>
      <c r="C1103" s="7" t="s">
        <v>1420</v>
      </c>
      <c r="D1103" s="7" t="s">
        <v>1961</v>
      </c>
      <c r="E1103" s="7" t="s">
        <v>11</v>
      </c>
      <c r="F1103" s="7"/>
      <c r="G1103" s="7" t="s">
        <v>345</v>
      </c>
      <c r="H1103" s="7"/>
      <c r="I1103" s="10">
        <v>44756</v>
      </c>
      <c r="J1103" s="7" t="s">
        <v>13</v>
      </c>
      <c r="K1103" s="7" t="s">
        <v>19</v>
      </c>
      <c r="L1103" s="7" t="s">
        <v>20</v>
      </c>
      <c r="M1103" s="7" t="s">
        <v>21</v>
      </c>
    </row>
    <row r="1104" spans="1:13" x14ac:dyDescent="0.3">
      <c r="A1104" s="7" t="str">
        <f>HYPERLINK("https://hsdes.intel.com/resource/14013158821","14013158821")</f>
        <v>14013158821</v>
      </c>
      <c r="B1104" s="7" t="s">
        <v>1962</v>
      </c>
      <c r="C1104" s="7" t="s">
        <v>1420</v>
      </c>
      <c r="D1104" s="7" t="s">
        <v>1963</v>
      </c>
      <c r="E1104" s="7" t="s">
        <v>11</v>
      </c>
      <c r="F1104" s="7"/>
      <c r="G1104" s="7" t="s">
        <v>345</v>
      </c>
      <c r="H1104" s="7"/>
      <c r="I1104" s="10">
        <v>44756</v>
      </c>
      <c r="J1104" s="7" t="s">
        <v>13</v>
      </c>
      <c r="K1104" s="7" t="s">
        <v>19</v>
      </c>
      <c r="L1104" s="7" t="s">
        <v>20</v>
      </c>
      <c r="M1104" s="7" t="s">
        <v>21</v>
      </c>
    </row>
    <row r="1105" spans="1:13" x14ac:dyDescent="0.3">
      <c r="A1105" s="7" t="str">
        <f>HYPERLINK("https://hsdes.intel.com/resource/14013158823","14013158823")</f>
        <v>14013158823</v>
      </c>
      <c r="B1105" s="7" t="s">
        <v>1964</v>
      </c>
      <c r="C1105" s="7" t="s">
        <v>1420</v>
      </c>
      <c r="D1105" s="7" t="s">
        <v>1965</v>
      </c>
      <c r="E1105" s="7" t="s">
        <v>11</v>
      </c>
      <c r="F1105" s="7"/>
      <c r="G1105" s="7" t="s">
        <v>354</v>
      </c>
      <c r="H1105" s="7"/>
      <c r="I1105" s="10">
        <v>44756</v>
      </c>
      <c r="J1105" s="7" t="s">
        <v>13</v>
      </c>
      <c r="K1105" s="7" t="s">
        <v>19</v>
      </c>
      <c r="L1105" s="7" t="s">
        <v>20</v>
      </c>
      <c r="M1105" s="7" t="s">
        <v>21</v>
      </c>
    </row>
    <row r="1106" spans="1:13" x14ac:dyDescent="0.3">
      <c r="A1106" s="7" t="str">
        <f>HYPERLINK("https://hsdes.intel.com/resource/14013158825","14013158825")</f>
        <v>14013158825</v>
      </c>
      <c r="B1106" s="7" t="s">
        <v>1966</v>
      </c>
      <c r="C1106" s="7" t="s">
        <v>1420</v>
      </c>
      <c r="D1106" s="7" t="s">
        <v>1967</v>
      </c>
      <c r="E1106" s="7" t="s">
        <v>11</v>
      </c>
      <c r="F1106" s="7"/>
      <c r="G1106" s="7" t="s">
        <v>354</v>
      </c>
      <c r="H1106" s="7"/>
      <c r="I1106" s="10">
        <v>44756</v>
      </c>
      <c r="J1106" s="7" t="s">
        <v>13</v>
      </c>
      <c r="K1106" s="7" t="s">
        <v>19</v>
      </c>
      <c r="L1106" s="7" t="s">
        <v>20</v>
      </c>
      <c r="M1106" s="7" t="s">
        <v>21</v>
      </c>
    </row>
    <row r="1107" spans="1:13" x14ac:dyDescent="0.3">
      <c r="A1107" s="7" t="str">
        <f>HYPERLINK("https://hsdes.intel.com/resource/14013158834","14013158834")</f>
        <v>14013158834</v>
      </c>
      <c r="B1107" s="7" t="s">
        <v>1968</v>
      </c>
      <c r="C1107" s="7" t="s">
        <v>1420</v>
      </c>
      <c r="D1107" s="7" t="s">
        <v>1969</v>
      </c>
      <c r="E1107" s="7" t="s">
        <v>11</v>
      </c>
      <c r="F1107" s="7"/>
      <c r="G1107" s="7" t="s">
        <v>354</v>
      </c>
      <c r="H1107" s="7"/>
      <c r="I1107" s="10">
        <v>44756</v>
      </c>
      <c r="J1107" s="7" t="s">
        <v>13</v>
      </c>
      <c r="K1107" s="7" t="s">
        <v>19</v>
      </c>
      <c r="L1107" s="7" t="s">
        <v>20</v>
      </c>
      <c r="M1107" s="7" t="s">
        <v>21</v>
      </c>
    </row>
    <row r="1108" spans="1:13" x14ac:dyDescent="0.3">
      <c r="A1108" s="7" t="str">
        <f>HYPERLINK("https://hsdes.intel.com/resource/14013158836","14013158836")</f>
        <v>14013158836</v>
      </c>
      <c r="B1108" s="7" t="s">
        <v>1970</v>
      </c>
      <c r="C1108" s="7" t="s">
        <v>1420</v>
      </c>
      <c r="D1108" s="7" t="s">
        <v>1971</v>
      </c>
      <c r="E1108" s="7" t="s">
        <v>11</v>
      </c>
      <c r="F1108" s="7"/>
      <c r="G1108" s="7" t="s">
        <v>354</v>
      </c>
      <c r="H1108" s="7"/>
      <c r="I1108" s="10">
        <v>44756</v>
      </c>
      <c r="J1108" s="7" t="s">
        <v>13</v>
      </c>
      <c r="K1108" s="7" t="s">
        <v>19</v>
      </c>
      <c r="L1108" s="7" t="s">
        <v>20</v>
      </c>
      <c r="M1108" s="7" t="s">
        <v>21</v>
      </c>
    </row>
    <row r="1109" spans="1:13" x14ac:dyDescent="0.3">
      <c r="A1109" s="7" t="str">
        <f>HYPERLINK("https://hsdes.intel.com/resource/14013158841","14013158841")</f>
        <v>14013158841</v>
      </c>
      <c r="B1109" s="7" t="s">
        <v>1972</v>
      </c>
      <c r="C1109" s="7" t="s">
        <v>1420</v>
      </c>
      <c r="D1109" s="7" t="s">
        <v>1973</v>
      </c>
      <c r="E1109" s="7" t="s">
        <v>11</v>
      </c>
      <c r="F1109" s="7"/>
      <c r="G1109" s="7" t="s">
        <v>354</v>
      </c>
      <c r="H1109" s="7"/>
      <c r="I1109" s="10">
        <v>44756</v>
      </c>
      <c r="J1109" s="7" t="s">
        <v>13</v>
      </c>
      <c r="K1109" s="7" t="s">
        <v>19</v>
      </c>
      <c r="L1109" s="7" t="s">
        <v>20</v>
      </c>
      <c r="M1109" s="7" t="s">
        <v>24</v>
      </c>
    </row>
    <row r="1110" spans="1:13" x14ac:dyDescent="0.3">
      <c r="A1110" s="7" t="str">
        <f>HYPERLINK("https://hsdes.intel.com/resource/14013158843","14013158843")</f>
        <v>14013158843</v>
      </c>
      <c r="B1110" s="7" t="s">
        <v>1974</v>
      </c>
      <c r="C1110" s="7" t="s">
        <v>1420</v>
      </c>
      <c r="D1110" s="7" t="s">
        <v>1975</v>
      </c>
      <c r="E1110" s="7" t="s">
        <v>11</v>
      </c>
      <c r="F1110" s="7"/>
      <c r="G1110" s="7" t="s">
        <v>354</v>
      </c>
      <c r="H1110" s="7"/>
      <c r="I1110" s="10">
        <v>44756</v>
      </c>
      <c r="J1110" s="7" t="s">
        <v>13</v>
      </c>
      <c r="K1110" s="7" t="s">
        <v>19</v>
      </c>
      <c r="L1110" s="7" t="s">
        <v>20</v>
      </c>
      <c r="M1110" s="7" t="s">
        <v>21</v>
      </c>
    </row>
    <row r="1111" spans="1:13" x14ac:dyDescent="0.3">
      <c r="A1111" s="7" t="str">
        <f>HYPERLINK("https://hsdes.intel.com/resource/14013158846","14013158846")</f>
        <v>14013158846</v>
      </c>
      <c r="B1111" s="7" t="s">
        <v>1976</v>
      </c>
      <c r="C1111" s="7" t="s">
        <v>1420</v>
      </c>
      <c r="D1111" s="7" t="s">
        <v>1977</v>
      </c>
      <c r="E1111" s="7" t="s">
        <v>11</v>
      </c>
      <c r="F1111" s="7"/>
      <c r="G1111" s="7" t="s">
        <v>354</v>
      </c>
      <c r="H1111" s="7"/>
      <c r="I1111" s="10">
        <v>44756</v>
      </c>
      <c r="J1111" s="7" t="s">
        <v>13</v>
      </c>
      <c r="K1111" s="7" t="s">
        <v>19</v>
      </c>
      <c r="L1111" s="7" t="s">
        <v>20</v>
      </c>
      <c r="M1111" s="7" t="s">
        <v>24</v>
      </c>
    </row>
    <row r="1112" spans="1:13" x14ac:dyDescent="0.3">
      <c r="A1112" s="7" t="str">
        <f>HYPERLINK("https://hsdes.intel.com/resource/14013158871","14013158871")</f>
        <v>14013158871</v>
      </c>
      <c r="B1112" s="7" t="s">
        <v>1196</v>
      </c>
      <c r="C1112" s="7" t="s">
        <v>1420</v>
      </c>
      <c r="D1112" s="7" t="s">
        <v>1197</v>
      </c>
      <c r="E1112" s="7"/>
      <c r="F1112" s="7"/>
      <c r="G1112" s="7" t="s">
        <v>833</v>
      </c>
      <c r="H1112" s="7"/>
      <c r="I1112" s="7"/>
      <c r="J1112" s="7" t="s">
        <v>13</v>
      </c>
      <c r="K1112" s="7" t="s">
        <v>14</v>
      </c>
      <c r="L1112" s="7" t="s">
        <v>88</v>
      </c>
      <c r="M1112" s="7" t="s">
        <v>16</v>
      </c>
    </row>
    <row r="1113" spans="1:13" x14ac:dyDescent="0.3">
      <c r="A1113" s="7" t="str">
        <f>HYPERLINK("https://hsdes.intel.com/resource/14013158880","14013158880")</f>
        <v>14013158880</v>
      </c>
      <c r="B1113" s="7" t="s">
        <v>1978</v>
      </c>
      <c r="C1113" s="7" t="s">
        <v>1420</v>
      </c>
      <c r="D1113" s="7" t="s">
        <v>1979</v>
      </c>
      <c r="E1113" s="7" t="s">
        <v>32</v>
      </c>
      <c r="F1113" s="7" t="s">
        <v>1980</v>
      </c>
      <c r="G1113" s="7" t="s">
        <v>369</v>
      </c>
      <c r="H1113" s="7" t="s">
        <v>369</v>
      </c>
      <c r="I1113" s="7"/>
      <c r="J1113" s="7" t="s">
        <v>13</v>
      </c>
      <c r="K1113" s="7" t="s">
        <v>19</v>
      </c>
      <c r="L1113" s="7" t="s">
        <v>20</v>
      </c>
      <c r="M1113" s="7" t="s">
        <v>21</v>
      </c>
    </row>
    <row r="1114" spans="1:13" x14ac:dyDescent="0.3">
      <c r="A1114" s="7" t="str">
        <f>HYPERLINK("https://hsdes.intel.com/resource/14013158882","14013158882")</f>
        <v>14013158882</v>
      </c>
      <c r="B1114" s="7" t="s">
        <v>1981</v>
      </c>
      <c r="C1114" s="7" t="s">
        <v>1420</v>
      </c>
      <c r="D1114" s="7" t="s">
        <v>1982</v>
      </c>
      <c r="E1114" s="7" t="s">
        <v>32</v>
      </c>
      <c r="F1114" s="7" t="s">
        <v>1980</v>
      </c>
      <c r="G1114" s="7" t="s">
        <v>369</v>
      </c>
      <c r="H1114" s="7" t="s">
        <v>369</v>
      </c>
      <c r="I1114" s="7"/>
      <c r="J1114" s="7" t="s">
        <v>13</v>
      </c>
      <c r="K1114" s="7" t="s">
        <v>19</v>
      </c>
      <c r="L1114" s="7" t="s">
        <v>20</v>
      </c>
      <c r="M1114" s="7" t="s">
        <v>21</v>
      </c>
    </row>
    <row r="1115" spans="1:13" x14ac:dyDescent="0.3">
      <c r="A1115" s="7" t="str">
        <f>HYPERLINK("https://hsdes.intel.com/resource/14013158885","14013158885")</f>
        <v>14013158885</v>
      </c>
      <c r="B1115" s="7" t="s">
        <v>1983</v>
      </c>
      <c r="C1115" s="7" t="s">
        <v>1420</v>
      </c>
      <c r="D1115" s="7" t="s">
        <v>1984</v>
      </c>
      <c r="E1115" s="7" t="s">
        <v>11</v>
      </c>
      <c r="F1115" s="7"/>
      <c r="G1115" s="7" t="s">
        <v>345</v>
      </c>
      <c r="H1115" s="7"/>
      <c r="I1115" s="10">
        <v>44760</v>
      </c>
      <c r="J1115" s="7" t="s">
        <v>13</v>
      </c>
      <c r="K1115" s="7" t="s">
        <v>19</v>
      </c>
      <c r="L1115" s="7" t="s">
        <v>20</v>
      </c>
      <c r="M1115" s="7" t="s">
        <v>21</v>
      </c>
    </row>
    <row r="1116" spans="1:13" x14ac:dyDescent="0.3">
      <c r="A1116" s="7" t="str">
        <f>HYPERLINK("https://hsdes.intel.com/resource/14013158892","14013158892")</f>
        <v>14013158892</v>
      </c>
      <c r="B1116" s="7" t="s">
        <v>1985</v>
      </c>
      <c r="C1116" s="7" t="s">
        <v>1420</v>
      </c>
      <c r="D1116" s="7" t="s">
        <v>1986</v>
      </c>
      <c r="E1116" s="7" t="s">
        <v>11</v>
      </c>
      <c r="F1116" s="7"/>
      <c r="G1116" s="7" t="s">
        <v>345</v>
      </c>
      <c r="H1116" s="7"/>
      <c r="I1116" s="10">
        <v>44760</v>
      </c>
      <c r="J1116" s="7" t="s">
        <v>13</v>
      </c>
      <c r="K1116" s="7" t="s">
        <v>19</v>
      </c>
      <c r="L1116" s="7" t="s">
        <v>20</v>
      </c>
      <c r="M1116" s="7" t="s">
        <v>21</v>
      </c>
    </row>
    <row r="1117" spans="1:13" x14ac:dyDescent="0.3">
      <c r="A1117" s="7" t="str">
        <f>HYPERLINK("https://hsdes.intel.com/resource/14013158901","14013158901")</f>
        <v>14013158901</v>
      </c>
      <c r="B1117" s="7" t="s">
        <v>1987</v>
      </c>
      <c r="C1117" s="7" t="s">
        <v>1420</v>
      </c>
      <c r="D1117" s="7" t="s">
        <v>1988</v>
      </c>
      <c r="E1117" s="7" t="s">
        <v>11</v>
      </c>
      <c r="F1117" s="7"/>
      <c r="G1117" s="7" t="s">
        <v>369</v>
      </c>
      <c r="H1117" s="7"/>
      <c r="I1117" s="10">
        <v>44762</v>
      </c>
      <c r="J1117" s="7" t="s">
        <v>13</v>
      </c>
      <c r="K1117" s="7" t="s">
        <v>19</v>
      </c>
      <c r="L1117" s="7" t="s">
        <v>20</v>
      </c>
      <c r="M1117" s="7" t="s">
        <v>21</v>
      </c>
    </row>
    <row r="1118" spans="1:13" x14ac:dyDescent="0.3">
      <c r="A1118" s="7" t="str">
        <f>HYPERLINK("https://hsdes.intel.com/resource/14013158903","14013158903")</f>
        <v>14013158903</v>
      </c>
      <c r="B1118" s="7" t="s">
        <v>1989</v>
      </c>
      <c r="C1118" s="7" t="s">
        <v>1420</v>
      </c>
      <c r="D1118" s="7" t="s">
        <v>1990</v>
      </c>
      <c r="E1118" s="7" t="s">
        <v>1991</v>
      </c>
      <c r="F1118" s="7" t="s">
        <v>1994</v>
      </c>
      <c r="G1118" s="7" t="s">
        <v>354</v>
      </c>
      <c r="H1118" s="7" t="s">
        <v>343</v>
      </c>
      <c r="I1118" s="7"/>
      <c r="J1118" s="7" t="s">
        <v>13</v>
      </c>
      <c r="K1118" s="7" t="s">
        <v>19</v>
      </c>
      <c r="L1118" s="7" t="s">
        <v>20</v>
      </c>
      <c r="M1118" s="7" t="s">
        <v>21</v>
      </c>
    </row>
    <row r="1119" spans="1:13" x14ac:dyDescent="0.3">
      <c r="A1119" s="7" t="str">
        <f>HYPERLINK("https://hsdes.intel.com/resource/14013158905","14013158905")</f>
        <v>14013158905</v>
      </c>
      <c r="B1119" s="7" t="s">
        <v>1992</v>
      </c>
      <c r="C1119" s="7" t="s">
        <v>1420</v>
      </c>
      <c r="D1119" s="7" t="s">
        <v>1993</v>
      </c>
      <c r="E1119" s="7" t="s">
        <v>1991</v>
      </c>
      <c r="F1119" s="7" t="s">
        <v>1994</v>
      </c>
      <c r="G1119" s="7" t="s">
        <v>354</v>
      </c>
      <c r="H1119" s="7"/>
      <c r="I1119" s="7"/>
      <c r="J1119" s="7" t="s">
        <v>13</v>
      </c>
      <c r="K1119" s="7" t="s">
        <v>19</v>
      </c>
      <c r="L1119" s="7" t="s">
        <v>20</v>
      </c>
      <c r="M1119" s="7" t="s">
        <v>21</v>
      </c>
    </row>
    <row r="1120" spans="1:13" x14ac:dyDescent="0.3">
      <c r="A1120" s="7" t="str">
        <f>HYPERLINK("https://hsdes.intel.com/resource/14013158906","14013158906")</f>
        <v>14013158906</v>
      </c>
      <c r="B1120" s="7" t="s">
        <v>1995</v>
      </c>
      <c r="C1120" s="7" t="s">
        <v>1420</v>
      </c>
      <c r="D1120" s="7" t="s">
        <v>1996</v>
      </c>
      <c r="E1120" s="7" t="s">
        <v>1991</v>
      </c>
      <c r="F1120" s="7" t="s">
        <v>1994</v>
      </c>
      <c r="G1120" s="7" t="s">
        <v>354</v>
      </c>
      <c r="H1120" s="7"/>
      <c r="I1120" s="7"/>
      <c r="J1120" s="7" t="s">
        <v>13</v>
      </c>
      <c r="K1120" s="7" t="s">
        <v>19</v>
      </c>
      <c r="L1120" s="7" t="s">
        <v>20</v>
      </c>
      <c r="M1120" s="7" t="s">
        <v>21</v>
      </c>
    </row>
    <row r="1121" spans="1:13" x14ac:dyDescent="0.3">
      <c r="A1121" s="7" t="str">
        <f>HYPERLINK("https://hsdes.intel.com/resource/14013158908","14013158908")</f>
        <v>14013158908</v>
      </c>
      <c r="B1121" s="7" t="s">
        <v>1997</v>
      </c>
      <c r="C1121" s="7" t="s">
        <v>1420</v>
      </c>
      <c r="D1121" s="7" t="s">
        <v>1998</v>
      </c>
      <c r="E1121" s="7" t="s">
        <v>1991</v>
      </c>
      <c r="F1121" s="7" t="s">
        <v>1994</v>
      </c>
      <c r="G1121" s="7" t="s">
        <v>354</v>
      </c>
      <c r="H1121" s="7"/>
      <c r="I1121" s="7"/>
      <c r="J1121" s="7" t="s">
        <v>13</v>
      </c>
      <c r="K1121" s="7" t="s">
        <v>19</v>
      </c>
      <c r="L1121" s="7" t="s">
        <v>20</v>
      </c>
      <c r="M1121" s="7" t="s">
        <v>21</v>
      </c>
    </row>
    <row r="1122" spans="1:13" x14ac:dyDescent="0.3">
      <c r="A1122" s="7" t="str">
        <f>HYPERLINK("https://hsdes.intel.com/resource/14013158912","14013158912")</f>
        <v>14013158912</v>
      </c>
      <c r="B1122" s="7" t="s">
        <v>1999</v>
      </c>
      <c r="C1122" s="7" t="s">
        <v>1420</v>
      </c>
      <c r="D1122" s="7" t="s">
        <v>2000</v>
      </c>
      <c r="E1122" s="7" t="s">
        <v>11</v>
      </c>
      <c r="F1122" s="7"/>
      <c r="G1122" s="7" t="s">
        <v>369</v>
      </c>
      <c r="H1122" s="7"/>
      <c r="I1122" s="10">
        <v>44764</v>
      </c>
      <c r="J1122" s="7" t="s">
        <v>13</v>
      </c>
      <c r="K1122" s="7" t="s">
        <v>19</v>
      </c>
      <c r="L1122" s="7" t="s">
        <v>20</v>
      </c>
      <c r="M1122" s="7" t="s">
        <v>21</v>
      </c>
    </row>
    <row r="1123" spans="1:13" x14ac:dyDescent="0.3">
      <c r="A1123" s="7" t="str">
        <f>HYPERLINK("https://hsdes.intel.com/resource/14013158922","14013158922")</f>
        <v>14013158922</v>
      </c>
      <c r="B1123" s="7" t="s">
        <v>2001</v>
      </c>
      <c r="C1123" s="7" t="s">
        <v>1420</v>
      </c>
      <c r="D1123" s="7" t="s">
        <v>2002</v>
      </c>
      <c r="E1123" s="7" t="s">
        <v>1991</v>
      </c>
      <c r="F1123" s="7" t="s">
        <v>1994</v>
      </c>
      <c r="G1123" s="7" t="s">
        <v>354</v>
      </c>
      <c r="H1123" s="7"/>
      <c r="I1123" s="7"/>
      <c r="J1123" s="7" t="s">
        <v>13</v>
      </c>
      <c r="K1123" s="7" t="s">
        <v>19</v>
      </c>
      <c r="L1123" s="7" t="s">
        <v>20</v>
      </c>
      <c r="M1123" s="7" t="s">
        <v>21</v>
      </c>
    </row>
    <row r="1124" spans="1:13" x14ac:dyDescent="0.3">
      <c r="A1124" s="7" t="str">
        <f>HYPERLINK("https://hsdes.intel.com/resource/14013158926","14013158926")</f>
        <v>14013158926</v>
      </c>
      <c r="B1124" s="7" t="s">
        <v>2003</v>
      </c>
      <c r="C1124" s="7" t="s">
        <v>1420</v>
      </c>
      <c r="D1124" s="7" t="s">
        <v>2004</v>
      </c>
      <c r="E1124" s="7" t="s">
        <v>1991</v>
      </c>
      <c r="F1124" s="7" t="s">
        <v>1994</v>
      </c>
      <c r="G1124" s="7" t="s">
        <v>354</v>
      </c>
      <c r="H1124" s="7"/>
      <c r="I1124" s="7"/>
      <c r="J1124" s="7" t="s">
        <v>13</v>
      </c>
      <c r="K1124" s="7" t="s">
        <v>19</v>
      </c>
      <c r="L1124" s="7" t="s">
        <v>20</v>
      </c>
      <c r="M1124" s="7" t="s">
        <v>21</v>
      </c>
    </row>
    <row r="1125" spans="1:13" x14ac:dyDescent="0.3">
      <c r="A1125" s="7" t="str">
        <f>HYPERLINK("https://hsdes.intel.com/resource/14013158937","14013158937")</f>
        <v>14013158937</v>
      </c>
      <c r="B1125" s="7" t="s">
        <v>2005</v>
      </c>
      <c r="C1125" s="7" t="s">
        <v>1420</v>
      </c>
      <c r="D1125" s="7" t="s">
        <v>2006</v>
      </c>
      <c r="E1125" s="7" t="s">
        <v>11</v>
      </c>
      <c r="F1125" s="7"/>
      <c r="G1125" s="7" t="s">
        <v>354</v>
      </c>
      <c r="H1125" s="7"/>
      <c r="I1125" s="10">
        <v>44756</v>
      </c>
      <c r="J1125" s="7" t="s">
        <v>13</v>
      </c>
      <c r="K1125" s="7" t="s">
        <v>19</v>
      </c>
      <c r="L1125" s="7" t="s">
        <v>20</v>
      </c>
      <c r="M1125" s="7" t="s">
        <v>21</v>
      </c>
    </row>
    <row r="1126" spans="1:13" x14ac:dyDescent="0.3">
      <c r="A1126" s="7" t="str">
        <f>HYPERLINK("https://hsdes.intel.com/resource/14013158953","14013158953")</f>
        <v>14013158953</v>
      </c>
      <c r="B1126" s="7" t="s">
        <v>2007</v>
      </c>
      <c r="C1126" s="7" t="s">
        <v>1420</v>
      </c>
      <c r="D1126" s="7" t="s">
        <v>2008</v>
      </c>
      <c r="E1126" s="7" t="s">
        <v>342</v>
      </c>
      <c r="F1126" s="7"/>
      <c r="G1126" s="7" t="s">
        <v>369</v>
      </c>
      <c r="H1126" s="7"/>
      <c r="I1126" s="10">
        <v>44762</v>
      </c>
      <c r="J1126" s="7" t="s">
        <v>13</v>
      </c>
      <c r="K1126" s="7" t="s">
        <v>19</v>
      </c>
      <c r="L1126" s="7" t="s">
        <v>20</v>
      </c>
      <c r="M1126" s="7" t="s">
        <v>21</v>
      </c>
    </row>
    <row r="1127" spans="1:13" x14ac:dyDescent="0.3">
      <c r="A1127" s="7" t="str">
        <f>HYPERLINK("https://hsdes.intel.com/resource/14013158965","14013158965")</f>
        <v>14013158965</v>
      </c>
      <c r="B1127" s="7" t="s">
        <v>1200</v>
      </c>
      <c r="C1127" s="7" t="s">
        <v>1420</v>
      </c>
      <c r="D1127" s="7" t="s">
        <v>1201</v>
      </c>
      <c r="E1127" s="7"/>
      <c r="F1127" s="7"/>
      <c r="G1127" s="7" t="s">
        <v>833</v>
      </c>
      <c r="H1127" s="7"/>
      <c r="I1127" s="7"/>
      <c r="J1127" s="7" t="s">
        <v>13</v>
      </c>
      <c r="K1127" s="7" t="s">
        <v>14</v>
      </c>
      <c r="L1127" s="7" t="s">
        <v>88</v>
      </c>
      <c r="M1127" s="7" t="s">
        <v>16</v>
      </c>
    </row>
    <row r="1128" spans="1:13" x14ac:dyDescent="0.3">
      <c r="A1128" s="7" t="str">
        <f>HYPERLINK("https://hsdes.intel.com/resource/14013158967","14013158967")</f>
        <v>14013158967</v>
      </c>
      <c r="B1128" s="7" t="s">
        <v>1203</v>
      </c>
      <c r="C1128" s="7" t="s">
        <v>1420</v>
      </c>
      <c r="D1128" s="7" t="s">
        <v>1204</v>
      </c>
      <c r="E1128" s="7"/>
      <c r="F1128" s="7"/>
      <c r="G1128" s="7" t="s">
        <v>833</v>
      </c>
      <c r="H1128" s="7"/>
      <c r="I1128" s="7"/>
      <c r="J1128" s="7" t="s">
        <v>13</v>
      </c>
      <c r="K1128" s="7" t="s">
        <v>14</v>
      </c>
      <c r="L1128" s="7" t="s">
        <v>88</v>
      </c>
      <c r="M1128" s="7" t="s">
        <v>16</v>
      </c>
    </row>
    <row r="1129" spans="1:13" x14ac:dyDescent="0.3">
      <c r="A1129" s="7" t="str">
        <f>HYPERLINK("https://hsdes.intel.com/resource/14013158987","14013158987")</f>
        <v>14013158987</v>
      </c>
      <c r="B1129" s="7" t="s">
        <v>1206</v>
      </c>
      <c r="C1129" s="7" t="s">
        <v>1420</v>
      </c>
      <c r="D1129" s="7" t="s">
        <v>1207</v>
      </c>
      <c r="E1129" s="7"/>
      <c r="F1129" s="7"/>
      <c r="G1129" s="7" t="s">
        <v>833</v>
      </c>
      <c r="H1129" s="7"/>
      <c r="I1129" s="7"/>
      <c r="J1129" s="7" t="s">
        <v>13</v>
      </c>
      <c r="K1129" s="7" t="s">
        <v>14</v>
      </c>
      <c r="L1129" s="7" t="s">
        <v>88</v>
      </c>
      <c r="M1129" s="7" t="s">
        <v>16</v>
      </c>
    </row>
    <row r="1130" spans="1:13" x14ac:dyDescent="0.3">
      <c r="A1130" s="7" t="str">
        <f>HYPERLINK("https://hsdes.intel.com/resource/14013158991","14013158991")</f>
        <v>14013158991</v>
      </c>
      <c r="B1130" s="7" t="s">
        <v>2009</v>
      </c>
      <c r="C1130" s="7" t="s">
        <v>1420</v>
      </c>
      <c r="D1130" s="7" t="s">
        <v>2010</v>
      </c>
      <c r="E1130" s="7" t="s">
        <v>11</v>
      </c>
      <c r="F1130" s="7"/>
      <c r="G1130" s="7" t="s">
        <v>1849</v>
      </c>
      <c r="H1130" s="7"/>
      <c r="I1130" s="10">
        <v>44754</v>
      </c>
      <c r="J1130" s="7" t="s">
        <v>13</v>
      </c>
      <c r="K1130" s="7" t="s">
        <v>14</v>
      </c>
      <c r="L1130" s="7" t="s">
        <v>88</v>
      </c>
      <c r="M1130" s="7" t="s">
        <v>16</v>
      </c>
    </row>
    <row r="1131" spans="1:13" x14ac:dyDescent="0.3">
      <c r="A1131" s="7" t="str">
        <f>HYPERLINK("https://hsdes.intel.com/resource/14013158993","14013158993")</f>
        <v>14013158993</v>
      </c>
      <c r="B1131" s="7" t="s">
        <v>2011</v>
      </c>
      <c r="C1131" s="7" t="s">
        <v>1420</v>
      </c>
      <c r="D1131" s="7" t="s">
        <v>2012</v>
      </c>
      <c r="E1131" s="7" t="s">
        <v>11</v>
      </c>
      <c r="F1131" s="7"/>
      <c r="G1131" s="7" t="s">
        <v>1849</v>
      </c>
      <c r="H1131" s="7"/>
      <c r="I1131" s="10">
        <v>44755</v>
      </c>
      <c r="J1131" s="7" t="s">
        <v>13</v>
      </c>
      <c r="K1131" s="7" t="s">
        <v>14</v>
      </c>
      <c r="L1131" s="7" t="s">
        <v>88</v>
      </c>
      <c r="M1131" s="7" t="s">
        <v>16</v>
      </c>
    </row>
    <row r="1132" spans="1:13" x14ac:dyDescent="0.3">
      <c r="A1132" s="7" t="str">
        <f>HYPERLINK("https://hsdes.intel.com/resource/14013158996","14013158996")</f>
        <v>14013158996</v>
      </c>
      <c r="B1132" s="7" t="s">
        <v>1209</v>
      </c>
      <c r="C1132" s="7" t="s">
        <v>1420</v>
      </c>
      <c r="D1132" s="7" t="s">
        <v>1210</v>
      </c>
      <c r="E1132" s="7"/>
      <c r="F1132" s="7"/>
      <c r="G1132" s="7" t="s">
        <v>833</v>
      </c>
      <c r="H1132" s="7"/>
      <c r="I1132" s="7"/>
      <c r="J1132" s="7" t="s">
        <v>13</v>
      </c>
      <c r="K1132" s="7" t="s">
        <v>439</v>
      </c>
      <c r="L1132" s="7" t="s">
        <v>158</v>
      </c>
      <c r="M1132" s="7" t="s">
        <v>16</v>
      </c>
    </row>
    <row r="1133" spans="1:13" x14ac:dyDescent="0.3">
      <c r="A1133" s="7" t="str">
        <f>HYPERLINK("https://hsdes.intel.com/resource/14013158998","14013158998")</f>
        <v>14013158998</v>
      </c>
      <c r="B1133" s="7" t="s">
        <v>1212</v>
      </c>
      <c r="C1133" s="7" t="s">
        <v>1420</v>
      </c>
      <c r="D1133" s="7" t="s">
        <v>1213</v>
      </c>
      <c r="E1133" s="7"/>
      <c r="F1133" s="7"/>
      <c r="G1133" s="7" t="s">
        <v>833</v>
      </c>
      <c r="H1133" s="7"/>
      <c r="I1133" s="7"/>
      <c r="J1133" s="7" t="s">
        <v>13</v>
      </c>
      <c r="K1133" s="7" t="s">
        <v>439</v>
      </c>
      <c r="L1133" s="7" t="s">
        <v>158</v>
      </c>
      <c r="M1133" s="7" t="s">
        <v>16</v>
      </c>
    </row>
    <row r="1134" spans="1:13" x14ac:dyDescent="0.3">
      <c r="A1134" s="7" t="str">
        <f>HYPERLINK("https://hsdes.intel.com/resource/14013159000","14013159000")</f>
        <v>14013159000</v>
      </c>
      <c r="B1134" s="7" t="s">
        <v>1215</v>
      </c>
      <c r="C1134" s="7" t="s">
        <v>1420</v>
      </c>
      <c r="D1134" s="7" t="s">
        <v>1216</v>
      </c>
      <c r="E1134" s="7"/>
      <c r="F1134" s="7"/>
      <c r="G1134" s="7" t="s">
        <v>833</v>
      </c>
      <c r="H1134" s="7"/>
      <c r="I1134" s="7"/>
      <c r="J1134" s="7" t="s">
        <v>13</v>
      </c>
      <c r="K1134" s="7" t="s">
        <v>439</v>
      </c>
      <c r="L1134" s="7" t="s">
        <v>158</v>
      </c>
      <c r="M1134" s="7" t="s">
        <v>16</v>
      </c>
    </row>
    <row r="1135" spans="1:13" x14ac:dyDescent="0.3">
      <c r="A1135" s="7" t="str">
        <f>HYPERLINK("https://hsdes.intel.com/resource/14013159002","14013159002")</f>
        <v>14013159002</v>
      </c>
      <c r="B1135" s="7" t="s">
        <v>2013</v>
      </c>
      <c r="C1135" s="7" t="s">
        <v>1420</v>
      </c>
      <c r="D1135" s="7" t="s">
        <v>2014</v>
      </c>
      <c r="E1135" s="7" t="s">
        <v>11</v>
      </c>
      <c r="F1135" s="7" t="s">
        <v>2015</v>
      </c>
      <c r="G1135" s="7" t="s">
        <v>354</v>
      </c>
      <c r="H1135" s="7"/>
      <c r="I1135" s="10">
        <v>44761</v>
      </c>
      <c r="J1135" s="7" t="s">
        <v>13</v>
      </c>
      <c r="K1135" s="7" t="s">
        <v>296</v>
      </c>
      <c r="L1135" s="7" t="s">
        <v>297</v>
      </c>
      <c r="M1135" s="7" t="s">
        <v>21</v>
      </c>
    </row>
    <row r="1136" spans="1:13" x14ac:dyDescent="0.3">
      <c r="A1136" s="7" t="str">
        <f>HYPERLINK("https://hsdes.intel.com/resource/14013159006","14013159006")</f>
        <v>14013159006</v>
      </c>
      <c r="B1136" s="7" t="s">
        <v>2016</v>
      </c>
      <c r="C1136" s="7" t="s">
        <v>1420</v>
      </c>
      <c r="D1136" s="7" t="s">
        <v>2017</v>
      </c>
      <c r="E1136" s="7" t="s">
        <v>11</v>
      </c>
      <c r="F1136" s="7"/>
      <c r="G1136" s="7" t="s">
        <v>354</v>
      </c>
      <c r="H1136" s="7"/>
      <c r="I1136" s="10">
        <v>44760</v>
      </c>
      <c r="J1136" s="7" t="s">
        <v>13</v>
      </c>
      <c r="K1136" s="7" t="s">
        <v>19</v>
      </c>
      <c r="L1136" s="7" t="s">
        <v>20</v>
      </c>
      <c r="M1136" s="7" t="s">
        <v>24</v>
      </c>
    </row>
    <row r="1137" spans="1:13" x14ac:dyDescent="0.3">
      <c r="A1137" s="7" t="str">
        <f>HYPERLINK("https://hsdes.intel.com/resource/14013159008","14013159008")</f>
        <v>14013159008</v>
      </c>
      <c r="B1137" s="7" t="s">
        <v>1218</v>
      </c>
      <c r="C1137" s="7" t="s">
        <v>1420</v>
      </c>
      <c r="D1137" s="7" t="s">
        <v>1219</v>
      </c>
      <c r="E1137" s="7"/>
      <c r="F1137" s="7"/>
      <c r="G1137" s="7" t="s">
        <v>833</v>
      </c>
      <c r="H1137" s="7"/>
      <c r="I1137" s="7"/>
      <c r="J1137" s="7" t="s">
        <v>13</v>
      </c>
      <c r="K1137" s="7" t="s">
        <v>14</v>
      </c>
      <c r="L1137" s="7" t="s">
        <v>88</v>
      </c>
      <c r="M1137" s="7" t="s">
        <v>24</v>
      </c>
    </row>
    <row r="1138" spans="1:13" x14ac:dyDescent="0.3">
      <c r="A1138" s="7" t="str">
        <f>HYPERLINK("https://hsdes.intel.com/resource/14013159019","14013159019")</f>
        <v>14013159019</v>
      </c>
      <c r="B1138" s="7" t="s">
        <v>2018</v>
      </c>
      <c r="C1138" s="7" t="s">
        <v>1420</v>
      </c>
      <c r="D1138" s="7" t="s">
        <v>2019</v>
      </c>
      <c r="E1138" s="7" t="s">
        <v>342</v>
      </c>
      <c r="F1138" s="7"/>
      <c r="G1138" s="7" t="s">
        <v>354</v>
      </c>
      <c r="H1138" s="7"/>
      <c r="I1138" s="10">
        <v>44760</v>
      </c>
      <c r="J1138" s="7" t="s">
        <v>13</v>
      </c>
      <c r="K1138" s="7" t="s">
        <v>19</v>
      </c>
      <c r="L1138" s="7" t="s">
        <v>20</v>
      </c>
      <c r="M1138" s="7" t="s">
        <v>16</v>
      </c>
    </row>
    <row r="1139" spans="1:13" x14ac:dyDescent="0.3">
      <c r="A1139" s="7" t="str">
        <f>HYPERLINK("https://hsdes.intel.com/resource/14013159027","14013159027")</f>
        <v>14013159027</v>
      </c>
      <c r="B1139" s="7" t="s">
        <v>2020</v>
      </c>
      <c r="C1139" s="7" t="s">
        <v>1420</v>
      </c>
      <c r="D1139" s="7" t="s">
        <v>2021</v>
      </c>
      <c r="E1139" s="7" t="s">
        <v>342</v>
      </c>
      <c r="F1139" s="7"/>
      <c r="G1139" s="7" t="s">
        <v>1770</v>
      </c>
      <c r="H1139" s="7"/>
      <c r="I1139" s="10">
        <v>44764</v>
      </c>
      <c r="J1139" s="7" t="s">
        <v>192</v>
      </c>
      <c r="K1139" s="7" t="s">
        <v>19</v>
      </c>
      <c r="L1139" s="7" t="s">
        <v>20</v>
      </c>
      <c r="M1139" s="7" t="s">
        <v>21</v>
      </c>
    </row>
    <row r="1140" spans="1:13" x14ac:dyDescent="0.3">
      <c r="A1140" s="7" t="str">
        <f>HYPERLINK("https://hsdes.intel.com/resource/14013159034","14013159034")</f>
        <v>14013159034</v>
      </c>
      <c r="B1140" s="7" t="s">
        <v>1221</v>
      </c>
      <c r="C1140" s="7" t="s">
        <v>1420</v>
      </c>
      <c r="D1140" s="7" t="s">
        <v>1222</v>
      </c>
      <c r="E1140" s="7"/>
      <c r="F1140" s="7"/>
      <c r="G1140" s="7" t="s">
        <v>833</v>
      </c>
      <c r="H1140" s="7"/>
      <c r="I1140" s="7"/>
      <c r="J1140" s="7" t="s">
        <v>13</v>
      </c>
      <c r="K1140" s="7" t="s">
        <v>14</v>
      </c>
      <c r="L1140" s="7" t="s">
        <v>88</v>
      </c>
      <c r="M1140" s="7" t="s">
        <v>24</v>
      </c>
    </row>
    <row r="1141" spans="1:13" x14ac:dyDescent="0.3">
      <c r="A1141" s="7" t="str">
        <f>HYPERLINK("https://hsdes.intel.com/resource/14013159048","14013159048")</f>
        <v>14013159048</v>
      </c>
      <c r="B1141" s="7" t="s">
        <v>2022</v>
      </c>
      <c r="C1141" s="7" t="s">
        <v>1420</v>
      </c>
      <c r="D1141" s="7" t="s">
        <v>2023</v>
      </c>
      <c r="E1141" s="7" t="s">
        <v>11</v>
      </c>
      <c r="F1141" s="7"/>
      <c r="G1141" s="7" t="s">
        <v>1849</v>
      </c>
      <c r="H1141" s="7"/>
      <c r="I1141" s="10">
        <v>44755</v>
      </c>
      <c r="J1141" s="7" t="s">
        <v>13</v>
      </c>
      <c r="K1141" s="7" t="s">
        <v>14</v>
      </c>
      <c r="L1141" s="7" t="s">
        <v>88</v>
      </c>
      <c r="M1141" s="7" t="s">
        <v>16</v>
      </c>
    </row>
    <row r="1142" spans="1:13" x14ac:dyDescent="0.3">
      <c r="A1142" s="7" t="str">
        <f>HYPERLINK("https://hsdes.intel.com/resource/14013159050","14013159050")</f>
        <v>14013159050</v>
      </c>
      <c r="B1142" s="7" t="s">
        <v>2024</v>
      </c>
      <c r="C1142" s="7" t="s">
        <v>1420</v>
      </c>
      <c r="D1142" s="7" t="s">
        <v>2025</v>
      </c>
      <c r="E1142" s="7" t="s">
        <v>11</v>
      </c>
      <c r="F1142" s="7"/>
      <c r="G1142" s="7" t="s">
        <v>1432</v>
      </c>
      <c r="H1142" s="7"/>
      <c r="I1142" s="10">
        <v>44754</v>
      </c>
      <c r="J1142" s="7" t="s">
        <v>13</v>
      </c>
      <c r="K1142" s="7" t="s">
        <v>1433</v>
      </c>
      <c r="L1142" s="7" t="s">
        <v>1434</v>
      </c>
      <c r="M1142" s="7" t="s">
        <v>16</v>
      </c>
    </row>
    <row r="1143" spans="1:13" x14ac:dyDescent="0.3">
      <c r="A1143" s="7" t="str">
        <f>HYPERLINK("https://hsdes.intel.com/resource/14013159082","14013159082")</f>
        <v>14013159082</v>
      </c>
      <c r="B1143" s="7" t="s">
        <v>2026</v>
      </c>
      <c r="C1143" s="7" t="s">
        <v>1420</v>
      </c>
      <c r="D1143" s="7" t="s">
        <v>2027</v>
      </c>
      <c r="E1143" s="7" t="s">
        <v>11</v>
      </c>
      <c r="F1143" s="7"/>
      <c r="G1143" s="7" t="s">
        <v>345</v>
      </c>
      <c r="H1143" s="7"/>
      <c r="I1143" s="10">
        <v>44760</v>
      </c>
      <c r="J1143" s="7" t="s">
        <v>13</v>
      </c>
      <c r="K1143" s="7" t="s">
        <v>19</v>
      </c>
      <c r="L1143" s="7" t="s">
        <v>20</v>
      </c>
      <c r="M1143" s="7" t="s">
        <v>24</v>
      </c>
    </row>
    <row r="1144" spans="1:13" x14ac:dyDescent="0.3">
      <c r="A1144" s="7" t="str">
        <f>HYPERLINK("https://hsdes.intel.com/resource/14013159088","14013159088")</f>
        <v>14013159088</v>
      </c>
      <c r="B1144" s="7" t="s">
        <v>2028</v>
      </c>
      <c r="C1144" s="7" t="s">
        <v>1420</v>
      </c>
      <c r="D1144" s="7" t="s">
        <v>2029</v>
      </c>
      <c r="E1144" s="7" t="s">
        <v>11</v>
      </c>
      <c r="F1144" s="7"/>
      <c r="G1144" s="7" t="s">
        <v>1461</v>
      </c>
      <c r="H1144" s="7"/>
      <c r="I1144" s="10">
        <v>44756</v>
      </c>
      <c r="J1144" s="7" t="s">
        <v>13</v>
      </c>
      <c r="K1144" s="7" t="s">
        <v>19</v>
      </c>
      <c r="L1144" s="7" t="s">
        <v>20</v>
      </c>
      <c r="M1144" s="7" t="s">
        <v>21</v>
      </c>
    </row>
    <row r="1145" spans="1:13" x14ac:dyDescent="0.3">
      <c r="A1145" s="7" t="str">
        <f>HYPERLINK("https://hsdes.intel.com/resource/14013159100","14013159100")</f>
        <v>14013159100</v>
      </c>
      <c r="B1145" s="7" t="s">
        <v>2030</v>
      </c>
      <c r="C1145" s="7" t="s">
        <v>1420</v>
      </c>
      <c r="D1145" s="7" t="s">
        <v>2031</v>
      </c>
      <c r="E1145" s="7" t="s">
        <v>11</v>
      </c>
      <c r="F1145" s="7"/>
      <c r="G1145" s="7" t="s">
        <v>1461</v>
      </c>
      <c r="H1145" s="7"/>
      <c r="I1145" s="10">
        <v>44756</v>
      </c>
      <c r="J1145" s="7" t="s">
        <v>13</v>
      </c>
      <c r="K1145" s="7" t="s">
        <v>19</v>
      </c>
      <c r="L1145" s="7" t="s">
        <v>20</v>
      </c>
      <c r="M1145" s="7" t="s">
        <v>24</v>
      </c>
    </row>
    <row r="1146" spans="1:13" x14ac:dyDescent="0.3">
      <c r="A1146" s="7" t="str">
        <f>HYPERLINK("https://hsdes.intel.com/resource/14013159102","14013159102")</f>
        <v>14013159102</v>
      </c>
      <c r="B1146" s="7" t="s">
        <v>2032</v>
      </c>
      <c r="C1146" s="7" t="s">
        <v>1420</v>
      </c>
      <c r="D1146" s="7" t="s">
        <v>2033</v>
      </c>
      <c r="E1146" s="7" t="s">
        <v>11</v>
      </c>
      <c r="F1146" s="7"/>
      <c r="G1146" s="7" t="s">
        <v>1461</v>
      </c>
      <c r="H1146" s="7"/>
      <c r="I1146" s="10">
        <v>44760</v>
      </c>
      <c r="J1146" s="7" t="s">
        <v>13</v>
      </c>
      <c r="K1146" s="7" t="s">
        <v>19</v>
      </c>
      <c r="L1146" s="7" t="s">
        <v>20</v>
      </c>
      <c r="M1146" s="7" t="s">
        <v>16</v>
      </c>
    </row>
    <row r="1147" spans="1:13" x14ac:dyDescent="0.3">
      <c r="A1147" s="7" t="str">
        <f>HYPERLINK("https://hsdes.intel.com/resource/14013159106","14013159106")</f>
        <v>14013159106</v>
      </c>
      <c r="B1147" s="7" t="s">
        <v>2034</v>
      </c>
      <c r="C1147" s="7" t="s">
        <v>1420</v>
      </c>
      <c r="D1147" s="7" t="s">
        <v>2035</v>
      </c>
      <c r="E1147" s="7" t="s">
        <v>11</v>
      </c>
      <c r="F1147" s="7"/>
      <c r="G1147" s="7" t="s">
        <v>1461</v>
      </c>
      <c r="H1147" s="7"/>
      <c r="I1147" s="10">
        <v>44756</v>
      </c>
      <c r="J1147" s="7" t="s">
        <v>13</v>
      </c>
      <c r="K1147" s="7" t="s">
        <v>19</v>
      </c>
      <c r="L1147" s="7" t="s">
        <v>20</v>
      </c>
      <c r="M1147" s="7" t="s">
        <v>24</v>
      </c>
    </row>
    <row r="1148" spans="1:13" x14ac:dyDescent="0.3">
      <c r="A1148" s="7" t="str">
        <f>HYPERLINK("https://hsdes.intel.com/resource/14013159108","14013159108")</f>
        <v>14013159108</v>
      </c>
      <c r="B1148" s="7" t="s">
        <v>2036</v>
      </c>
      <c r="C1148" s="7" t="s">
        <v>1420</v>
      </c>
      <c r="D1148" s="7" t="s">
        <v>2037</v>
      </c>
      <c r="E1148" s="7" t="s">
        <v>32</v>
      </c>
      <c r="F1148" s="7" t="s">
        <v>2038</v>
      </c>
      <c r="G1148" s="7" t="s">
        <v>1461</v>
      </c>
      <c r="H1148" s="7" t="s">
        <v>2449</v>
      </c>
      <c r="I1148" s="10">
        <v>44763</v>
      </c>
      <c r="J1148" s="7" t="s">
        <v>13</v>
      </c>
      <c r="K1148" s="7" t="s">
        <v>19</v>
      </c>
      <c r="L1148" s="7" t="s">
        <v>20</v>
      </c>
      <c r="M1148" s="7" t="s">
        <v>21</v>
      </c>
    </row>
    <row r="1149" spans="1:13" x14ac:dyDescent="0.3">
      <c r="A1149" s="7" t="str">
        <f>HYPERLINK("https://hsdes.intel.com/resource/14013159116","14013159116")</f>
        <v>14013159116</v>
      </c>
      <c r="B1149" s="7" t="s">
        <v>2039</v>
      </c>
      <c r="C1149" s="7" t="s">
        <v>1420</v>
      </c>
      <c r="D1149" s="7" t="s">
        <v>2040</v>
      </c>
      <c r="E1149" s="7" t="s">
        <v>37</v>
      </c>
      <c r="F1149" s="7" t="s">
        <v>28</v>
      </c>
      <c r="G1149" s="7" t="s">
        <v>1461</v>
      </c>
      <c r="H1149" s="7"/>
      <c r="I1149" s="7"/>
      <c r="J1149" s="7" t="s">
        <v>13</v>
      </c>
      <c r="K1149" s="7" t="s">
        <v>19</v>
      </c>
      <c r="L1149" s="7" t="s">
        <v>20</v>
      </c>
      <c r="M1149" s="7" t="s">
        <v>21</v>
      </c>
    </row>
    <row r="1150" spans="1:13" x14ac:dyDescent="0.3">
      <c r="A1150" s="7" t="str">
        <f>HYPERLINK("https://hsdes.intel.com/resource/14013159121","14013159121")</f>
        <v>14013159121</v>
      </c>
      <c r="B1150" s="7" t="s">
        <v>2041</v>
      </c>
      <c r="C1150" s="7" t="s">
        <v>1420</v>
      </c>
      <c r="D1150" s="7" t="s">
        <v>2042</v>
      </c>
      <c r="E1150" s="7" t="s">
        <v>11</v>
      </c>
      <c r="F1150" s="7"/>
      <c r="G1150" s="7" t="s">
        <v>1461</v>
      </c>
      <c r="H1150" s="7"/>
      <c r="I1150" s="10">
        <v>44756</v>
      </c>
      <c r="J1150" s="7" t="s">
        <v>13</v>
      </c>
      <c r="K1150" s="7" t="s">
        <v>19</v>
      </c>
      <c r="L1150" s="7" t="s">
        <v>20</v>
      </c>
      <c r="M1150" s="7" t="s">
        <v>24</v>
      </c>
    </row>
    <row r="1151" spans="1:13" x14ac:dyDescent="0.3">
      <c r="A1151" s="7" t="str">
        <f>HYPERLINK("https://hsdes.intel.com/resource/14013159132","14013159132")</f>
        <v>14013159132</v>
      </c>
      <c r="B1151" s="7" t="s">
        <v>2043</v>
      </c>
      <c r="C1151" s="7" t="s">
        <v>1420</v>
      </c>
      <c r="D1151" s="7" t="s">
        <v>2044</v>
      </c>
      <c r="E1151" s="7" t="s">
        <v>11</v>
      </c>
      <c r="F1151" s="7"/>
      <c r="G1151" s="7" t="s">
        <v>1461</v>
      </c>
      <c r="H1151" s="7"/>
      <c r="I1151" s="10">
        <v>44756</v>
      </c>
      <c r="J1151" s="7" t="s">
        <v>13</v>
      </c>
      <c r="K1151" s="7" t="s">
        <v>19</v>
      </c>
      <c r="L1151" s="7" t="s">
        <v>20</v>
      </c>
      <c r="M1151" s="7" t="s">
        <v>16</v>
      </c>
    </row>
    <row r="1152" spans="1:13" x14ac:dyDescent="0.3">
      <c r="A1152" s="7" t="str">
        <f>HYPERLINK("https://hsdes.intel.com/resource/14013159136","14013159136")</f>
        <v>14013159136</v>
      </c>
      <c r="B1152" s="7" t="s">
        <v>2045</v>
      </c>
      <c r="C1152" s="7" t="s">
        <v>1420</v>
      </c>
      <c r="D1152" s="7" t="s">
        <v>2046</v>
      </c>
      <c r="E1152" s="7" t="s">
        <v>32</v>
      </c>
      <c r="F1152" s="7" t="s">
        <v>2038</v>
      </c>
      <c r="G1152" s="7" t="s">
        <v>1461</v>
      </c>
      <c r="H1152" s="7" t="s">
        <v>2449</v>
      </c>
      <c r="I1152" s="10">
        <v>44763</v>
      </c>
      <c r="J1152" s="7" t="s">
        <v>13</v>
      </c>
      <c r="K1152" s="7" t="s">
        <v>19</v>
      </c>
      <c r="L1152" s="7" t="s">
        <v>20</v>
      </c>
      <c r="M1152" s="7" t="s">
        <v>21</v>
      </c>
    </row>
    <row r="1153" spans="1:13" x14ac:dyDescent="0.3">
      <c r="A1153" s="7" t="str">
        <f>HYPERLINK("https://hsdes.intel.com/resource/14013159138","14013159138")</f>
        <v>14013159138</v>
      </c>
      <c r="B1153" s="7" t="s">
        <v>2047</v>
      </c>
      <c r="C1153" s="7" t="s">
        <v>1420</v>
      </c>
      <c r="D1153" s="7" t="s">
        <v>2048</v>
      </c>
      <c r="E1153" s="7" t="s">
        <v>32</v>
      </c>
      <c r="F1153" s="7" t="s">
        <v>2038</v>
      </c>
      <c r="G1153" s="7" t="s">
        <v>1461</v>
      </c>
      <c r="H1153" s="7" t="s">
        <v>2449</v>
      </c>
      <c r="I1153" s="10">
        <v>44763</v>
      </c>
      <c r="J1153" s="7" t="s">
        <v>13</v>
      </c>
      <c r="K1153" s="7" t="s">
        <v>19</v>
      </c>
      <c r="L1153" s="7" t="s">
        <v>20</v>
      </c>
      <c r="M1153" s="7" t="s">
        <v>21</v>
      </c>
    </row>
    <row r="1154" spans="1:13" x14ac:dyDescent="0.3">
      <c r="A1154" s="7" t="str">
        <f>HYPERLINK("https://hsdes.intel.com/resource/14013159141","14013159141")</f>
        <v>14013159141</v>
      </c>
      <c r="B1154" s="7" t="s">
        <v>2049</v>
      </c>
      <c r="C1154" s="7" t="s">
        <v>1420</v>
      </c>
      <c r="D1154" s="7" t="s">
        <v>2050</v>
      </c>
      <c r="E1154" s="7" t="s">
        <v>37</v>
      </c>
      <c r="F1154" s="7" t="s">
        <v>2051</v>
      </c>
      <c r="G1154" s="7" t="s">
        <v>1461</v>
      </c>
      <c r="H1154" s="7"/>
      <c r="I1154" s="7"/>
      <c r="J1154" s="7" t="s">
        <v>13</v>
      </c>
      <c r="K1154" s="7" t="s">
        <v>19</v>
      </c>
      <c r="L1154" s="7" t="s">
        <v>20</v>
      </c>
      <c r="M1154" s="7" t="s">
        <v>21</v>
      </c>
    </row>
    <row r="1155" spans="1:13" x14ac:dyDescent="0.3">
      <c r="A1155" s="7" t="str">
        <f>HYPERLINK("https://hsdes.intel.com/resource/14013159143","14013159143")</f>
        <v>14013159143</v>
      </c>
      <c r="B1155" s="7" t="s">
        <v>2052</v>
      </c>
      <c r="C1155" s="7" t="s">
        <v>1420</v>
      </c>
      <c r="D1155" s="7" t="s">
        <v>2053</v>
      </c>
      <c r="E1155" s="7" t="s">
        <v>37</v>
      </c>
      <c r="F1155" s="7" t="s">
        <v>2051</v>
      </c>
      <c r="G1155" s="7" t="s">
        <v>1461</v>
      </c>
      <c r="H1155" s="7"/>
      <c r="I1155" s="7"/>
      <c r="J1155" s="7" t="s">
        <v>13</v>
      </c>
      <c r="K1155" s="7" t="s">
        <v>19</v>
      </c>
      <c r="L1155" s="7" t="s">
        <v>20</v>
      </c>
      <c r="M1155" s="7" t="s">
        <v>21</v>
      </c>
    </row>
    <row r="1156" spans="1:13" x14ac:dyDescent="0.3">
      <c r="A1156" s="7" t="str">
        <f>HYPERLINK("https://hsdes.intel.com/resource/14013159148","14013159148")</f>
        <v>14013159148</v>
      </c>
      <c r="B1156" s="7" t="s">
        <v>2054</v>
      </c>
      <c r="C1156" s="7" t="s">
        <v>1420</v>
      </c>
      <c r="D1156" s="7" t="s">
        <v>2055</v>
      </c>
      <c r="E1156" s="7" t="s">
        <v>11</v>
      </c>
      <c r="F1156" s="7"/>
      <c r="G1156" s="7" t="s">
        <v>1461</v>
      </c>
      <c r="H1156" s="7"/>
      <c r="I1156" s="10">
        <v>44756</v>
      </c>
      <c r="J1156" s="7" t="s">
        <v>13</v>
      </c>
      <c r="K1156" s="7" t="s">
        <v>19</v>
      </c>
      <c r="L1156" s="7" t="s">
        <v>20</v>
      </c>
      <c r="M1156" s="7" t="s">
        <v>21</v>
      </c>
    </row>
    <row r="1157" spans="1:13" x14ac:dyDescent="0.3">
      <c r="A1157" s="7" t="str">
        <f>HYPERLINK("https://hsdes.intel.com/resource/14013159151","14013159151")</f>
        <v>14013159151</v>
      </c>
      <c r="B1157" s="7" t="s">
        <v>2056</v>
      </c>
      <c r="C1157" s="7" t="s">
        <v>1420</v>
      </c>
      <c r="D1157" s="7" t="s">
        <v>2057</v>
      </c>
      <c r="E1157" s="7" t="s">
        <v>37</v>
      </c>
      <c r="F1157" s="7" t="s">
        <v>28</v>
      </c>
      <c r="G1157" s="7" t="s">
        <v>1461</v>
      </c>
      <c r="H1157" s="7"/>
      <c r="I1157" s="7"/>
      <c r="J1157" s="7" t="s">
        <v>13</v>
      </c>
      <c r="K1157" s="7" t="s">
        <v>19</v>
      </c>
      <c r="L1157" s="7" t="s">
        <v>20</v>
      </c>
      <c r="M1157" s="7" t="s">
        <v>21</v>
      </c>
    </row>
    <row r="1158" spans="1:13" x14ac:dyDescent="0.3">
      <c r="A1158" s="7" t="str">
        <f>HYPERLINK("https://hsdes.intel.com/resource/14013159155","14013159155")</f>
        <v>14013159155</v>
      </c>
      <c r="B1158" s="7" t="s">
        <v>2058</v>
      </c>
      <c r="C1158" s="7" t="s">
        <v>1420</v>
      </c>
      <c r="D1158" s="7" t="s">
        <v>2059</v>
      </c>
      <c r="E1158" t="s">
        <v>32</v>
      </c>
      <c r="F1158" s="7" t="s">
        <v>2060</v>
      </c>
      <c r="G1158" s="7" t="s">
        <v>1461</v>
      </c>
      <c r="H1158" s="7" t="s">
        <v>2449</v>
      </c>
      <c r="I1158" s="10">
        <v>44763</v>
      </c>
      <c r="J1158" s="7" t="s">
        <v>13</v>
      </c>
      <c r="K1158" s="7" t="s">
        <v>19</v>
      </c>
      <c r="L1158" s="7" t="s">
        <v>20</v>
      </c>
      <c r="M1158" s="7" t="s">
        <v>24</v>
      </c>
    </row>
    <row r="1159" spans="1:13" x14ac:dyDescent="0.3">
      <c r="A1159" s="7" t="str">
        <f>HYPERLINK("https://hsdes.intel.com/resource/14013159158","14013159158")</f>
        <v>14013159158</v>
      </c>
      <c r="B1159" s="7" t="s">
        <v>2061</v>
      </c>
      <c r="C1159" s="7" t="s">
        <v>1420</v>
      </c>
      <c r="D1159" s="7" t="s">
        <v>2062</v>
      </c>
      <c r="E1159" s="7" t="s">
        <v>11</v>
      </c>
      <c r="F1159" s="7"/>
      <c r="G1159" s="7" t="s">
        <v>1461</v>
      </c>
      <c r="H1159" s="7"/>
      <c r="I1159" s="10">
        <v>44756</v>
      </c>
      <c r="J1159" s="7" t="s">
        <v>13</v>
      </c>
      <c r="K1159" s="7" t="s">
        <v>19</v>
      </c>
      <c r="L1159" s="7" t="s">
        <v>20</v>
      </c>
      <c r="M1159" s="7" t="s">
        <v>21</v>
      </c>
    </row>
    <row r="1160" spans="1:13" x14ac:dyDescent="0.3">
      <c r="A1160" s="7" t="str">
        <f>HYPERLINK("https://hsdes.intel.com/resource/14013159161","14013159161")</f>
        <v>14013159161</v>
      </c>
      <c r="B1160" s="7" t="s">
        <v>2063</v>
      </c>
      <c r="C1160" s="7" t="s">
        <v>1420</v>
      </c>
      <c r="D1160" s="7" t="s">
        <v>2064</v>
      </c>
      <c r="E1160" s="7" t="s">
        <v>11</v>
      </c>
      <c r="F1160" s="7"/>
      <c r="G1160" s="7" t="s">
        <v>1461</v>
      </c>
      <c r="H1160" s="7"/>
      <c r="I1160" s="10">
        <v>44756</v>
      </c>
      <c r="J1160" s="7" t="s">
        <v>13</v>
      </c>
      <c r="K1160" s="7" t="s">
        <v>19</v>
      </c>
      <c r="L1160" s="7" t="s">
        <v>20</v>
      </c>
      <c r="M1160" s="7" t="s">
        <v>24</v>
      </c>
    </row>
    <row r="1161" spans="1:13" x14ac:dyDescent="0.3">
      <c r="A1161" s="7" t="str">
        <f>HYPERLINK("https://hsdes.intel.com/resource/14013159169","14013159169")</f>
        <v>14013159169</v>
      </c>
      <c r="B1161" s="7" t="s">
        <v>2065</v>
      </c>
      <c r="C1161" s="7" t="s">
        <v>1420</v>
      </c>
      <c r="D1161" s="7" t="s">
        <v>2066</v>
      </c>
      <c r="E1161" s="7" t="s">
        <v>11</v>
      </c>
      <c r="F1161" s="7"/>
      <c r="G1161" s="7" t="s">
        <v>1461</v>
      </c>
      <c r="H1161" s="7"/>
      <c r="I1161" s="10">
        <v>44756</v>
      </c>
      <c r="J1161" s="7" t="s">
        <v>13</v>
      </c>
      <c r="K1161" s="7" t="s">
        <v>19</v>
      </c>
      <c r="L1161" s="7" t="s">
        <v>20</v>
      </c>
      <c r="M1161" s="7" t="s">
        <v>24</v>
      </c>
    </row>
    <row r="1162" spans="1:13" x14ac:dyDescent="0.3">
      <c r="A1162" s="7" t="str">
        <f>HYPERLINK("https://hsdes.intel.com/resource/14013159172","14013159172")</f>
        <v>14013159172</v>
      </c>
      <c r="B1162" s="7" t="s">
        <v>2067</v>
      </c>
      <c r="C1162" s="7" t="s">
        <v>1420</v>
      </c>
      <c r="D1162" s="7" t="s">
        <v>2068</v>
      </c>
      <c r="E1162" s="7" t="s">
        <v>32</v>
      </c>
      <c r="F1162" s="7" t="s">
        <v>2038</v>
      </c>
      <c r="G1162" s="7" t="s">
        <v>1461</v>
      </c>
      <c r="H1162" s="7" t="s">
        <v>2449</v>
      </c>
      <c r="I1162" s="10">
        <v>44763</v>
      </c>
      <c r="J1162" s="7" t="s">
        <v>13</v>
      </c>
      <c r="K1162" s="7" t="s">
        <v>19</v>
      </c>
      <c r="L1162" s="7" t="s">
        <v>20</v>
      </c>
      <c r="M1162" s="7" t="s">
        <v>21</v>
      </c>
    </row>
    <row r="1163" spans="1:13" x14ac:dyDescent="0.3">
      <c r="A1163" s="7" t="str">
        <f>HYPERLINK("https://hsdes.intel.com/resource/14013159175","14013159175")</f>
        <v>14013159175</v>
      </c>
      <c r="B1163" s="7" t="s">
        <v>2069</v>
      </c>
      <c r="C1163" s="7" t="s">
        <v>1420</v>
      </c>
      <c r="D1163" s="7" t="s">
        <v>2070</v>
      </c>
      <c r="E1163" s="7" t="s">
        <v>11</v>
      </c>
      <c r="F1163" s="7"/>
      <c r="G1163" s="7" t="s">
        <v>1461</v>
      </c>
      <c r="H1163" s="7"/>
      <c r="I1163" s="10">
        <v>44757</v>
      </c>
      <c r="J1163" s="7" t="s">
        <v>13</v>
      </c>
      <c r="K1163" s="7" t="s">
        <v>19</v>
      </c>
      <c r="L1163" s="7" t="s">
        <v>20</v>
      </c>
      <c r="M1163" s="7" t="s">
        <v>21</v>
      </c>
    </row>
    <row r="1164" spans="1:13" x14ac:dyDescent="0.3">
      <c r="A1164" s="7" t="str">
        <f>HYPERLINK("https://hsdes.intel.com/resource/14013159178","14013159178")</f>
        <v>14013159178</v>
      </c>
      <c r="B1164" s="7" t="s">
        <v>2071</v>
      </c>
      <c r="C1164" s="7" t="s">
        <v>1420</v>
      </c>
      <c r="D1164" s="7" t="s">
        <v>2072</v>
      </c>
      <c r="E1164" s="7" t="s">
        <v>11</v>
      </c>
      <c r="F1164" s="7"/>
      <c r="G1164" s="7" t="s">
        <v>1461</v>
      </c>
      <c r="H1164" s="7"/>
      <c r="I1164" s="10">
        <v>44756</v>
      </c>
      <c r="J1164" s="7" t="s">
        <v>13</v>
      </c>
      <c r="K1164" s="7" t="s">
        <v>19</v>
      </c>
      <c r="L1164" s="7" t="s">
        <v>20</v>
      </c>
      <c r="M1164" s="7" t="s">
        <v>21</v>
      </c>
    </row>
    <row r="1165" spans="1:13" x14ac:dyDescent="0.3">
      <c r="A1165" s="7" t="str">
        <f>HYPERLINK("https://hsdes.intel.com/resource/14013159182","14013159182")</f>
        <v>14013159182</v>
      </c>
      <c r="B1165" s="7" t="s">
        <v>2073</v>
      </c>
      <c r="C1165" s="7" t="s">
        <v>1420</v>
      </c>
      <c r="D1165" s="7" t="s">
        <v>2074</v>
      </c>
      <c r="E1165" s="7" t="s">
        <v>11</v>
      </c>
      <c r="F1165" s="7"/>
      <c r="G1165" s="7" t="s">
        <v>1461</v>
      </c>
      <c r="H1165" s="7"/>
      <c r="I1165" s="10">
        <v>44756</v>
      </c>
      <c r="J1165" s="7" t="s">
        <v>13</v>
      </c>
      <c r="K1165" s="7" t="s">
        <v>19</v>
      </c>
      <c r="L1165" s="7" t="s">
        <v>20</v>
      </c>
      <c r="M1165" s="7" t="s">
        <v>21</v>
      </c>
    </row>
    <row r="1166" spans="1:13" x14ac:dyDescent="0.3">
      <c r="A1166" s="7" t="str">
        <f>HYPERLINK("https://hsdes.intel.com/resource/14013159191","14013159191")</f>
        <v>14013159191</v>
      </c>
      <c r="B1166" s="7" t="s">
        <v>2075</v>
      </c>
      <c r="C1166" s="7" t="s">
        <v>1420</v>
      </c>
      <c r="D1166" s="7" t="s">
        <v>2076</v>
      </c>
      <c r="E1166" s="7" t="s">
        <v>11</v>
      </c>
      <c r="F1166" s="7"/>
      <c r="G1166" s="7" t="s">
        <v>1461</v>
      </c>
      <c r="H1166" s="7"/>
      <c r="I1166" s="10">
        <v>44757</v>
      </c>
      <c r="J1166" s="7" t="s">
        <v>13</v>
      </c>
      <c r="K1166" s="7" t="s">
        <v>19</v>
      </c>
      <c r="L1166" s="7" t="s">
        <v>20</v>
      </c>
      <c r="M1166" s="7" t="s">
        <v>21</v>
      </c>
    </row>
    <row r="1167" spans="1:13" x14ac:dyDescent="0.3">
      <c r="A1167" s="7" t="str">
        <f>HYPERLINK("https://hsdes.intel.com/resource/14013159199","14013159199")</f>
        <v>14013159199</v>
      </c>
      <c r="B1167" s="7" t="s">
        <v>2077</v>
      </c>
      <c r="C1167" s="7" t="s">
        <v>1420</v>
      </c>
      <c r="D1167" s="7" t="s">
        <v>2078</v>
      </c>
      <c r="E1167" s="7" t="s">
        <v>11</v>
      </c>
      <c r="F1167" s="7"/>
      <c r="G1167" s="7" t="s">
        <v>1461</v>
      </c>
      <c r="H1167" s="7"/>
      <c r="I1167" s="10">
        <v>44756</v>
      </c>
      <c r="J1167" s="7" t="s">
        <v>13</v>
      </c>
      <c r="K1167" s="7" t="s">
        <v>19</v>
      </c>
      <c r="L1167" s="7" t="s">
        <v>20</v>
      </c>
      <c r="M1167" s="7" t="s">
        <v>21</v>
      </c>
    </row>
    <row r="1168" spans="1:13" x14ac:dyDescent="0.3">
      <c r="A1168" s="7" t="str">
        <f>HYPERLINK("https://hsdes.intel.com/resource/14013159204","14013159204")</f>
        <v>14013159204</v>
      </c>
      <c r="B1168" s="7" t="s">
        <v>2079</v>
      </c>
      <c r="C1168" s="7" t="s">
        <v>1420</v>
      </c>
      <c r="D1168" s="7" t="s">
        <v>2080</v>
      </c>
      <c r="E1168" s="7" t="s">
        <v>11</v>
      </c>
      <c r="F1168" s="7"/>
      <c r="G1168" s="7" t="s">
        <v>1461</v>
      </c>
      <c r="H1168" s="7"/>
      <c r="I1168" s="10">
        <v>44756</v>
      </c>
      <c r="J1168" s="7" t="s">
        <v>13</v>
      </c>
      <c r="K1168" s="7" t="s">
        <v>19</v>
      </c>
      <c r="L1168" s="7" t="s">
        <v>20</v>
      </c>
      <c r="M1168" s="7" t="s">
        <v>21</v>
      </c>
    </row>
    <row r="1169" spans="1:13" x14ac:dyDescent="0.3">
      <c r="A1169" s="7" t="str">
        <f>HYPERLINK("https://hsdes.intel.com/resource/14013159215","14013159215")</f>
        <v>14013159215</v>
      </c>
      <c r="B1169" s="7" t="s">
        <v>2081</v>
      </c>
      <c r="C1169" s="7" t="s">
        <v>1420</v>
      </c>
      <c r="D1169" s="7" t="s">
        <v>2082</v>
      </c>
      <c r="E1169" s="7" t="s">
        <v>11</v>
      </c>
      <c r="F1169" s="7"/>
      <c r="G1169" s="7" t="s">
        <v>1461</v>
      </c>
      <c r="H1169" s="7"/>
      <c r="I1169" s="10">
        <v>44756</v>
      </c>
      <c r="J1169" s="7" t="s">
        <v>192</v>
      </c>
      <c r="K1169" s="7" t="s">
        <v>19</v>
      </c>
      <c r="L1169" s="7" t="s">
        <v>20</v>
      </c>
      <c r="M1169" s="7" t="s">
        <v>24</v>
      </c>
    </row>
    <row r="1170" spans="1:13" x14ac:dyDescent="0.3">
      <c r="A1170" s="7" t="str">
        <f>HYPERLINK("https://hsdes.intel.com/resource/14013159219","14013159219")</f>
        <v>14013159219</v>
      </c>
      <c r="B1170" s="7" t="s">
        <v>2083</v>
      </c>
      <c r="C1170" s="7" t="s">
        <v>1420</v>
      </c>
      <c r="D1170" s="7" t="s">
        <v>2084</v>
      </c>
      <c r="E1170" s="7" t="s">
        <v>11</v>
      </c>
      <c r="F1170" s="7"/>
      <c r="G1170" s="7" t="s">
        <v>1461</v>
      </c>
      <c r="H1170" s="7"/>
      <c r="I1170" s="10">
        <v>44756</v>
      </c>
      <c r="J1170" s="7" t="s">
        <v>13</v>
      </c>
      <c r="K1170" s="7" t="s">
        <v>19</v>
      </c>
      <c r="L1170" s="7" t="s">
        <v>20</v>
      </c>
      <c r="M1170" s="7" t="s">
        <v>24</v>
      </c>
    </row>
    <row r="1171" spans="1:13" x14ac:dyDescent="0.3">
      <c r="A1171" s="7" t="str">
        <f>HYPERLINK("https://hsdes.intel.com/resource/14013159222","14013159222")</f>
        <v>14013159222</v>
      </c>
      <c r="B1171" s="7" t="s">
        <v>2085</v>
      </c>
      <c r="C1171" s="7" t="s">
        <v>1420</v>
      </c>
      <c r="D1171" s="7" t="s">
        <v>2086</v>
      </c>
      <c r="E1171" s="7" t="s">
        <v>37</v>
      </c>
      <c r="F1171" s="7" t="s">
        <v>2051</v>
      </c>
      <c r="G1171" s="7" t="s">
        <v>1461</v>
      </c>
      <c r="H1171" s="7"/>
      <c r="I1171" s="7"/>
      <c r="J1171" s="7" t="s">
        <v>13</v>
      </c>
      <c r="K1171" s="7" t="s">
        <v>19</v>
      </c>
      <c r="L1171" s="7" t="s">
        <v>20</v>
      </c>
      <c r="M1171" s="7" t="s">
        <v>21</v>
      </c>
    </row>
    <row r="1172" spans="1:13" x14ac:dyDescent="0.3">
      <c r="A1172" s="7" t="str">
        <f>HYPERLINK("https://hsdes.intel.com/resource/14013159227","14013159227")</f>
        <v>14013159227</v>
      </c>
      <c r="B1172" s="7" t="s">
        <v>2087</v>
      </c>
      <c r="C1172" s="7" t="s">
        <v>1420</v>
      </c>
      <c r="D1172" s="7" t="s">
        <v>2088</v>
      </c>
      <c r="E1172" s="7" t="s">
        <v>11</v>
      </c>
      <c r="F1172" s="7"/>
      <c r="G1172" s="7" t="s">
        <v>1461</v>
      </c>
      <c r="H1172" s="7"/>
      <c r="I1172" s="10">
        <v>44757</v>
      </c>
      <c r="J1172" s="7" t="s">
        <v>13</v>
      </c>
      <c r="K1172" s="7" t="s">
        <v>19</v>
      </c>
      <c r="L1172" s="7" t="s">
        <v>20</v>
      </c>
      <c r="M1172" s="7" t="s">
        <v>21</v>
      </c>
    </row>
    <row r="1173" spans="1:13" x14ac:dyDescent="0.3">
      <c r="A1173" s="7" t="str">
        <f>HYPERLINK("https://hsdes.intel.com/resource/14013159254","14013159254")</f>
        <v>14013159254</v>
      </c>
      <c r="B1173" s="7" t="s">
        <v>2089</v>
      </c>
      <c r="C1173" s="7" t="s">
        <v>1420</v>
      </c>
      <c r="D1173" s="7" t="s">
        <v>2090</v>
      </c>
      <c r="E1173" s="7" t="s">
        <v>11</v>
      </c>
      <c r="F1173" s="7"/>
      <c r="G1173" s="7" t="s">
        <v>1461</v>
      </c>
      <c r="H1173" s="7"/>
      <c r="I1173" s="10">
        <v>44756</v>
      </c>
      <c r="J1173" s="7" t="s">
        <v>13</v>
      </c>
      <c r="K1173" s="7" t="s">
        <v>19</v>
      </c>
      <c r="L1173" s="7" t="s">
        <v>20</v>
      </c>
      <c r="M1173" s="7" t="s">
        <v>21</v>
      </c>
    </row>
    <row r="1174" spans="1:13" x14ac:dyDescent="0.3">
      <c r="A1174" s="7" t="str">
        <f>HYPERLINK("https://hsdes.intel.com/resource/14013159259","14013159259")</f>
        <v>14013159259</v>
      </c>
      <c r="B1174" s="7" t="s">
        <v>2091</v>
      </c>
      <c r="C1174" s="7" t="s">
        <v>1420</v>
      </c>
      <c r="D1174" s="7" t="s">
        <v>2092</v>
      </c>
      <c r="E1174" s="7" t="s">
        <v>11</v>
      </c>
      <c r="F1174" s="7" t="s">
        <v>2093</v>
      </c>
      <c r="G1174" s="7" t="s">
        <v>369</v>
      </c>
      <c r="H1174" s="7"/>
      <c r="I1174" s="10">
        <v>44762</v>
      </c>
      <c r="J1174" s="7" t="s">
        <v>13</v>
      </c>
      <c r="K1174" s="7" t="s">
        <v>19</v>
      </c>
      <c r="L1174" s="7" t="s">
        <v>20</v>
      </c>
      <c r="M1174" s="7" t="s">
        <v>21</v>
      </c>
    </row>
    <row r="1175" spans="1:13" x14ac:dyDescent="0.3">
      <c r="A1175" s="7" t="str">
        <f>HYPERLINK("https://hsdes.intel.com/resource/14013159261","14013159261")</f>
        <v>14013159261</v>
      </c>
      <c r="B1175" s="7" t="s">
        <v>2094</v>
      </c>
      <c r="C1175" s="7" t="s">
        <v>1420</v>
      </c>
      <c r="D1175" s="7" t="s">
        <v>2095</v>
      </c>
      <c r="E1175" s="7" t="s">
        <v>11</v>
      </c>
      <c r="F1175" s="7" t="s">
        <v>2093</v>
      </c>
      <c r="G1175" s="7" t="s">
        <v>369</v>
      </c>
      <c r="H1175" s="7"/>
      <c r="I1175" s="10">
        <v>44762</v>
      </c>
      <c r="J1175" s="7" t="s">
        <v>13</v>
      </c>
      <c r="K1175" s="7" t="s">
        <v>19</v>
      </c>
      <c r="L1175" s="7" t="s">
        <v>20</v>
      </c>
      <c r="M1175" s="7" t="s">
        <v>21</v>
      </c>
    </row>
    <row r="1176" spans="1:13" x14ac:dyDescent="0.3">
      <c r="A1176" s="7" t="str">
        <f>HYPERLINK("https://hsdes.intel.com/resource/14013159264","14013159264")</f>
        <v>14013159264</v>
      </c>
      <c r="B1176" s="7" t="s">
        <v>2096</v>
      </c>
      <c r="C1176" s="7" t="s">
        <v>1420</v>
      </c>
      <c r="D1176" s="7" t="s">
        <v>2097</v>
      </c>
      <c r="E1176" s="7" t="s">
        <v>342</v>
      </c>
      <c r="F1176" s="7" t="s">
        <v>2093</v>
      </c>
      <c r="G1176" s="7" t="s">
        <v>369</v>
      </c>
      <c r="H1176" s="7"/>
      <c r="I1176" s="10">
        <v>44762</v>
      </c>
      <c r="J1176" s="7" t="s">
        <v>13</v>
      </c>
      <c r="K1176" s="7" t="s">
        <v>19</v>
      </c>
      <c r="L1176" s="7" t="s">
        <v>20</v>
      </c>
      <c r="M1176" s="7" t="s">
        <v>21</v>
      </c>
    </row>
    <row r="1177" spans="1:13" x14ac:dyDescent="0.3">
      <c r="A1177" s="7" t="str">
        <f>HYPERLINK("https://hsdes.intel.com/resource/14013159266","14013159266")</f>
        <v>14013159266</v>
      </c>
      <c r="B1177" s="7" t="s">
        <v>2098</v>
      </c>
      <c r="C1177" s="7" t="s">
        <v>1420</v>
      </c>
      <c r="D1177" s="7" t="s">
        <v>2099</v>
      </c>
      <c r="E1177" s="7" t="s">
        <v>11</v>
      </c>
      <c r="F1177" s="7" t="s">
        <v>2093</v>
      </c>
      <c r="G1177" s="7" t="s">
        <v>369</v>
      </c>
      <c r="H1177" s="7"/>
      <c r="I1177" s="10">
        <v>44762</v>
      </c>
      <c r="J1177" s="7" t="s">
        <v>13</v>
      </c>
      <c r="K1177" s="7" t="s">
        <v>19</v>
      </c>
      <c r="L1177" s="7" t="s">
        <v>20</v>
      </c>
      <c r="M1177" s="7" t="s">
        <v>21</v>
      </c>
    </row>
    <row r="1178" spans="1:13" x14ac:dyDescent="0.3">
      <c r="A1178" s="7" t="str">
        <f>HYPERLINK("https://hsdes.intel.com/resource/14013159273","14013159273")</f>
        <v>14013159273</v>
      </c>
      <c r="B1178" s="7" t="s">
        <v>2100</v>
      </c>
      <c r="C1178" s="7" t="s">
        <v>1420</v>
      </c>
      <c r="D1178" s="7" t="s">
        <v>2101</v>
      </c>
      <c r="E1178" s="7" t="s">
        <v>11</v>
      </c>
      <c r="F1178" s="7"/>
      <c r="G1178" s="7" t="s">
        <v>1461</v>
      </c>
      <c r="H1178" s="7"/>
      <c r="I1178" s="10">
        <v>44756</v>
      </c>
      <c r="J1178" s="7" t="s">
        <v>13</v>
      </c>
      <c r="K1178" s="7" t="s">
        <v>19</v>
      </c>
      <c r="L1178" s="7" t="s">
        <v>20</v>
      </c>
      <c r="M1178" s="7" t="s">
        <v>21</v>
      </c>
    </row>
    <row r="1179" spans="1:13" x14ac:dyDescent="0.3">
      <c r="A1179" s="7" t="str">
        <f>HYPERLINK("https://hsdes.intel.com/resource/14013159276","14013159276")</f>
        <v>14013159276</v>
      </c>
      <c r="B1179" s="7" t="s">
        <v>2102</v>
      </c>
      <c r="C1179" s="7" t="s">
        <v>1420</v>
      </c>
      <c r="D1179" s="7" t="s">
        <v>2103</v>
      </c>
      <c r="E1179" s="7" t="s">
        <v>11</v>
      </c>
      <c r="F1179" s="7"/>
      <c r="G1179" s="7" t="s">
        <v>1461</v>
      </c>
      <c r="H1179" s="7"/>
      <c r="I1179" s="10">
        <v>44756</v>
      </c>
      <c r="J1179" s="7" t="s">
        <v>13</v>
      </c>
      <c r="K1179" s="7" t="s">
        <v>19</v>
      </c>
      <c r="L1179" s="7" t="s">
        <v>20</v>
      </c>
      <c r="M1179" s="7" t="s">
        <v>21</v>
      </c>
    </row>
    <row r="1180" spans="1:13" x14ac:dyDescent="0.3">
      <c r="A1180" s="7" t="str">
        <f>HYPERLINK("https://hsdes.intel.com/resource/14013159278","14013159278")</f>
        <v>14013159278</v>
      </c>
      <c r="B1180" s="7" t="s">
        <v>2104</v>
      </c>
      <c r="C1180" s="7" t="s">
        <v>1420</v>
      </c>
      <c r="D1180" s="7" t="s">
        <v>2105</v>
      </c>
      <c r="E1180" s="7" t="s">
        <v>32</v>
      </c>
      <c r="F1180" s="7" t="s">
        <v>2038</v>
      </c>
      <c r="G1180" s="7" t="s">
        <v>1461</v>
      </c>
      <c r="H1180" s="7" t="s">
        <v>2449</v>
      </c>
      <c r="I1180" s="10">
        <v>44763</v>
      </c>
      <c r="J1180" s="7" t="s">
        <v>13</v>
      </c>
      <c r="K1180" s="7" t="s">
        <v>19</v>
      </c>
      <c r="L1180" s="7" t="s">
        <v>20</v>
      </c>
      <c r="M1180" s="7" t="s">
        <v>21</v>
      </c>
    </row>
    <row r="1181" spans="1:13" x14ac:dyDescent="0.3">
      <c r="A1181" s="7" t="str">
        <f>HYPERLINK("https://hsdes.intel.com/resource/14013159280","14013159280")</f>
        <v>14013159280</v>
      </c>
      <c r="B1181" s="7" t="s">
        <v>2106</v>
      </c>
      <c r="C1181" s="7" t="s">
        <v>1420</v>
      </c>
      <c r="D1181" s="7" t="s">
        <v>2107</v>
      </c>
      <c r="E1181" s="7" t="s">
        <v>32</v>
      </c>
      <c r="F1181" s="7" t="s">
        <v>2038</v>
      </c>
      <c r="G1181" s="7" t="s">
        <v>1461</v>
      </c>
      <c r="H1181" s="7" t="s">
        <v>2449</v>
      </c>
      <c r="I1181" s="10">
        <v>44763</v>
      </c>
      <c r="J1181" s="7" t="s">
        <v>13</v>
      </c>
      <c r="K1181" s="7" t="s">
        <v>19</v>
      </c>
      <c r="L1181" s="7" t="s">
        <v>20</v>
      </c>
      <c r="M1181" s="7" t="s">
        <v>21</v>
      </c>
    </row>
    <row r="1182" spans="1:13" x14ac:dyDescent="0.3">
      <c r="A1182" s="7" t="str">
        <f>HYPERLINK("https://hsdes.intel.com/resource/14013159282","14013159282")</f>
        <v>14013159282</v>
      </c>
      <c r="B1182" s="7" t="s">
        <v>2108</v>
      </c>
      <c r="C1182" s="7" t="s">
        <v>1420</v>
      </c>
      <c r="D1182" s="7" t="s">
        <v>2109</v>
      </c>
      <c r="E1182" s="7" t="s">
        <v>32</v>
      </c>
      <c r="F1182" s="7" t="s">
        <v>2038</v>
      </c>
      <c r="G1182" s="7" t="s">
        <v>1461</v>
      </c>
      <c r="H1182" s="7" t="s">
        <v>2449</v>
      </c>
      <c r="I1182" s="10">
        <v>44763</v>
      </c>
      <c r="J1182" s="7" t="s">
        <v>13</v>
      </c>
      <c r="K1182" s="7" t="s">
        <v>19</v>
      </c>
      <c r="L1182" s="7" t="s">
        <v>20</v>
      </c>
      <c r="M1182" s="7" t="s">
        <v>21</v>
      </c>
    </row>
    <row r="1183" spans="1:13" x14ac:dyDescent="0.3">
      <c r="A1183" s="7" t="str">
        <f>HYPERLINK("https://hsdes.intel.com/resource/14013159285","14013159285")</f>
        <v>14013159285</v>
      </c>
      <c r="B1183" s="7" t="s">
        <v>2110</v>
      </c>
      <c r="C1183" s="7" t="s">
        <v>1420</v>
      </c>
      <c r="D1183" s="7" t="s">
        <v>2111</v>
      </c>
      <c r="E1183" s="7" t="s">
        <v>32</v>
      </c>
      <c r="F1183" s="7" t="s">
        <v>2038</v>
      </c>
      <c r="G1183" s="7" t="s">
        <v>1461</v>
      </c>
      <c r="H1183" s="7" t="s">
        <v>2449</v>
      </c>
      <c r="I1183" s="10">
        <v>44763</v>
      </c>
      <c r="J1183" s="7" t="s">
        <v>13</v>
      </c>
      <c r="K1183" s="7" t="s">
        <v>19</v>
      </c>
      <c r="L1183" s="7" t="s">
        <v>20</v>
      </c>
      <c r="M1183" s="7" t="s">
        <v>21</v>
      </c>
    </row>
    <row r="1184" spans="1:13" ht="28.8" x14ac:dyDescent="0.3">
      <c r="A1184" s="7" t="str">
        <f>HYPERLINK("https://hsdes.intel.com/resource/14013159294","14013159294")</f>
        <v>14013159294</v>
      </c>
      <c r="B1184" s="28" t="s">
        <v>2112</v>
      </c>
      <c r="C1184" s="7" t="s">
        <v>1420</v>
      </c>
      <c r="D1184" s="7" t="s">
        <v>2113</v>
      </c>
      <c r="E1184" s="7" t="s">
        <v>11</v>
      </c>
      <c r="F1184" s="7"/>
      <c r="G1184" s="7" t="s">
        <v>345</v>
      </c>
      <c r="H1184" s="7"/>
      <c r="I1184" s="10">
        <v>44756</v>
      </c>
      <c r="J1184" s="7" t="s">
        <v>13</v>
      </c>
      <c r="K1184" s="7" t="s">
        <v>19</v>
      </c>
      <c r="L1184" s="7" t="s">
        <v>20</v>
      </c>
      <c r="M1184" s="7" t="s">
        <v>21</v>
      </c>
    </row>
    <row r="1185" spans="1:13" ht="43.2" x14ac:dyDescent="0.3">
      <c r="A1185" s="7" t="str">
        <f>HYPERLINK("https://hsdes.intel.com/resource/14013159296","14013159296")</f>
        <v>14013159296</v>
      </c>
      <c r="B1185" s="28" t="s">
        <v>2114</v>
      </c>
      <c r="C1185" s="7" t="s">
        <v>1420</v>
      </c>
      <c r="D1185" s="7" t="s">
        <v>2115</v>
      </c>
      <c r="E1185" s="7" t="s">
        <v>11</v>
      </c>
      <c r="F1185" s="7"/>
      <c r="G1185" s="7" t="s">
        <v>345</v>
      </c>
      <c r="H1185" s="7"/>
      <c r="I1185" s="10">
        <v>44756</v>
      </c>
      <c r="J1185" s="7" t="s">
        <v>13</v>
      </c>
      <c r="K1185" s="7" t="s">
        <v>19</v>
      </c>
      <c r="L1185" s="7" t="s">
        <v>20</v>
      </c>
      <c r="M1185" s="7" t="s">
        <v>21</v>
      </c>
    </row>
    <row r="1186" spans="1:13" x14ac:dyDescent="0.3">
      <c r="A1186" s="7" t="str">
        <f>HYPERLINK("https://hsdes.intel.com/resource/14013159299","14013159299")</f>
        <v>14013159299</v>
      </c>
      <c r="B1186" s="7" t="s">
        <v>2116</v>
      </c>
      <c r="C1186" s="7" t="s">
        <v>1420</v>
      </c>
      <c r="D1186" s="7" t="s">
        <v>2117</v>
      </c>
      <c r="E1186" s="7" t="s">
        <v>11</v>
      </c>
      <c r="F1186" s="7"/>
      <c r="G1186" s="7" t="s">
        <v>345</v>
      </c>
      <c r="H1186" s="7"/>
      <c r="I1186" s="10">
        <v>44759</v>
      </c>
      <c r="J1186" s="7" t="s">
        <v>13</v>
      </c>
      <c r="K1186" s="7" t="s">
        <v>19</v>
      </c>
      <c r="L1186" s="7" t="s">
        <v>20</v>
      </c>
      <c r="M1186" s="7" t="s">
        <v>21</v>
      </c>
    </row>
    <row r="1187" spans="1:13" x14ac:dyDescent="0.3">
      <c r="A1187" s="7" t="str">
        <f>HYPERLINK("https://hsdes.intel.com/resource/14013159302","14013159302")</f>
        <v>14013159302</v>
      </c>
      <c r="B1187" s="7" t="s">
        <v>2118</v>
      </c>
      <c r="C1187" s="7" t="s">
        <v>1420</v>
      </c>
      <c r="D1187" s="7" t="s">
        <v>2119</v>
      </c>
      <c r="E1187" s="7" t="s">
        <v>11</v>
      </c>
      <c r="F1187" s="7"/>
      <c r="G1187" s="7" t="s">
        <v>345</v>
      </c>
      <c r="H1187" s="7"/>
      <c r="I1187" s="10">
        <v>44759</v>
      </c>
      <c r="J1187" s="7" t="s">
        <v>13</v>
      </c>
      <c r="K1187" s="7" t="s">
        <v>19</v>
      </c>
      <c r="L1187" s="7" t="s">
        <v>20</v>
      </c>
      <c r="M1187" s="7" t="s">
        <v>21</v>
      </c>
    </row>
    <row r="1188" spans="1:13" x14ac:dyDescent="0.3">
      <c r="A1188" s="7" t="str">
        <f>HYPERLINK("https://hsdes.intel.com/resource/14013159304","14013159304")</f>
        <v>14013159304</v>
      </c>
      <c r="B1188" s="7" t="s">
        <v>1224</v>
      </c>
      <c r="C1188" s="7" t="s">
        <v>1420</v>
      </c>
      <c r="D1188" s="7" t="s">
        <v>1225</v>
      </c>
      <c r="E1188" s="7"/>
      <c r="F1188" s="7"/>
      <c r="G1188" s="7" t="s">
        <v>833</v>
      </c>
      <c r="H1188" s="7"/>
      <c r="I1188" s="7"/>
      <c r="J1188" s="7" t="s">
        <v>13</v>
      </c>
      <c r="K1188" s="7" t="s">
        <v>14</v>
      </c>
      <c r="L1188" s="7" t="s">
        <v>88</v>
      </c>
      <c r="M1188" s="7" t="s">
        <v>24</v>
      </c>
    </row>
    <row r="1189" spans="1:13" x14ac:dyDescent="0.3">
      <c r="A1189" s="7" t="str">
        <f>HYPERLINK("https://hsdes.intel.com/resource/14013159310","14013159310")</f>
        <v>14013159310</v>
      </c>
      <c r="B1189" s="7" t="s">
        <v>1226</v>
      </c>
      <c r="C1189" s="7" t="s">
        <v>1420</v>
      </c>
      <c r="D1189" s="7" t="s">
        <v>1227</v>
      </c>
      <c r="E1189" s="7" t="s">
        <v>11</v>
      </c>
      <c r="F1189" s="7" t="s">
        <v>833</v>
      </c>
      <c r="G1189" s="7" t="s">
        <v>345</v>
      </c>
      <c r="H1189" s="7"/>
      <c r="I1189" s="10">
        <v>44757</v>
      </c>
      <c r="J1189" s="7" t="s">
        <v>13</v>
      </c>
      <c r="K1189" s="7" t="s">
        <v>14</v>
      </c>
      <c r="L1189" s="7" t="s">
        <v>88</v>
      </c>
      <c r="M1189" s="7" t="s">
        <v>24</v>
      </c>
    </row>
    <row r="1190" spans="1:13" x14ac:dyDescent="0.3">
      <c r="A1190" s="7" t="str">
        <f>HYPERLINK("https://hsdes.intel.com/resource/14013159319","14013159319")</f>
        <v>14013159319</v>
      </c>
      <c r="B1190" s="7" t="s">
        <v>2120</v>
      </c>
      <c r="C1190" s="7" t="s">
        <v>1420</v>
      </c>
      <c r="D1190" s="7" t="s">
        <v>2121</v>
      </c>
      <c r="E1190" s="7" t="s">
        <v>11</v>
      </c>
      <c r="F1190" s="7"/>
      <c r="G1190" s="7" t="s">
        <v>1849</v>
      </c>
      <c r="H1190" s="7"/>
      <c r="I1190" s="10">
        <v>44755</v>
      </c>
      <c r="J1190" s="7" t="s">
        <v>13</v>
      </c>
      <c r="K1190" s="7" t="s">
        <v>14</v>
      </c>
      <c r="L1190" s="7" t="s">
        <v>88</v>
      </c>
      <c r="M1190" s="7" t="s">
        <v>16</v>
      </c>
    </row>
    <row r="1191" spans="1:13" x14ac:dyDescent="0.3">
      <c r="A1191" s="7" t="str">
        <f>HYPERLINK("https://hsdes.intel.com/resource/14013159323","14013159323")</f>
        <v>14013159323</v>
      </c>
      <c r="B1191" s="7" t="s">
        <v>2122</v>
      </c>
      <c r="C1191" s="7" t="s">
        <v>1420</v>
      </c>
      <c r="D1191" s="7" t="s">
        <v>2123</v>
      </c>
      <c r="E1191" s="7" t="s">
        <v>11</v>
      </c>
      <c r="F1191" s="7"/>
      <c r="G1191" s="7" t="s">
        <v>1849</v>
      </c>
      <c r="H1191" s="7"/>
      <c r="I1191" s="10">
        <v>44755</v>
      </c>
      <c r="J1191" s="7" t="s">
        <v>13</v>
      </c>
      <c r="K1191" s="7" t="s">
        <v>14</v>
      </c>
      <c r="L1191" s="7" t="s">
        <v>88</v>
      </c>
      <c r="M1191" s="7" t="s">
        <v>16</v>
      </c>
    </row>
    <row r="1192" spans="1:13" x14ac:dyDescent="0.3">
      <c r="A1192" s="7" t="str">
        <f>HYPERLINK("https://hsdes.intel.com/resource/14013159329","14013159329")</f>
        <v>14013159329</v>
      </c>
      <c r="B1192" s="7" t="s">
        <v>2124</v>
      </c>
      <c r="C1192" s="7" t="s">
        <v>1420</v>
      </c>
      <c r="D1192" s="7" t="s">
        <v>2125</v>
      </c>
      <c r="E1192" s="7" t="s">
        <v>11</v>
      </c>
      <c r="F1192" s="7"/>
      <c r="G1192" s="7" t="s">
        <v>345</v>
      </c>
      <c r="H1192" s="7"/>
      <c r="I1192" s="10">
        <v>44759</v>
      </c>
      <c r="J1192" s="7" t="s">
        <v>13</v>
      </c>
      <c r="K1192" s="7" t="s">
        <v>19</v>
      </c>
      <c r="L1192" s="7" t="s">
        <v>20</v>
      </c>
      <c r="M1192" s="7" t="s">
        <v>24</v>
      </c>
    </row>
    <row r="1193" spans="1:13" x14ac:dyDescent="0.3">
      <c r="A1193" s="7" t="str">
        <f>HYPERLINK("https://hsdes.intel.com/resource/14013159340","14013159340")</f>
        <v>14013159340</v>
      </c>
      <c r="B1193" s="7" t="s">
        <v>2126</v>
      </c>
      <c r="C1193" s="7" t="s">
        <v>1420</v>
      </c>
      <c r="D1193" s="7" t="s">
        <v>2127</v>
      </c>
      <c r="E1193" s="7" t="s">
        <v>11</v>
      </c>
      <c r="F1193" s="7"/>
      <c r="G1193" s="7" t="s">
        <v>345</v>
      </c>
      <c r="H1193" s="7"/>
      <c r="I1193" s="10">
        <v>44757</v>
      </c>
      <c r="J1193" s="7" t="s">
        <v>13</v>
      </c>
      <c r="K1193" s="7" t="s">
        <v>19</v>
      </c>
      <c r="L1193" s="7" t="s">
        <v>20</v>
      </c>
      <c r="M1193" s="7" t="s">
        <v>21</v>
      </c>
    </row>
    <row r="1194" spans="1:13" x14ac:dyDescent="0.3">
      <c r="A1194" s="7" t="str">
        <f>HYPERLINK("https://hsdes.intel.com/resource/14013159343","14013159343")</f>
        <v>14013159343</v>
      </c>
      <c r="B1194" s="7" t="s">
        <v>2128</v>
      </c>
      <c r="C1194" s="7" t="s">
        <v>1420</v>
      </c>
      <c r="D1194" s="7" t="s">
        <v>2129</v>
      </c>
      <c r="E1194" s="7" t="s">
        <v>11</v>
      </c>
      <c r="F1194" s="7"/>
      <c r="G1194" s="7" t="s">
        <v>345</v>
      </c>
      <c r="H1194" s="7"/>
      <c r="I1194" s="10">
        <v>44757</v>
      </c>
      <c r="J1194" s="7" t="s">
        <v>13</v>
      </c>
      <c r="K1194" s="7" t="s">
        <v>19</v>
      </c>
      <c r="L1194" s="7" t="s">
        <v>20</v>
      </c>
      <c r="M1194" s="7" t="s">
        <v>21</v>
      </c>
    </row>
    <row r="1195" spans="1:13" x14ac:dyDescent="0.3">
      <c r="A1195" s="7" t="str">
        <f>HYPERLINK("https://hsdes.intel.com/resource/14013159344","14013159344")</f>
        <v>14013159344</v>
      </c>
      <c r="B1195" s="7" t="s">
        <v>2130</v>
      </c>
      <c r="C1195" s="7" t="s">
        <v>1420</v>
      </c>
      <c r="D1195" s="7" t="s">
        <v>2131</v>
      </c>
      <c r="E1195" s="7" t="s">
        <v>11</v>
      </c>
      <c r="F1195" s="7"/>
      <c r="G1195" s="7" t="s">
        <v>345</v>
      </c>
      <c r="H1195" s="7"/>
      <c r="I1195" s="10">
        <v>44759</v>
      </c>
      <c r="J1195" s="7" t="s">
        <v>13</v>
      </c>
      <c r="K1195" s="7" t="s">
        <v>19</v>
      </c>
      <c r="L1195" s="7" t="s">
        <v>20</v>
      </c>
      <c r="M1195" s="7" t="s">
        <v>21</v>
      </c>
    </row>
    <row r="1196" spans="1:13" x14ac:dyDescent="0.3">
      <c r="A1196" s="7" t="str">
        <f>HYPERLINK("https://hsdes.intel.com/resource/14013159349","14013159349")</f>
        <v>14013159349</v>
      </c>
      <c r="B1196" s="7" t="s">
        <v>2132</v>
      </c>
      <c r="C1196" s="7" t="s">
        <v>1420</v>
      </c>
      <c r="D1196" s="7" t="s">
        <v>2133</v>
      </c>
      <c r="E1196" s="7" t="s">
        <v>11</v>
      </c>
      <c r="F1196" s="7"/>
      <c r="G1196" s="7" t="s">
        <v>345</v>
      </c>
      <c r="H1196" s="7"/>
      <c r="I1196" s="10">
        <v>44756</v>
      </c>
      <c r="J1196" s="7" t="s">
        <v>13</v>
      </c>
      <c r="K1196" s="7" t="s">
        <v>19</v>
      </c>
      <c r="L1196" s="7" t="s">
        <v>20</v>
      </c>
      <c r="M1196" s="7" t="s">
        <v>21</v>
      </c>
    </row>
    <row r="1197" spans="1:13" x14ac:dyDescent="0.3">
      <c r="A1197" s="7" t="str">
        <f>HYPERLINK("https://hsdes.intel.com/resource/14013159351","14013159351")</f>
        <v>14013159351</v>
      </c>
      <c r="B1197" s="7" t="s">
        <v>2134</v>
      </c>
      <c r="C1197" s="7" t="s">
        <v>1420</v>
      </c>
      <c r="D1197" s="7" t="s">
        <v>2135</v>
      </c>
      <c r="E1197" s="7" t="s">
        <v>11</v>
      </c>
      <c r="F1197" s="7"/>
      <c r="G1197" s="7" t="s">
        <v>345</v>
      </c>
      <c r="H1197" s="7"/>
      <c r="I1197" s="10">
        <v>44756</v>
      </c>
      <c r="J1197" s="7" t="s">
        <v>13</v>
      </c>
      <c r="K1197" s="7" t="s">
        <v>19</v>
      </c>
      <c r="L1197" s="7" t="s">
        <v>20</v>
      </c>
      <c r="M1197" s="7" t="s">
        <v>21</v>
      </c>
    </row>
    <row r="1198" spans="1:13" x14ac:dyDescent="0.3">
      <c r="A1198" s="7" t="str">
        <f>HYPERLINK("https://hsdes.intel.com/resource/14013159356","14013159356")</f>
        <v>14013159356</v>
      </c>
      <c r="B1198" s="7" t="s">
        <v>2136</v>
      </c>
      <c r="C1198" s="7" t="s">
        <v>1420</v>
      </c>
      <c r="D1198" s="7" t="s">
        <v>2137</v>
      </c>
      <c r="E1198" s="7" t="s">
        <v>11</v>
      </c>
      <c r="F1198" s="7"/>
      <c r="G1198" s="7" t="s">
        <v>345</v>
      </c>
      <c r="H1198" s="7"/>
      <c r="I1198" s="10">
        <v>44757</v>
      </c>
      <c r="J1198" s="7" t="s">
        <v>13</v>
      </c>
      <c r="K1198" s="7" t="s">
        <v>19</v>
      </c>
      <c r="L1198" s="7" t="s">
        <v>20</v>
      </c>
      <c r="M1198" s="7" t="s">
        <v>21</v>
      </c>
    </row>
    <row r="1199" spans="1:13" x14ac:dyDescent="0.3">
      <c r="A1199" s="7" t="str">
        <f>HYPERLINK("https://hsdes.intel.com/resource/14013159363","14013159363")</f>
        <v>14013159363</v>
      </c>
      <c r="B1199" s="7" t="s">
        <v>2138</v>
      </c>
      <c r="C1199" s="7" t="s">
        <v>1420</v>
      </c>
      <c r="D1199" s="7" t="s">
        <v>2139</v>
      </c>
      <c r="E1199" s="7" t="s">
        <v>11</v>
      </c>
      <c r="F1199" s="7"/>
      <c r="G1199" s="7" t="s">
        <v>345</v>
      </c>
      <c r="H1199" s="7"/>
      <c r="I1199" s="10">
        <v>44756</v>
      </c>
      <c r="J1199" s="7" t="s">
        <v>13</v>
      </c>
      <c r="K1199" s="7" t="s">
        <v>19</v>
      </c>
      <c r="L1199" s="7" t="s">
        <v>20</v>
      </c>
      <c r="M1199" s="7" t="s">
        <v>21</v>
      </c>
    </row>
    <row r="1200" spans="1:13" x14ac:dyDescent="0.3">
      <c r="A1200" s="7" t="str">
        <f>HYPERLINK("https://hsdes.intel.com/resource/14013159365","14013159365")</f>
        <v>14013159365</v>
      </c>
      <c r="B1200" s="7" t="s">
        <v>2140</v>
      </c>
      <c r="C1200" s="7" t="s">
        <v>1420</v>
      </c>
      <c r="D1200" s="7" t="s">
        <v>2141</v>
      </c>
      <c r="E1200" s="7" t="s">
        <v>11</v>
      </c>
      <c r="F1200" s="7"/>
      <c r="G1200" s="7" t="s">
        <v>345</v>
      </c>
      <c r="H1200" s="7"/>
      <c r="I1200" s="10">
        <v>44759</v>
      </c>
      <c r="J1200" s="7" t="s">
        <v>13</v>
      </c>
      <c r="K1200" s="7" t="s">
        <v>19</v>
      </c>
      <c r="L1200" s="7" t="s">
        <v>20</v>
      </c>
      <c r="M1200" s="7" t="s">
        <v>21</v>
      </c>
    </row>
    <row r="1201" spans="1:13" x14ac:dyDescent="0.3">
      <c r="A1201" s="7" t="str">
        <f>HYPERLINK("https://hsdes.intel.com/resource/14013159413","14013159413")</f>
        <v>14013159413</v>
      </c>
      <c r="B1201" s="7" t="s">
        <v>2142</v>
      </c>
      <c r="C1201" s="7" t="s">
        <v>1420</v>
      </c>
      <c r="D1201" s="7" t="s">
        <v>2143</v>
      </c>
      <c r="E1201" s="7" t="s">
        <v>37</v>
      </c>
      <c r="F1201" s="7" t="s">
        <v>352</v>
      </c>
      <c r="G1201" s="7" t="s">
        <v>345</v>
      </c>
      <c r="H1201" s="7"/>
      <c r="I1201" s="10">
        <v>44757</v>
      </c>
      <c r="J1201" s="7" t="s">
        <v>192</v>
      </c>
      <c r="K1201" s="7" t="s">
        <v>19</v>
      </c>
      <c r="L1201" s="7" t="s">
        <v>20</v>
      </c>
      <c r="M1201" s="7" t="s">
        <v>21</v>
      </c>
    </row>
    <row r="1202" spans="1:13" x14ac:dyDescent="0.3">
      <c r="A1202" s="7" t="str">
        <f>HYPERLINK("https://hsdes.intel.com/resource/14013159419","14013159419")</f>
        <v>14013159419</v>
      </c>
      <c r="B1202" s="7" t="s">
        <v>2144</v>
      </c>
      <c r="C1202" s="7" t="s">
        <v>1420</v>
      </c>
      <c r="D1202" s="7" t="s">
        <v>2145</v>
      </c>
      <c r="E1202" s="7" t="s">
        <v>11</v>
      </c>
      <c r="F1202" s="7"/>
      <c r="G1202" s="7" t="s">
        <v>345</v>
      </c>
      <c r="H1202" s="7"/>
      <c r="I1202" s="10">
        <v>44757</v>
      </c>
      <c r="J1202" s="7" t="s">
        <v>13</v>
      </c>
      <c r="K1202" s="7" t="s">
        <v>19</v>
      </c>
      <c r="L1202" s="7" t="s">
        <v>20</v>
      </c>
      <c r="M1202" s="7" t="s">
        <v>21</v>
      </c>
    </row>
    <row r="1203" spans="1:13" x14ac:dyDescent="0.3">
      <c r="A1203" s="7" t="str">
        <f>HYPERLINK("https://hsdes.intel.com/resource/14013159421","14013159421")</f>
        <v>14013159421</v>
      </c>
      <c r="B1203" s="7" t="s">
        <v>2146</v>
      </c>
      <c r="C1203" s="7" t="s">
        <v>1420</v>
      </c>
      <c r="D1203" s="7" t="s">
        <v>2147</v>
      </c>
      <c r="E1203" s="7" t="s">
        <v>11</v>
      </c>
      <c r="F1203" s="7"/>
      <c r="G1203" s="7" t="s">
        <v>345</v>
      </c>
      <c r="H1203" s="7"/>
      <c r="I1203" s="10">
        <v>44757</v>
      </c>
      <c r="J1203" s="7" t="s">
        <v>13</v>
      </c>
      <c r="K1203" s="7" t="s">
        <v>19</v>
      </c>
      <c r="L1203" s="7" t="s">
        <v>20</v>
      </c>
      <c r="M1203" s="7" t="s">
        <v>21</v>
      </c>
    </row>
    <row r="1204" spans="1:13" x14ac:dyDescent="0.3">
      <c r="A1204" s="7" t="str">
        <f>HYPERLINK("https://hsdes.intel.com/resource/14013159423","14013159423")</f>
        <v>14013159423</v>
      </c>
      <c r="B1204" s="7" t="s">
        <v>2148</v>
      </c>
      <c r="C1204" s="7" t="s">
        <v>1420</v>
      </c>
      <c r="D1204" s="7" t="s">
        <v>2149</v>
      </c>
      <c r="E1204" s="7" t="s">
        <v>11</v>
      </c>
      <c r="F1204" s="7"/>
      <c r="G1204" s="7" t="s">
        <v>345</v>
      </c>
      <c r="H1204" s="7"/>
      <c r="I1204" s="10">
        <v>44757</v>
      </c>
      <c r="J1204" s="7" t="s">
        <v>13</v>
      </c>
      <c r="K1204" s="7" t="s">
        <v>19</v>
      </c>
      <c r="L1204" s="7" t="s">
        <v>20</v>
      </c>
      <c r="M1204" s="7" t="s">
        <v>21</v>
      </c>
    </row>
    <row r="1205" spans="1:13" x14ac:dyDescent="0.3">
      <c r="A1205" s="7" t="str">
        <f>HYPERLINK("https://hsdes.intel.com/resource/14013159425","14013159425")</f>
        <v>14013159425</v>
      </c>
      <c r="B1205" s="7" t="s">
        <v>2150</v>
      </c>
      <c r="C1205" s="7" t="s">
        <v>1420</v>
      </c>
      <c r="D1205" s="7" t="s">
        <v>2151</v>
      </c>
      <c r="E1205" s="7" t="s">
        <v>11</v>
      </c>
      <c r="F1205" s="7"/>
      <c r="G1205" s="7" t="s">
        <v>345</v>
      </c>
      <c r="H1205" s="7"/>
      <c r="I1205" s="10">
        <v>44757</v>
      </c>
      <c r="J1205" s="7" t="s">
        <v>13</v>
      </c>
      <c r="K1205" s="7" t="s">
        <v>19</v>
      </c>
      <c r="L1205" s="7" t="s">
        <v>20</v>
      </c>
      <c r="M1205" s="7" t="s">
        <v>21</v>
      </c>
    </row>
    <row r="1206" spans="1:13" x14ac:dyDescent="0.3">
      <c r="A1206" s="7" t="str">
        <f>HYPERLINK("https://hsdes.intel.com/resource/14013159431","14013159431")</f>
        <v>14013159431</v>
      </c>
      <c r="B1206" s="7" t="s">
        <v>2152</v>
      </c>
      <c r="C1206" s="7" t="s">
        <v>1420</v>
      </c>
      <c r="D1206" s="7" t="s">
        <v>2153</v>
      </c>
      <c r="E1206" s="7" t="s">
        <v>11</v>
      </c>
      <c r="F1206" s="7"/>
      <c r="G1206" s="7" t="s">
        <v>345</v>
      </c>
      <c r="H1206" s="7"/>
      <c r="I1206" s="10">
        <v>44759</v>
      </c>
      <c r="J1206" s="7" t="s">
        <v>13</v>
      </c>
      <c r="K1206" s="7" t="s">
        <v>19</v>
      </c>
      <c r="L1206" s="7" t="s">
        <v>20</v>
      </c>
      <c r="M1206" s="7" t="s">
        <v>21</v>
      </c>
    </row>
    <row r="1207" spans="1:13" x14ac:dyDescent="0.3">
      <c r="A1207" s="7" t="str">
        <f>HYPERLINK("https://hsdes.intel.com/resource/14013159433","14013159433")</f>
        <v>14013159433</v>
      </c>
      <c r="B1207" s="7" t="s">
        <v>2154</v>
      </c>
      <c r="C1207" s="7" t="s">
        <v>1420</v>
      </c>
      <c r="D1207" s="7" t="s">
        <v>2155</v>
      </c>
      <c r="E1207" s="7" t="s">
        <v>11</v>
      </c>
      <c r="F1207" s="7"/>
      <c r="G1207" s="7" t="s">
        <v>345</v>
      </c>
      <c r="H1207" s="7"/>
      <c r="I1207" s="10">
        <v>44759</v>
      </c>
      <c r="J1207" s="7" t="s">
        <v>13</v>
      </c>
      <c r="K1207" s="7" t="s">
        <v>19</v>
      </c>
      <c r="L1207" s="7" t="s">
        <v>20</v>
      </c>
      <c r="M1207" s="7" t="s">
        <v>21</v>
      </c>
    </row>
    <row r="1208" spans="1:13" x14ac:dyDescent="0.3">
      <c r="A1208" s="7" t="str">
        <f>HYPERLINK("https://hsdes.intel.com/resource/14013159441","14013159441")</f>
        <v>14013159441</v>
      </c>
      <c r="B1208" s="7" t="s">
        <v>2156</v>
      </c>
      <c r="C1208" s="7" t="s">
        <v>1420</v>
      </c>
      <c r="D1208" s="7" t="s">
        <v>2157</v>
      </c>
      <c r="E1208" s="7" t="s">
        <v>11</v>
      </c>
      <c r="F1208" s="7"/>
      <c r="G1208" s="7" t="s">
        <v>345</v>
      </c>
      <c r="H1208" s="7"/>
      <c r="I1208" s="10">
        <v>44756</v>
      </c>
      <c r="J1208" s="7" t="s">
        <v>13</v>
      </c>
      <c r="K1208" s="7" t="s">
        <v>19</v>
      </c>
      <c r="L1208" s="7" t="s">
        <v>20</v>
      </c>
      <c r="M1208" s="7" t="s">
        <v>21</v>
      </c>
    </row>
    <row r="1209" spans="1:13" x14ac:dyDescent="0.3">
      <c r="A1209" s="7" t="str">
        <f>HYPERLINK("https://hsdes.intel.com/resource/14013159443","14013159443")</f>
        <v>14013159443</v>
      </c>
      <c r="B1209" s="7" t="s">
        <v>2158</v>
      </c>
      <c r="C1209" s="7" t="s">
        <v>1420</v>
      </c>
      <c r="D1209" s="7" t="s">
        <v>2159</v>
      </c>
      <c r="E1209" s="7" t="s">
        <v>11</v>
      </c>
      <c r="F1209" s="7"/>
      <c r="G1209" s="7" t="s">
        <v>345</v>
      </c>
      <c r="H1209" s="7"/>
      <c r="I1209" s="10">
        <v>44757</v>
      </c>
      <c r="J1209" s="7" t="s">
        <v>13</v>
      </c>
      <c r="K1209" s="7" t="s">
        <v>19</v>
      </c>
      <c r="L1209" s="7" t="s">
        <v>20</v>
      </c>
      <c r="M1209" s="7" t="s">
        <v>21</v>
      </c>
    </row>
    <row r="1210" spans="1:13" x14ac:dyDescent="0.3">
      <c r="A1210" s="7" t="str">
        <f>HYPERLINK("https://hsdes.intel.com/resource/14013159446","14013159446")</f>
        <v>14013159446</v>
      </c>
      <c r="B1210" s="7" t="s">
        <v>2160</v>
      </c>
      <c r="C1210" s="7" t="s">
        <v>1420</v>
      </c>
      <c r="D1210" s="7" t="s">
        <v>2161</v>
      </c>
      <c r="E1210" s="7" t="s">
        <v>11</v>
      </c>
      <c r="F1210" s="7"/>
      <c r="G1210" s="7" t="s">
        <v>345</v>
      </c>
      <c r="H1210" s="7"/>
      <c r="I1210" s="10">
        <v>44757</v>
      </c>
      <c r="J1210" s="7" t="s">
        <v>13</v>
      </c>
      <c r="K1210" s="7" t="s">
        <v>19</v>
      </c>
      <c r="L1210" s="7" t="s">
        <v>20</v>
      </c>
      <c r="M1210" s="7" t="s">
        <v>21</v>
      </c>
    </row>
    <row r="1211" spans="1:13" x14ac:dyDescent="0.3">
      <c r="A1211" s="7" t="str">
        <f>HYPERLINK("https://hsdes.intel.com/resource/14013159450","14013159450")</f>
        <v>14013159450</v>
      </c>
      <c r="B1211" s="7" t="s">
        <v>2162</v>
      </c>
      <c r="C1211" s="7" t="s">
        <v>1420</v>
      </c>
      <c r="D1211" s="7" t="s">
        <v>2163</v>
      </c>
      <c r="E1211" s="7" t="s">
        <v>11</v>
      </c>
      <c r="F1211" s="7"/>
      <c r="G1211" s="7" t="s">
        <v>345</v>
      </c>
      <c r="H1211" s="7"/>
      <c r="I1211" s="10">
        <v>44756</v>
      </c>
      <c r="J1211" s="7" t="s">
        <v>13</v>
      </c>
      <c r="K1211" s="7" t="s">
        <v>19</v>
      </c>
      <c r="L1211" s="7" t="s">
        <v>20</v>
      </c>
      <c r="M1211" s="7" t="s">
        <v>21</v>
      </c>
    </row>
    <row r="1212" spans="1:13" x14ac:dyDescent="0.3">
      <c r="A1212" s="7" t="str">
        <f>HYPERLINK("https://hsdes.intel.com/resource/14013159453","14013159453")</f>
        <v>14013159453</v>
      </c>
      <c r="B1212" s="7" t="s">
        <v>2164</v>
      </c>
      <c r="C1212" s="7" t="s">
        <v>1420</v>
      </c>
      <c r="D1212" s="7" t="s">
        <v>2165</v>
      </c>
      <c r="E1212" s="7" t="s">
        <v>11</v>
      </c>
      <c r="F1212" s="7"/>
      <c r="G1212" s="7" t="s">
        <v>345</v>
      </c>
      <c r="H1212" s="7"/>
      <c r="I1212" s="10">
        <v>44759</v>
      </c>
      <c r="J1212" s="7" t="s">
        <v>13</v>
      </c>
      <c r="K1212" s="7" t="s">
        <v>19</v>
      </c>
      <c r="L1212" s="7" t="s">
        <v>20</v>
      </c>
      <c r="M1212" s="7" t="s">
        <v>21</v>
      </c>
    </row>
    <row r="1213" spans="1:13" x14ac:dyDescent="0.3">
      <c r="A1213" s="7" t="str">
        <f>HYPERLINK("https://hsdes.intel.com/resource/14013159460","14013159460")</f>
        <v>14013159460</v>
      </c>
      <c r="B1213" s="7" t="s">
        <v>2166</v>
      </c>
      <c r="C1213" s="7" t="s">
        <v>1420</v>
      </c>
      <c r="D1213" s="7" t="s">
        <v>2167</v>
      </c>
      <c r="E1213" s="7" t="s">
        <v>11</v>
      </c>
      <c r="F1213" s="7"/>
      <c r="G1213" s="7" t="s">
        <v>345</v>
      </c>
      <c r="H1213" s="7"/>
      <c r="I1213" s="10">
        <v>44759</v>
      </c>
      <c r="J1213" s="7" t="s">
        <v>13</v>
      </c>
      <c r="K1213" s="7" t="s">
        <v>19</v>
      </c>
      <c r="L1213" s="7" t="s">
        <v>20</v>
      </c>
      <c r="M1213" s="7" t="s">
        <v>21</v>
      </c>
    </row>
    <row r="1214" spans="1:13" x14ac:dyDescent="0.3">
      <c r="A1214" s="7" t="str">
        <f>HYPERLINK("https://hsdes.intel.com/resource/14013159478","14013159478")</f>
        <v>14013159478</v>
      </c>
      <c r="B1214" s="7" t="s">
        <v>2168</v>
      </c>
      <c r="C1214" s="7" t="s">
        <v>1420</v>
      </c>
      <c r="D1214" s="7" t="s">
        <v>2169</v>
      </c>
      <c r="E1214" s="7" t="s">
        <v>11</v>
      </c>
      <c r="F1214" s="7"/>
      <c r="G1214" s="7" t="s">
        <v>345</v>
      </c>
      <c r="H1214" s="7"/>
      <c r="I1214" s="10">
        <v>44759</v>
      </c>
      <c r="J1214" s="7" t="s">
        <v>13</v>
      </c>
      <c r="K1214" s="7" t="s">
        <v>19</v>
      </c>
      <c r="L1214" s="7" t="s">
        <v>20</v>
      </c>
      <c r="M1214" s="7" t="s">
        <v>21</v>
      </c>
    </row>
    <row r="1215" spans="1:13" x14ac:dyDescent="0.3">
      <c r="A1215" s="7" t="str">
        <f>HYPERLINK("https://hsdes.intel.com/resource/14013159482","14013159482")</f>
        <v>14013159482</v>
      </c>
      <c r="B1215" s="7" t="s">
        <v>2170</v>
      </c>
      <c r="C1215" s="7" t="s">
        <v>1420</v>
      </c>
      <c r="D1215" s="7" t="s">
        <v>2171</v>
      </c>
      <c r="E1215" s="7" t="s">
        <v>11</v>
      </c>
      <c r="F1215" s="7"/>
      <c r="G1215" s="7" t="s">
        <v>345</v>
      </c>
      <c r="H1215" s="7"/>
      <c r="I1215" s="10">
        <v>44759</v>
      </c>
      <c r="J1215" s="7" t="s">
        <v>13</v>
      </c>
      <c r="K1215" s="7" t="s">
        <v>19</v>
      </c>
      <c r="L1215" s="7" t="s">
        <v>20</v>
      </c>
      <c r="M1215" s="7" t="s">
        <v>21</v>
      </c>
    </row>
    <row r="1216" spans="1:13" x14ac:dyDescent="0.3">
      <c r="A1216" s="7" t="str">
        <f>HYPERLINK("https://hsdes.intel.com/resource/14013159484","14013159484")</f>
        <v>14013159484</v>
      </c>
      <c r="B1216" s="7" t="s">
        <v>2172</v>
      </c>
      <c r="C1216" s="7" t="s">
        <v>1420</v>
      </c>
      <c r="D1216" s="7" t="s">
        <v>2173</v>
      </c>
      <c r="E1216" s="7" t="s">
        <v>11</v>
      </c>
      <c r="F1216" s="7"/>
      <c r="G1216" s="7" t="s">
        <v>345</v>
      </c>
      <c r="H1216" s="7"/>
      <c r="I1216" s="10">
        <v>44759</v>
      </c>
      <c r="J1216" s="7" t="s">
        <v>13</v>
      </c>
      <c r="K1216" s="7" t="s">
        <v>19</v>
      </c>
      <c r="L1216" s="7" t="s">
        <v>20</v>
      </c>
      <c r="M1216" s="7" t="s">
        <v>21</v>
      </c>
    </row>
    <row r="1217" spans="1:13" x14ac:dyDescent="0.3">
      <c r="A1217" s="7" t="str">
        <f>HYPERLINK("https://hsdes.intel.com/resource/14013159493","14013159493")</f>
        <v>14013159493</v>
      </c>
      <c r="B1217" s="7" t="s">
        <v>2174</v>
      </c>
      <c r="C1217" s="7" t="s">
        <v>1420</v>
      </c>
      <c r="D1217" s="7" t="s">
        <v>2175</v>
      </c>
      <c r="E1217" s="7" t="s">
        <v>11</v>
      </c>
      <c r="F1217" s="7"/>
      <c r="G1217" s="7" t="s">
        <v>345</v>
      </c>
      <c r="H1217" s="7"/>
      <c r="I1217" s="10">
        <v>44757</v>
      </c>
      <c r="J1217" s="7" t="s">
        <v>13</v>
      </c>
      <c r="K1217" s="7" t="s">
        <v>19</v>
      </c>
      <c r="L1217" s="7" t="s">
        <v>20</v>
      </c>
      <c r="M1217" s="7" t="s">
        <v>21</v>
      </c>
    </row>
    <row r="1218" spans="1:13" x14ac:dyDescent="0.3">
      <c r="A1218" s="7" t="str">
        <f>HYPERLINK("https://hsdes.intel.com/resource/14013159498","14013159498")</f>
        <v>14013159498</v>
      </c>
      <c r="B1218" s="7" t="s">
        <v>2176</v>
      </c>
      <c r="C1218" s="7" t="s">
        <v>1420</v>
      </c>
      <c r="D1218" s="7" t="s">
        <v>2177</v>
      </c>
      <c r="E1218" s="7" t="s">
        <v>11</v>
      </c>
      <c r="F1218" s="7"/>
      <c r="G1218" s="7" t="s">
        <v>345</v>
      </c>
      <c r="H1218" s="7"/>
      <c r="I1218" s="10">
        <v>44757</v>
      </c>
      <c r="J1218" s="7" t="s">
        <v>13</v>
      </c>
      <c r="K1218" s="7" t="s">
        <v>19</v>
      </c>
      <c r="L1218" s="7" t="s">
        <v>20</v>
      </c>
      <c r="M1218" s="7" t="s">
        <v>21</v>
      </c>
    </row>
    <row r="1219" spans="1:13" x14ac:dyDescent="0.3">
      <c r="A1219" s="7" t="str">
        <f>HYPERLINK("https://hsdes.intel.com/resource/14013159500","14013159500")</f>
        <v>14013159500</v>
      </c>
      <c r="B1219" s="7" t="s">
        <v>2178</v>
      </c>
      <c r="C1219" s="7" t="s">
        <v>1420</v>
      </c>
      <c r="D1219" s="7" t="s">
        <v>2179</v>
      </c>
      <c r="E1219" s="7" t="s">
        <v>11</v>
      </c>
      <c r="F1219" s="7"/>
      <c r="G1219" s="7" t="s">
        <v>345</v>
      </c>
      <c r="H1219" s="7"/>
      <c r="I1219" s="10">
        <v>44756</v>
      </c>
      <c r="J1219" s="7" t="s">
        <v>13</v>
      </c>
      <c r="K1219" s="7" t="s">
        <v>19</v>
      </c>
      <c r="L1219" s="7" t="s">
        <v>20</v>
      </c>
      <c r="M1219" s="7" t="s">
        <v>21</v>
      </c>
    </row>
    <row r="1220" spans="1:13" x14ac:dyDescent="0.3">
      <c r="A1220" s="7" t="str">
        <f>HYPERLINK("https://hsdes.intel.com/resource/14013159503","14013159503")</f>
        <v>14013159503</v>
      </c>
      <c r="B1220" s="7" t="s">
        <v>2180</v>
      </c>
      <c r="C1220" s="7" t="s">
        <v>1420</v>
      </c>
      <c r="D1220" s="7" t="s">
        <v>2181</v>
      </c>
      <c r="E1220" s="7" t="s">
        <v>11</v>
      </c>
      <c r="F1220" s="7"/>
      <c r="G1220" s="7" t="s">
        <v>345</v>
      </c>
      <c r="H1220" s="7"/>
      <c r="I1220" s="10">
        <v>44757</v>
      </c>
      <c r="J1220" s="7" t="s">
        <v>13</v>
      </c>
      <c r="K1220" s="7" t="s">
        <v>19</v>
      </c>
      <c r="L1220" s="7" t="s">
        <v>20</v>
      </c>
      <c r="M1220" s="7" t="s">
        <v>21</v>
      </c>
    </row>
    <row r="1221" spans="1:13" x14ac:dyDescent="0.3">
      <c r="A1221" s="7" t="str">
        <f>HYPERLINK("https://hsdes.intel.com/resource/14013159505","14013159505")</f>
        <v>14013159505</v>
      </c>
      <c r="B1221" s="7" t="s">
        <v>2182</v>
      </c>
      <c r="C1221" s="7" t="s">
        <v>1420</v>
      </c>
      <c r="D1221" s="7" t="s">
        <v>2183</v>
      </c>
      <c r="E1221" s="7" t="s">
        <v>11</v>
      </c>
      <c r="F1221" s="7"/>
      <c r="G1221" s="7" t="s">
        <v>345</v>
      </c>
      <c r="H1221" s="7"/>
      <c r="I1221" s="10">
        <v>44756</v>
      </c>
      <c r="J1221" s="7" t="s">
        <v>13</v>
      </c>
      <c r="K1221" s="7" t="s">
        <v>19</v>
      </c>
      <c r="L1221" s="7" t="s">
        <v>20</v>
      </c>
      <c r="M1221" s="7" t="s">
        <v>21</v>
      </c>
    </row>
    <row r="1222" spans="1:13" x14ac:dyDescent="0.3">
      <c r="A1222" s="7" t="str">
        <f>HYPERLINK("https://hsdes.intel.com/resource/14013159507","14013159507")</f>
        <v>14013159507</v>
      </c>
      <c r="B1222" s="7" t="s">
        <v>2184</v>
      </c>
      <c r="C1222" s="7" t="s">
        <v>1420</v>
      </c>
      <c r="D1222" s="7" t="s">
        <v>2185</v>
      </c>
      <c r="E1222" s="7" t="s">
        <v>11</v>
      </c>
      <c r="F1222" s="7"/>
      <c r="G1222" s="7" t="s">
        <v>345</v>
      </c>
      <c r="H1222" s="7"/>
      <c r="I1222" s="10">
        <v>44757</v>
      </c>
      <c r="J1222" s="7" t="s">
        <v>13</v>
      </c>
      <c r="K1222" s="7" t="s">
        <v>19</v>
      </c>
      <c r="L1222" s="7" t="s">
        <v>20</v>
      </c>
      <c r="M1222" s="7" t="s">
        <v>21</v>
      </c>
    </row>
    <row r="1223" spans="1:13" x14ac:dyDescent="0.3">
      <c r="A1223" s="7" t="str">
        <f>HYPERLINK("https://hsdes.intel.com/resource/14013159510","14013159510")</f>
        <v>14013159510</v>
      </c>
      <c r="B1223" s="7" t="s">
        <v>2186</v>
      </c>
      <c r="C1223" s="7" t="s">
        <v>1420</v>
      </c>
      <c r="D1223" s="7" t="s">
        <v>2187</v>
      </c>
      <c r="E1223" s="7" t="s">
        <v>11</v>
      </c>
      <c r="F1223" s="7"/>
      <c r="G1223" s="7" t="s">
        <v>345</v>
      </c>
      <c r="H1223" s="7"/>
      <c r="I1223" s="10">
        <v>44757</v>
      </c>
      <c r="J1223" s="7" t="s">
        <v>13</v>
      </c>
      <c r="K1223" s="7" t="s">
        <v>19</v>
      </c>
      <c r="L1223" s="7" t="s">
        <v>20</v>
      </c>
      <c r="M1223" s="7" t="s">
        <v>21</v>
      </c>
    </row>
    <row r="1224" spans="1:13" ht="28.8" x14ac:dyDescent="0.3">
      <c r="A1224" s="7" t="str">
        <f>HYPERLINK("https://hsdes.intel.com/resource/14013159519","14013159519")</f>
        <v>14013159519</v>
      </c>
      <c r="B1224" s="28" t="s">
        <v>2188</v>
      </c>
      <c r="C1224" s="7" t="s">
        <v>1420</v>
      </c>
      <c r="D1224" s="7" t="s">
        <v>2189</v>
      </c>
      <c r="E1224" s="7" t="s">
        <v>11</v>
      </c>
      <c r="F1224" s="7"/>
      <c r="G1224" s="7" t="s">
        <v>345</v>
      </c>
      <c r="H1224" s="7"/>
      <c r="I1224" s="10">
        <v>44759</v>
      </c>
      <c r="J1224" s="7" t="s">
        <v>13</v>
      </c>
      <c r="K1224" s="7" t="s">
        <v>19</v>
      </c>
      <c r="L1224" s="7" t="s">
        <v>20</v>
      </c>
      <c r="M1224" s="7" t="s">
        <v>21</v>
      </c>
    </row>
    <row r="1225" spans="1:13" x14ac:dyDescent="0.3">
      <c r="A1225" s="7" t="str">
        <f>HYPERLINK("https://hsdes.intel.com/resource/14013159524","14013159524")</f>
        <v>14013159524</v>
      </c>
      <c r="B1225" s="7" t="s">
        <v>2190</v>
      </c>
      <c r="C1225" s="7" t="s">
        <v>1420</v>
      </c>
      <c r="D1225" s="7" t="s">
        <v>2191</v>
      </c>
      <c r="E1225" s="7" t="s">
        <v>11</v>
      </c>
      <c r="F1225" s="7"/>
      <c r="G1225" s="7" t="s">
        <v>345</v>
      </c>
      <c r="H1225" s="7"/>
      <c r="I1225" s="10">
        <v>44759</v>
      </c>
      <c r="J1225" s="7" t="s">
        <v>13</v>
      </c>
      <c r="K1225" s="7" t="s">
        <v>19</v>
      </c>
      <c r="L1225" s="7" t="s">
        <v>20</v>
      </c>
      <c r="M1225" s="7" t="s">
        <v>21</v>
      </c>
    </row>
    <row r="1226" spans="1:13" x14ac:dyDescent="0.3">
      <c r="A1226" s="7" t="str">
        <f>HYPERLINK("https://hsdes.intel.com/resource/14013159554","14013159554")</f>
        <v>14013159554</v>
      </c>
      <c r="B1226" s="7" t="s">
        <v>2192</v>
      </c>
      <c r="C1226" s="7" t="s">
        <v>1420</v>
      </c>
      <c r="D1226" s="7" t="s">
        <v>2193</v>
      </c>
      <c r="E1226" s="7" t="s">
        <v>11</v>
      </c>
      <c r="F1226" s="7"/>
      <c r="G1226" s="7" t="s">
        <v>345</v>
      </c>
      <c r="H1226" s="7"/>
      <c r="I1226" s="10">
        <v>44757</v>
      </c>
      <c r="J1226" s="7" t="s">
        <v>13</v>
      </c>
      <c r="K1226" s="7" t="s">
        <v>19</v>
      </c>
      <c r="L1226" s="7" t="s">
        <v>20</v>
      </c>
      <c r="M1226" s="7" t="s">
        <v>21</v>
      </c>
    </row>
    <row r="1227" spans="1:13" x14ac:dyDescent="0.3">
      <c r="A1227" s="7" t="str">
        <f>HYPERLINK("https://hsdes.intel.com/resource/14013159557","14013159557")</f>
        <v>14013159557</v>
      </c>
      <c r="B1227" s="7" t="s">
        <v>2194</v>
      </c>
      <c r="C1227" s="7" t="s">
        <v>1420</v>
      </c>
      <c r="D1227" s="7" t="s">
        <v>2195</v>
      </c>
      <c r="E1227" s="7" t="s">
        <v>11</v>
      </c>
      <c r="F1227" s="7"/>
      <c r="G1227" s="7" t="s">
        <v>345</v>
      </c>
      <c r="H1227" s="7"/>
      <c r="I1227" s="10">
        <v>44757</v>
      </c>
      <c r="J1227" s="7" t="s">
        <v>13</v>
      </c>
      <c r="K1227" s="7" t="s">
        <v>19</v>
      </c>
      <c r="L1227" s="7" t="s">
        <v>20</v>
      </c>
      <c r="M1227" s="7" t="s">
        <v>21</v>
      </c>
    </row>
    <row r="1228" spans="1:13" x14ac:dyDescent="0.3">
      <c r="A1228" s="7" t="str">
        <f>HYPERLINK("https://hsdes.intel.com/resource/14013159561","14013159561")</f>
        <v>14013159561</v>
      </c>
      <c r="B1228" s="7" t="s">
        <v>2196</v>
      </c>
      <c r="C1228" s="7" t="s">
        <v>1420</v>
      </c>
      <c r="D1228" s="7" t="s">
        <v>2197</v>
      </c>
      <c r="E1228" s="7" t="s">
        <v>37</v>
      </c>
      <c r="F1228" s="7" t="s">
        <v>352</v>
      </c>
      <c r="G1228" s="7" t="s">
        <v>345</v>
      </c>
      <c r="H1228" s="7"/>
      <c r="I1228" s="10">
        <v>44757</v>
      </c>
      <c r="J1228" s="7" t="s">
        <v>192</v>
      </c>
      <c r="K1228" s="7" t="s">
        <v>19</v>
      </c>
      <c r="L1228" s="7" t="s">
        <v>20</v>
      </c>
      <c r="M1228" s="7" t="s">
        <v>21</v>
      </c>
    </row>
    <row r="1229" spans="1:13" x14ac:dyDescent="0.3">
      <c r="A1229" s="7" t="str">
        <f>HYPERLINK("https://hsdes.intel.com/resource/14013159563","14013159563")</f>
        <v>14013159563</v>
      </c>
      <c r="B1229" s="7" t="s">
        <v>2198</v>
      </c>
      <c r="C1229" s="7" t="s">
        <v>1420</v>
      </c>
      <c r="D1229" s="7" t="s">
        <v>2199</v>
      </c>
      <c r="E1229" s="7" t="s">
        <v>37</v>
      </c>
      <c r="F1229" s="7" t="s">
        <v>352</v>
      </c>
      <c r="G1229" s="7" t="s">
        <v>345</v>
      </c>
      <c r="H1229" s="7"/>
      <c r="I1229" s="10">
        <v>44757</v>
      </c>
      <c r="J1229" s="7" t="s">
        <v>192</v>
      </c>
      <c r="K1229" s="7" t="s">
        <v>19</v>
      </c>
      <c r="L1229" s="7" t="s">
        <v>20</v>
      </c>
      <c r="M1229" s="7" t="s">
        <v>21</v>
      </c>
    </row>
    <row r="1230" spans="1:13" x14ac:dyDescent="0.3">
      <c r="A1230" s="7" t="str">
        <f>HYPERLINK("https://hsdes.intel.com/resource/14013159565","14013159565")</f>
        <v>14013159565</v>
      </c>
      <c r="B1230" s="7" t="s">
        <v>2200</v>
      </c>
      <c r="C1230" s="7" t="s">
        <v>1420</v>
      </c>
      <c r="D1230" s="7" t="s">
        <v>2201</v>
      </c>
      <c r="E1230" s="7" t="s">
        <v>37</v>
      </c>
      <c r="F1230" s="7" t="s">
        <v>352</v>
      </c>
      <c r="G1230" s="7" t="s">
        <v>345</v>
      </c>
      <c r="H1230" s="7"/>
      <c r="I1230" s="10">
        <v>44757</v>
      </c>
      <c r="J1230" s="7" t="s">
        <v>192</v>
      </c>
      <c r="K1230" s="7" t="s">
        <v>19</v>
      </c>
      <c r="L1230" s="7" t="s">
        <v>20</v>
      </c>
      <c r="M1230" s="7" t="s">
        <v>21</v>
      </c>
    </row>
    <row r="1231" spans="1:13" x14ac:dyDescent="0.3">
      <c r="A1231" s="7" t="str">
        <f>HYPERLINK("https://hsdes.intel.com/resource/14013159568","14013159568")</f>
        <v>14013159568</v>
      </c>
      <c r="B1231" s="7" t="s">
        <v>2202</v>
      </c>
      <c r="C1231" s="7" t="s">
        <v>1420</v>
      </c>
      <c r="D1231" s="7" t="s">
        <v>2203</v>
      </c>
      <c r="E1231" s="7" t="s">
        <v>37</v>
      </c>
      <c r="F1231" s="7" t="s">
        <v>352</v>
      </c>
      <c r="G1231" s="7" t="s">
        <v>345</v>
      </c>
      <c r="H1231" s="7"/>
      <c r="I1231" s="10">
        <v>44757</v>
      </c>
      <c r="J1231" s="7" t="s">
        <v>192</v>
      </c>
      <c r="K1231" s="7" t="s">
        <v>19</v>
      </c>
      <c r="L1231" s="7" t="s">
        <v>20</v>
      </c>
      <c r="M1231" s="7" t="s">
        <v>21</v>
      </c>
    </row>
    <row r="1232" spans="1:13" x14ac:dyDescent="0.3">
      <c r="A1232" s="7" t="str">
        <f>HYPERLINK("https://hsdes.intel.com/resource/14013159581","14013159581")</f>
        <v>14013159581</v>
      </c>
      <c r="B1232" s="7" t="s">
        <v>2204</v>
      </c>
      <c r="C1232" s="7" t="s">
        <v>1420</v>
      </c>
      <c r="D1232" s="7" t="s">
        <v>2205</v>
      </c>
      <c r="E1232" s="7" t="s">
        <v>11</v>
      </c>
      <c r="F1232" s="7"/>
      <c r="G1232" s="7" t="s">
        <v>345</v>
      </c>
      <c r="H1232" s="7"/>
      <c r="I1232" s="10">
        <v>44757</v>
      </c>
      <c r="J1232" s="7" t="s">
        <v>13</v>
      </c>
      <c r="K1232" s="7" t="s">
        <v>19</v>
      </c>
      <c r="L1232" s="7" t="s">
        <v>20</v>
      </c>
      <c r="M1232" s="7" t="s">
        <v>21</v>
      </c>
    </row>
    <row r="1233" spans="1:13" x14ac:dyDescent="0.3">
      <c r="A1233" s="7" t="str">
        <f>HYPERLINK("https://hsdes.intel.com/resource/14013159584","14013159584")</f>
        <v>14013159584</v>
      </c>
      <c r="B1233" s="7" t="s">
        <v>2206</v>
      </c>
      <c r="C1233" s="7" t="s">
        <v>1420</v>
      </c>
      <c r="D1233" s="7" t="s">
        <v>2207</v>
      </c>
      <c r="E1233" s="7" t="s">
        <v>11</v>
      </c>
      <c r="F1233" s="7"/>
      <c r="G1233" s="7" t="s">
        <v>345</v>
      </c>
      <c r="H1233" s="7"/>
      <c r="I1233" s="10">
        <v>44757</v>
      </c>
      <c r="J1233" s="7" t="s">
        <v>13</v>
      </c>
      <c r="K1233" s="7" t="s">
        <v>19</v>
      </c>
      <c r="L1233" s="7" t="s">
        <v>20</v>
      </c>
      <c r="M1233" s="7" t="s">
        <v>21</v>
      </c>
    </row>
    <row r="1234" spans="1:13" x14ac:dyDescent="0.3">
      <c r="A1234" s="7" t="str">
        <f>HYPERLINK("https://hsdes.intel.com/resource/14013159587","14013159587")</f>
        <v>14013159587</v>
      </c>
      <c r="B1234" s="7" t="s">
        <v>2208</v>
      </c>
      <c r="C1234" s="7" t="s">
        <v>1420</v>
      </c>
      <c r="D1234" s="7" t="s">
        <v>2209</v>
      </c>
      <c r="E1234" s="7" t="s">
        <v>11</v>
      </c>
      <c r="F1234" s="7"/>
      <c r="G1234" s="7" t="s">
        <v>345</v>
      </c>
      <c r="H1234" s="7"/>
      <c r="I1234" s="10">
        <v>44757</v>
      </c>
      <c r="J1234" s="7" t="s">
        <v>13</v>
      </c>
      <c r="K1234" s="7" t="s">
        <v>19</v>
      </c>
      <c r="L1234" s="7" t="s">
        <v>20</v>
      </c>
      <c r="M1234" s="7" t="s">
        <v>21</v>
      </c>
    </row>
    <row r="1235" spans="1:13" x14ac:dyDescent="0.3">
      <c r="A1235" s="7" t="str">
        <f>HYPERLINK("https://hsdes.intel.com/resource/14013159589","14013159589")</f>
        <v>14013159589</v>
      </c>
      <c r="B1235" s="7" t="s">
        <v>2210</v>
      </c>
      <c r="C1235" s="7" t="s">
        <v>1420</v>
      </c>
      <c r="D1235" s="7" t="s">
        <v>2211</v>
      </c>
      <c r="E1235" s="7" t="s">
        <v>11</v>
      </c>
      <c r="F1235" s="7"/>
      <c r="G1235" s="7" t="s">
        <v>345</v>
      </c>
      <c r="H1235" s="7"/>
      <c r="I1235" s="10">
        <v>44757</v>
      </c>
      <c r="J1235" s="7" t="s">
        <v>13</v>
      </c>
      <c r="K1235" s="7" t="s">
        <v>19</v>
      </c>
      <c r="L1235" s="7" t="s">
        <v>20</v>
      </c>
      <c r="M1235" s="7" t="s">
        <v>21</v>
      </c>
    </row>
    <row r="1236" spans="1:13" x14ac:dyDescent="0.3">
      <c r="A1236" s="7" t="str">
        <f>HYPERLINK("https://hsdes.intel.com/resource/14013159594","14013159594")</f>
        <v>14013159594</v>
      </c>
      <c r="B1236" s="7" t="s">
        <v>2212</v>
      </c>
      <c r="C1236" s="7" t="s">
        <v>1420</v>
      </c>
      <c r="D1236" s="7" t="s">
        <v>2213</v>
      </c>
      <c r="E1236" s="7" t="s">
        <v>11</v>
      </c>
      <c r="F1236" s="7"/>
      <c r="G1236" s="7" t="s">
        <v>345</v>
      </c>
      <c r="H1236" s="7"/>
      <c r="I1236" s="10">
        <v>44757</v>
      </c>
      <c r="J1236" s="7" t="s">
        <v>13</v>
      </c>
      <c r="K1236" s="7" t="s">
        <v>19</v>
      </c>
      <c r="L1236" s="7" t="s">
        <v>20</v>
      </c>
      <c r="M1236" s="7" t="s">
        <v>21</v>
      </c>
    </row>
    <row r="1237" spans="1:13" x14ac:dyDescent="0.3">
      <c r="A1237" s="7" t="str">
        <f>HYPERLINK("https://hsdes.intel.com/resource/14013159601","14013159601")</f>
        <v>14013159601</v>
      </c>
      <c r="B1237" s="7" t="s">
        <v>2214</v>
      </c>
      <c r="C1237" s="7" t="s">
        <v>1420</v>
      </c>
      <c r="D1237" s="7" t="s">
        <v>2215</v>
      </c>
      <c r="E1237" s="7" t="s">
        <v>11</v>
      </c>
      <c r="F1237" s="7"/>
      <c r="G1237" s="7" t="s">
        <v>345</v>
      </c>
      <c r="H1237" s="7"/>
      <c r="I1237" s="10">
        <v>44759</v>
      </c>
      <c r="J1237" s="7" t="s">
        <v>13</v>
      </c>
      <c r="K1237" s="7" t="s">
        <v>19</v>
      </c>
      <c r="L1237" s="7" t="s">
        <v>20</v>
      </c>
      <c r="M1237" s="7" t="s">
        <v>24</v>
      </c>
    </row>
    <row r="1238" spans="1:13" ht="28.8" x14ac:dyDescent="0.3">
      <c r="A1238" s="7" t="str">
        <f>HYPERLINK("https://hsdes.intel.com/resource/14013159605","14013159605")</f>
        <v>14013159605</v>
      </c>
      <c r="B1238" s="28" t="s">
        <v>2216</v>
      </c>
      <c r="C1238" s="7" t="s">
        <v>1420</v>
      </c>
      <c r="D1238" s="7" t="s">
        <v>2217</v>
      </c>
      <c r="E1238" s="7" t="s">
        <v>11</v>
      </c>
      <c r="F1238" s="7"/>
      <c r="G1238" s="7" t="s">
        <v>345</v>
      </c>
      <c r="H1238" s="7"/>
      <c r="I1238" s="10">
        <v>44759</v>
      </c>
      <c r="J1238" s="7" t="s">
        <v>13</v>
      </c>
      <c r="K1238" s="7" t="s">
        <v>19</v>
      </c>
      <c r="L1238" s="7" t="s">
        <v>20</v>
      </c>
      <c r="M1238" s="7" t="s">
        <v>21</v>
      </c>
    </row>
    <row r="1239" spans="1:13" ht="28.8" x14ac:dyDescent="0.3">
      <c r="A1239" s="7" t="str">
        <f>HYPERLINK("https://hsdes.intel.com/resource/14013159609","14013159609")</f>
        <v>14013159609</v>
      </c>
      <c r="B1239" s="28" t="s">
        <v>2218</v>
      </c>
      <c r="C1239" s="7" t="s">
        <v>1420</v>
      </c>
      <c r="D1239" s="7" t="s">
        <v>2219</v>
      </c>
      <c r="E1239" s="7"/>
      <c r="F1239" s="7"/>
      <c r="G1239" s="7" t="s">
        <v>541</v>
      </c>
      <c r="H1239" s="7"/>
      <c r="I1239" s="7"/>
      <c r="J1239" s="7" t="s">
        <v>13</v>
      </c>
      <c r="K1239" s="7" t="s">
        <v>19</v>
      </c>
      <c r="L1239" s="7" t="s">
        <v>20</v>
      </c>
      <c r="M1239" s="7" t="s">
        <v>21</v>
      </c>
    </row>
    <row r="1240" spans="1:13" x14ac:dyDescent="0.3">
      <c r="A1240" s="7" t="str">
        <f>HYPERLINK("https://hsdes.intel.com/resource/14013159626","14013159626")</f>
        <v>14013159626</v>
      </c>
      <c r="B1240" s="7" t="s">
        <v>2220</v>
      </c>
      <c r="C1240" s="7" t="s">
        <v>1420</v>
      </c>
      <c r="D1240" s="7" t="s">
        <v>2221</v>
      </c>
      <c r="E1240" s="7"/>
      <c r="F1240" s="7"/>
      <c r="G1240" s="7" t="s">
        <v>541</v>
      </c>
      <c r="H1240" s="7"/>
      <c r="I1240" s="7"/>
      <c r="J1240" s="7" t="s">
        <v>13</v>
      </c>
      <c r="K1240" s="7" t="s">
        <v>19</v>
      </c>
      <c r="L1240" s="7" t="s">
        <v>20</v>
      </c>
      <c r="M1240" s="7" t="s">
        <v>21</v>
      </c>
    </row>
    <row r="1241" spans="1:13" x14ac:dyDescent="0.3">
      <c r="A1241" s="7" t="str">
        <f>HYPERLINK("https://hsdes.intel.com/resource/14013159627","14013159627")</f>
        <v>14013159627</v>
      </c>
      <c r="B1241" s="7" t="s">
        <v>2222</v>
      </c>
      <c r="C1241" s="7" t="s">
        <v>1420</v>
      </c>
      <c r="D1241" s="7" t="s">
        <v>2223</v>
      </c>
      <c r="E1241" s="7"/>
      <c r="F1241" s="7"/>
      <c r="G1241" s="7" t="s">
        <v>541</v>
      </c>
      <c r="H1241" s="7"/>
      <c r="I1241" s="7"/>
      <c r="J1241" s="7" t="s">
        <v>13</v>
      </c>
      <c r="K1241" s="7" t="s">
        <v>19</v>
      </c>
      <c r="L1241" s="7" t="s">
        <v>20</v>
      </c>
      <c r="M1241" s="7" t="s">
        <v>21</v>
      </c>
    </row>
    <row r="1242" spans="1:13" x14ac:dyDescent="0.3">
      <c r="A1242" s="7" t="str">
        <f>HYPERLINK("https://hsdes.intel.com/resource/14013159630","14013159630")</f>
        <v>14013159630</v>
      </c>
      <c r="B1242" s="7" t="s">
        <v>2224</v>
      </c>
      <c r="C1242" s="7" t="s">
        <v>1420</v>
      </c>
      <c r="D1242" s="7" t="s">
        <v>2225</v>
      </c>
      <c r="E1242" s="7"/>
      <c r="F1242" s="7"/>
      <c r="G1242" s="7" t="s">
        <v>541</v>
      </c>
      <c r="H1242" s="7"/>
      <c r="I1242" s="7"/>
      <c r="J1242" s="7" t="s">
        <v>13</v>
      </c>
      <c r="K1242" s="7" t="s">
        <v>19</v>
      </c>
      <c r="L1242" s="7" t="s">
        <v>20</v>
      </c>
      <c r="M1242" s="7" t="s">
        <v>21</v>
      </c>
    </row>
    <row r="1243" spans="1:13" x14ac:dyDescent="0.3">
      <c r="A1243" s="7" t="str">
        <f>HYPERLINK("https://hsdes.intel.com/resource/14013159637","14013159637")</f>
        <v>14013159637</v>
      </c>
      <c r="B1243" s="7" t="s">
        <v>2226</v>
      </c>
      <c r="C1243" s="7" t="s">
        <v>1420</v>
      </c>
      <c r="D1243" s="7" t="s">
        <v>2227</v>
      </c>
      <c r="E1243" s="7"/>
      <c r="F1243" s="7"/>
      <c r="G1243" s="7" t="s">
        <v>541</v>
      </c>
      <c r="H1243" s="7"/>
      <c r="I1243" s="7"/>
      <c r="J1243" s="7" t="s">
        <v>192</v>
      </c>
      <c r="K1243" s="7" t="s">
        <v>19</v>
      </c>
      <c r="L1243" s="7" t="s">
        <v>20</v>
      </c>
      <c r="M1243" s="7" t="s">
        <v>21</v>
      </c>
    </row>
    <row r="1244" spans="1:13" x14ac:dyDescent="0.3">
      <c r="A1244" s="7" t="str">
        <f>HYPERLINK("https://hsdes.intel.com/resource/14013159644","14013159644")</f>
        <v>14013159644</v>
      </c>
      <c r="B1244" s="7" t="s">
        <v>2228</v>
      </c>
      <c r="C1244" s="7" t="s">
        <v>1420</v>
      </c>
      <c r="D1244" s="7" t="s">
        <v>2229</v>
      </c>
      <c r="E1244" s="7"/>
      <c r="F1244" s="7"/>
      <c r="G1244" s="7" t="s">
        <v>541</v>
      </c>
      <c r="H1244" s="7"/>
      <c r="I1244" s="7"/>
      <c r="J1244" s="7" t="s">
        <v>13</v>
      </c>
      <c r="K1244" s="7" t="s">
        <v>19</v>
      </c>
      <c r="L1244" s="7" t="s">
        <v>20</v>
      </c>
      <c r="M1244" s="7" t="s">
        <v>21</v>
      </c>
    </row>
    <row r="1245" spans="1:13" x14ac:dyDescent="0.3">
      <c r="A1245" s="7" t="str">
        <f>HYPERLINK("https://hsdes.intel.com/resource/14013159645","14013159645")</f>
        <v>14013159645</v>
      </c>
      <c r="B1245" s="7" t="s">
        <v>2230</v>
      </c>
      <c r="C1245" s="7" t="s">
        <v>1420</v>
      </c>
      <c r="D1245" s="7" t="s">
        <v>2231</v>
      </c>
      <c r="E1245" s="7"/>
      <c r="F1245" s="7"/>
      <c r="G1245" s="7" t="s">
        <v>541</v>
      </c>
      <c r="H1245" s="7"/>
      <c r="I1245" s="7"/>
      <c r="J1245" s="7" t="s">
        <v>13</v>
      </c>
      <c r="K1245" s="7" t="s">
        <v>19</v>
      </c>
      <c r="L1245" s="7" t="s">
        <v>20</v>
      </c>
      <c r="M1245" s="7" t="s">
        <v>21</v>
      </c>
    </row>
    <row r="1246" spans="1:13" x14ac:dyDescent="0.3">
      <c r="A1246" s="7" t="str">
        <f>HYPERLINK("https://hsdes.intel.com/resource/14013159647","14013159647")</f>
        <v>14013159647</v>
      </c>
      <c r="B1246" s="7" t="s">
        <v>2232</v>
      </c>
      <c r="C1246" s="7" t="s">
        <v>1420</v>
      </c>
      <c r="D1246" s="7" t="s">
        <v>2233</v>
      </c>
      <c r="E1246" s="7"/>
      <c r="F1246" s="7"/>
      <c r="G1246" s="7" t="s">
        <v>541</v>
      </c>
      <c r="H1246" s="7"/>
      <c r="I1246" s="7"/>
      <c r="J1246" s="7" t="s">
        <v>13</v>
      </c>
      <c r="K1246" s="7" t="s">
        <v>19</v>
      </c>
      <c r="L1246" s="7" t="s">
        <v>20</v>
      </c>
      <c r="M1246" s="7" t="s">
        <v>24</v>
      </c>
    </row>
    <row r="1247" spans="1:13" x14ac:dyDescent="0.3">
      <c r="A1247" s="7" t="str">
        <f>HYPERLINK("https://hsdes.intel.com/resource/14013159649","14013159649")</f>
        <v>14013159649</v>
      </c>
      <c r="B1247" s="7" t="s">
        <v>2234</v>
      </c>
      <c r="C1247" s="7" t="s">
        <v>1420</v>
      </c>
      <c r="D1247" s="7" t="s">
        <v>2235</v>
      </c>
      <c r="E1247" s="7"/>
      <c r="F1247" s="7"/>
      <c r="G1247" s="7" t="s">
        <v>541</v>
      </c>
      <c r="H1247" s="7"/>
      <c r="I1247" s="7"/>
      <c r="J1247" s="7" t="s">
        <v>13</v>
      </c>
      <c r="K1247" s="7" t="s">
        <v>19</v>
      </c>
      <c r="L1247" s="7" t="s">
        <v>20</v>
      </c>
      <c r="M1247" s="7" t="s">
        <v>21</v>
      </c>
    </row>
    <row r="1248" spans="1:13" x14ac:dyDescent="0.3">
      <c r="A1248" s="7" t="str">
        <f>HYPERLINK("https://hsdes.intel.com/resource/14013159652","14013159652")</f>
        <v>14013159652</v>
      </c>
      <c r="B1248" s="7" t="s">
        <v>2236</v>
      </c>
      <c r="C1248" s="7" t="s">
        <v>1420</v>
      </c>
      <c r="D1248" s="7" t="s">
        <v>2237</v>
      </c>
      <c r="E1248" s="7"/>
      <c r="F1248" s="7"/>
      <c r="G1248" s="7" t="s">
        <v>541</v>
      </c>
      <c r="H1248" s="7"/>
      <c r="I1248" s="7"/>
      <c r="J1248" s="7" t="s">
        <v>13</v>
      </c>
      <c r="K1248" s="7" t="s">
        <v>19</v>
      </c>
      <c r="L1248" s="7" t="s">
        <v>20</v>
      </c>
      <c r="M1248" s="7" t="s">
        <v>21</v>
      </c>
    </row>
    <row r="1249" spans="1:13" x14ac:dyDescent="0.3">
      <c r="A1249" s="7" t="str">
        <f>HYPERLINK("https://hsdes.intel.com/resource/14013159654","14013159654")</f>
        <v>14013159654</v>
      </c>
      <c r="B1249" s="7" t="s">
        <v>2238</v>
      </c>
      <c r="C1249" s="7" t="s">
        <v>1420</v>
      </c>
      <c r="D1249" s="7" t="s">
        <v>2239</v>
      </c>
      <c r="E1249" s="7"/>
      <c r="F1249" s="7"/>
      <c r="G1249" s="7" t="s">
        <v>541</v>
      </c>
      <c r="H1249" s="7"/>
      <c r="I1249" s="7"/>
      <c r="J1249" s="7" t="s">
        <v>13</v>
      </c>
      <c r="K1249" s="7" t="s">
        <v>19</v>
      </c>
      <c r="L1249" s="7" t="s">
        <v>20</v>
      </c>
      <c r="M1249" s="7" t="s">
        <v>21</v>
      </c>
    </row>
    <row r="1250" spans="1:13" x14ac:dyDescent="0.3">
      <c r="A1250" s="7" t="str">
        <f>HYPERLINK("https://hsdes.intel.com/resource/14013159656","14013159656")</f>
        <v>14013159656</v>
      </c>
      <c r="B1250" s="7" t="s">
        <v>2240</v>
      </c>
      <c r="C1250" s="7" t="s">
        <v>1420</v>
      </c>
      <c r="D1250" s="7" t="s">
        <v>2241</v>
      </c>
      <c r="E1250" s="7"/>
      <c r="F1250" s="7"/>
      <c r="G1250" s="7" t="s">
        <v>541</v>
      </c>
      <c r="H1250" s="7"/>
      <c r="I1250" s="7"/>
      <c r="J1250" s="7" t="s">
        <v>13</v>
      </c>
      <c r="K1250" s="7" t="s">
        <v>19</v>
      </c>
      <c r="L1250" s="7" t="s">
        <v>20</v>
      </c>
      <c r="M1250" s="7" t="s">
        <v>21</v>
      </c>
    </row>
    <row r="1251" spans="1:13" x14ac:dyDescent="0.3">
      <c r="A1251" s="7" t="str">
        <f>HYPERLINK("https://hsdes.intel.com/resource/14013159658","14013159658")</f>
        <v>14013159658</v>
      </c>
      <c r="B1251" s="7" t="s">
        <v>2242</v>
      </c>
      <c r="C1251" s="7" t="s">
        <v>1420</v>
      </c>
      <c r="D1251" s="7" t="s">
        <v>2243</v>
      </c>
      <c r="E1251" s="7"/>
      <c r="F1251" s="7"/>
      <c r="G1251" s="7" t="s">
        <v>541</v>
      </c>
      <c r="H1251" s="7"/>
      <c r="I1251" s="7"/>
      <c r="J1251" s="7" t="s">
        <v>13</v>
      </c>
      <c r="K1251" s="7" t="s">
        <v>19</v>
      </c>
      <c r="L1251" s="7" t="s">
        <v>20</v>
      </c>
      <c r="M1251" s="7" t="s">
        <v>21</v>
      </c>
    </row>
    <row r="1252" spans="1:13" x14ac:dyDescent="0.3">
      <c r="A1252" s="7" t="str">
        <f>HYPERLINK("https://hsdes.intel.com/resource/14013159662","14013159662")</f>
        <v>14013159662</v>
      </c>
      <c r="B1252" s="7" t="s">
        <v>2244</v>
      </c>
      <c r="C1252" s="7" t="s">
        <v>1420</v>
      </c>
      <c r="D1252" s="7" t="s">
        <v>2245</v>
      </c>
      <c r="E1252" s="7"/>
      <c r="F1252" s="7"/>
      <c r="G1252" s="7" t="s">
        <v>541</v>
      </c>
      <c r="H1252" s="7"/>
      <c r="I1252" s="7"/>
      <c r="J1252" s="7" t="s">
        <v>13</v>
      </c>
      <c r="K1252" s="7" t="s">
        <v>19</v>
      </c>
      <c r="L1252" s="7" t="s">
        <v>20</v>
      </c>
      <c r="M1252" s="7" t="s">
        <v>24</v>
      </c>
    </row>
    <row r="1253" spans="1:13" x14ac:dyDescent="0.3">
      <c r="A1253" s="7" t="str">
        <f>HYPERLINK("https://hsdes.intel.com/resource/14013159668","14013159668")</f>
        <v>14013159668</v>
      </c>
      <c r="B1253" s="7" t="s">
        <v>2246</v>
      </c>
      <c r="C1253" s="7" t="s">
        <v>1420</v>
      </c>
      <c r="D1253" s="7" t="s">
        <v>2247</v>
      </c>
      <c r="E1253" s="7"/>
      <c r="F1253" s="7"/>
      <c r="G1253" s="7" t="s">
        <v>541</v>
      </c>
      <c r="H1253" s="7"/>
      <c r="I1253" s="7"/>
      <c r="J1253" s="7" t="s">
        <v>13</v>
      </c>
      <c r="K1253" s="7" t="s">
        <v>19</v>
      </c>
      <c r="L1253" s="7" t="s">
        <v>20</v>
      </c>
      <c r="M1253" s="7" t="s">
        <v>21</v>
      </c>
    </row>
    <row r="1254" spans="1:13" x14ac:dyDescent="0.3">
      <c r="A1254" s="7" t="str">
        <f>HYPERLINK("https://hsdes.intel.com/resource/14013159696","14013159696")</f>
        <v>14013159696</v>
      </c>
      <c r="B1254" s="7" t="s">
        <v>2248</v>
      </c>
      <c r="C1254" s="7" t="s">
        <v>1420</v>
      </c>
      <c r="D1254" s="7" t="s">
        <v>2249</v>
      </c>
      <c r="E1254" s="7"/>
      <c r="F1254" s="7"/>
      <c r="G1254" s="7" t="s">
        <v>541</v>
      </c>
      <c r="H1254" s="7"/>
      <c r="I1254" s="7"/>
      <c r="J1254" s="7" t="s">
        <v>13</v>
      </c>
      <c r="K1254" s="7" t="s">
        <v>19</v>
      </c>
      <c r="L1254" s="7" t="s">
        <v>20</v>
      </c>
      <c r="M1254" s="7" t="s">
        <v>21</v>
      </c>
    </row>
    <row r="1255" spans="1:13" x14ac:dyDescent="0.3">
      <c r="A1255" s="7" t="str">
        <f>HYPERLINK("https://hsdes.intel.com/resource/14013159700","14013159700")</f>
        <v>14013159700</v>
      </c>
      <c r="B1255" s="7" t="s">
        <v>2250</v>
      </c>
      <c r="C1255" s="7" t="s">
        <v>1420</v>
      </c>
      <c r="D1255" s="7" t="s">
        <v>2251</v>
      </c>
      <c r="E1255" s="7"/>
      <c r="F1255" s="7"/>
      <c r="G1255" s="7" t="s">
        <v>541</v>
      </c>
      <c r="H1255" s="7"/>
      <c r="I1255" s="7"/>
      <c r="J1255" s="7" t="s">
        <v>13</v>
      </c>
      <c r="K1255" s="7" t="s">
        <v>19</v>
      </c>
      <c r="L1255" s="7" t="s">
        <v>20</v>
      </c>
      <c r="M1255" s="7" t="s">
        <v>21</v>
      </c>
    </row>
    <row r="1256" spans="1:13" x14ac:dyDescent="0.3">
      <c r="A1256" s="7" t="str">
        <f>HYPERLINK("https://hsdes.intel.com/resource/14013159702","14013159702")</f>
        <v>14013159702</v>
      </c>
      <c r="B1256" s="7" t="s">
        <v>2252</v>
      </c>
      <c r="C1256" s="7" t="s">
        <v>1420</v>
      </c>
      <c r="D1256" s="7" t="s">
        <v>2253</v>
      </c>
      <c r="E1256" s="7"/>
      <c r="F1256" s="7"/>
      <c r="G1256" s="7" t="s">
        <v>541</v>
      </c>
      <c r="H1256" s="7"/>
      <c r="I1256" s="7"/>
      <c r="J1256" s="7" t="s">
        <v>13</v>
      </c>
      <c r="K1256" s="7" t="s">
        <v>19</v>
      </c>
      <c r="L1256" s="7" t="s">
        <v>20</v>
      </c>
      <c r="M1256" s="7" t="s">
        <v>21</v>
      </c>
    </row>
    <row r="1257" spans="1:13" x14ac:dyDescent="0.3">
      <c r="A1257" s="7" t="str">
        <f>HYPERLINK("https://hsdes.intel.com/resource/14013159709","14013159709")</f>
        <v>14013159709</v>
      </c>
      <c r="B1257" s="7" t="s">
        <v>2254</v>
      </c>
      <c r="C1257" s="7" t="s">
        <v>1420</v>
      </c>
      <c r="D1257" s="7" t="s">
        <v>2255</v>
      </c>
      <c r="E1257" s="7"/>
      <c r="F1257" s="7"/>
      <c r="G1257" s="7" t="s">
        <v>541</v>
      </c>
      <c r="H1257" s="7"/>
      <c r="I1257" s="7"/>
      <c r="J1257" s="7" t="s">
        <v>13</v>
      </c>
      <c r="K1257" s="7" t="s">
        <v>19</v>
      </c>
      <c r="L1257" s="7" t="s">
        <v>20</v>
      </c>
      <c r="M1257" s="7" t="s">
        <v>21</v>
      </c>
    </row>
    <row r="1258" spans="1:13" x14ac:dyDescent="0.3">
      <c r="A1258" s="7" t="str">
        <f>HYPERLINK("https://hsdes.intel.com/resource/14013159714","14013159714")</f>
        <v>14013159714</v>
      </c>
      <c r="B1258" s="7" t="s">
        <v>2256</v>
      </c>
      <c r="C1258" s="7" t="s">
        <v>1420</v>
      </c>
      <c r="D1258" s="7" t="s">
        <v>2257</v>
      </c>
      <c r="E1258" s="7"/>
      <c r="F1258" s="7"/>
      <c r="G1258" s="7" t="s">
        <v>541</v>
      </c>
      <c r="H1258" s="7"/>
      <c r="I1258" s="7"/>
      <c r="J1258" s="7" t="s">
        <v>13</v>
      </c>
      <c r="K1258" s="7" t="s">
        <v>19</v>
      </c>
      <c r="L1258" s="7" t="s">
        <v>20</v>
      </c>
      <c r="M1258" s="7" t="s">
        <v>21</v>
      </c>
    </row>
    <row r="1259" spans="1:13" x14ac:dyDescent="0.3">
      <c r="A1259" s="7" t="str">
        <f>HYPERLINK("https://hsdes.intel.com/resource/14013159812","14013159812")</f>
        <v>14013159812</v>
      </c>
      <c r="B1259" s="7" t="s">
        <v>2258</v>
      </c>
      <c r="C1259" s="7" t="s">
        <v>1420</v>
      </c>
      <c r="D1259" s="7" t="s">
        <v>2259</v>
      </c>
      <c r="E1259" s="7" t="s">
        <v>11</v>
      </c>
      <c r="F1259" s="7" t="s">
        <v>2015</v>
      </c>
      <c r="G1259" s="7" t="s">
        <v>354</v>
      </c>
      <c r="H1259" s="7"/>
      <c r="I1259" s="10">
        <v>44761</v>
      </c>
      <c r="J1259" s="7" t="s">
        <v>13</v>
      </c>
      <c r="K1259" s="7" t="s">
        <v>296</v>
      </c>
      <c r="L1259" s="7" t="s">
        <v>297</v>
      </c>
      <c r="M1259" s="7" t="s">
        <v>21</v>
      </c>
    </row>
    <row r="1260" spans="1:13" x14ac:dyDescent="0.3">
      <c r="A1260" s="7" t="str">
        <f>HYPERLINK("https://hsdes.intel.com/resource/14013159844","14013159844")</f>
        <v>14013159844</v>
      </c>
      <c r="B1260" s="7" t="s">
        <v>1229</v>
      </c>
      <c r="C1260" s="7" t="s">
        <v>1420</v>
      </c>
      <c r="D1260" s="7" t="s">
        <v>1230</v>
      </c>
      <c r="E1260" s="7"/>
      <c r="F1260" s="7"/>
      <c r="G1260" s="7" t="s">
        <v>833</v>
      </c>
      <c r="H1260" s="7"/>
      <c r="I1260" s="7"/>
      <c r="J1260" s="7" t="s">
        <v>13</v>
      </c>
      <c r="K1260" s="7" t="s">
        <v>14</v>
      </c>
      <c r="L1260" s="7" t="s">
        <v>88</v>
      </c>
      <c r="M1260" s="7" t="s">
        <v>24</v>
      </c>
    </row>
    <row r="1261" spans="1:13" x14ac:dyDescent="0.3">
      <c r="A1261" s="7" t="str">
        <f>HYPERLINK("https://hsdes.intel.com/resource/14013159852","14013159852")</f>
        <v>14013159852</v>
      </c>
      <c r="B1261" s="7" t="s">
        <v>1233</v>
      </c>
      <c r="C1261" s="7" t="s">
        <v>1420</v>
      </c>
      <c r="D1261" s="7" t="s">
        <v>1234</v>
      </c>
      <c r="E1261" s="7"/>
      <c r="F1261" s="7"/>
      <c r="G1261" s="7" t="s">
        <v>833</v>
      </c>
      <c r="H1261" s="7"/>
      <c r="I1261" s="7"/>
      <c r="J1261" s="7" t="s">
        <v>13</v>
      </c>
      <c r="K1261" s="7" t="s">
        <v>14</v>
      </c>
      <c r="L1261" s="7" t="s">
        <v>88</v>
      </c>
      <c r="M1261" s="7" t="s">
        <v>16</v>
      </c>
    </row>
    <row r="1262" spans="1:13" x14ac:dyDescent="0.3">
      <c r="A1262" s="7" t="str">
        <f>HYPERLINK("https://hsdes.intel.com/resource/14013159858","14013159858")</f>
        <v>14013159858</v>
      </c>
      <c r="B1262" s="7" t="s">
        <v>2260</v>
      </c>
      <c r="C1262" s="7" t="s">
        <v>1420</v>
      </c>
      <c r="D1262" s="7" t="s">
        <v>2261</v>
      </c>
      <c r="E1262" s="7"/>
      <c r="F1262" s="7"/>
      <c r="G1262" s="7" t="s">
        <v>541</v>
      </c>
      <c r="H1262" s="7"/>
      <c r="I1262" s="7"/>
      <c r="J1262" s="7" t="s">
        <v>13</v>
      </c>
      <c r="K1262" s="7" t="s">
        <v>19</v>
      </c>
      <c r="L1262" s="7" t="s">
        <v>20</v>
      </c>
      <c r="M1262" s="7" t="s">
        <v>16</v>
      </c>
    </row>
    <row r="1263" spans="1:13" x14ac:dyDescent="0.3">
      <c r="A1263" s="7" t="str">
        <f>HYPERLINK("https://hsdes.intel.com/resource/14013159862","14013159862")</f>
        <v>14013159862</v>
      </c>
      <c r="B1263" s="7" t="s">
        <v>2262</v>
      </c>
      <c r="C1263" s="7" t="s">
        <v>1420</v>
      </c>
      <c r="D1263" s="7" t="s">
        <v>2263</v>
      </c>
      <c r="E1263" s="7"/>
      <c r="F1263" s="7"/>
      <c r="G1263" s="7" t="s">
        <v>541</v>
      </c>
      <c r="H1263" s="7"/>
      <c r="I1263" s="7"/>
      <c r="J1263" s="7" t="s">
        <v>13</v>
      </c>
      <c r="K1263" s="7" t="s">
        <v>19</v>
      </c>
      <c r="L1263" s="7" t="s">
        <v>20</v>
      </c>
      <c r="M1263" s="7" t="s">
        <v>16</v>
      </c>
    </row>
    <row r="1264" spans="1:13" x14ac:dyDescent="0.3">
      <c r="A1264" s="7" t="str">
        <f>HYPERLINK("https://hsdes.intel.com/resource/14013159864","14013159864")</f>
        <v>14013159864</v>
      </c>
      <c r="B1264" s="7" t="s">
        <v>2264</v>
      </c>
      <c r="C1264" s="7" t="s">
        <v>1420</v>
      </c>
      <c r="D1264" s="7" t="s">
        <v>2265</v>
      </c>
      <c r="E1264" s="7" t="s">
        <v>11</v>
      </c>
      <c r="F1264" s="7"/>
      <c r="G1264" s="7" t="s">
        <v>1461</v>
      </c>
      <c r="H1264" s="7"/>
      <c r="I1264" s="10">
        <v>44758</v>
      </c>
      <c r="J1264" s="7" t="s">
        <v>13</v>
      </c>
      <c r="K1264" s="7" t="s">
        <v>19</v>
      </c>
      <c r="L1264" s="7" t="s">
        <v>20</v>
      </c>
      <c r="M1264" s="7" t="s">
        <v>21</v>
      </c>
    </row>
    <row r="1265" spans="1:13" x14ac:dyDescent="0.3">
      <c r="A1265" s="7" t="str">
        <f>HYPERLINK("https://hsdes.intel.com/resource/14013159868","14013159868")</f>
        <v>14013159868</v>
      </c>
      <c r="B1265" s="7" t="s">
        <v>2266</v>
      </c>
      <c r="C1265" s="7" t="s">
        <v>1420</v>
      </c>
      <c r="D1265" s="7" t="s">
        <v>2267</v>
      </c>
      <c r="E1265" s="7" t="s">
        <v>11</v>
      </c>
      <c r="F1265" s="7"/>
      <c r="G1265" s="7" t="s">
        <v>1461</v>
      </c>
      <c r="H1265" s="7"/>
      <c r="I1265" s="10">
        <v>44758</v>
      </c>
      <c r="J1265" s="7" t="s">
        <v>13</v>
      </c>
      <c r="K1265" s="7" t="s">
        <v>19</v>
      </c>
      <c r="L1265" s="7" t="s">
        <v>20</v>
      </c>
      <c r="M1265" s="7" t="s">
        <v>16</v>
      </c>
    </row>
    <row r="1266" spans="1:13" x14ac:dyDescent="0.3">
      <c r="A1266" s="7" t="str">
        <f>HYPERLINK("https://hsdes.intel.com/resource/14013159870","14013159870")</f>
        <v>14013159870</v>
      </c>
      <c r="B1266" s="7" t="s">
        <v>2268</v>
      </c>
      <c r="C1266" s="7" t="s">
        <v>1420</v>
      </c>
      <c r="D1266" s="7" t="s">
        <v>2269</v>
      </c>
      <c r="E1266" s="7" t="s">
        <v>11</v>
      </c>
      <c r="F1266" s="7"/>
      <c r="G1266" s="7" t="s">
        <v>1461</v>
      </c>
      <c r="H1266" s="7"/>
      <c r="I1266" s="10">
        <v>44758</v>
      </c>
      <c r="J1266" s="7" t="s">
        <v>13</v>
      </c>
      <c r="K1266" s="7" t="s">
        <v>19</v>
      </c>
      <c r="L1266" s="7" t="s">
        <v>20</v>
      </c>
      <c r="M1266" s="7" t="s">
        <v>21</v>
      </c>
    </row>
    <row r="1267" spans="1:13" x14ac:dyDescent="0.3">
      <c r="A1267" s="7" t="str">
        <f>HYPERLINK("https://hsdes.intel.com/resource/14013159874","14013159874")</f>
        <v>14013159874</v>
      </c>
      <c r="B1267" s="7" t="s">
        <v>2270</v>
      </c>
      <c r="C1267" s="7" t="s">
        <v>1420</v>
      </c>
      <c r="D1267" s="7" t="s">
        <v>2271</v>
      </c>
      <c r="E1267" s="7" t="s">
        <v>11</v>
      </c>
      <c r="F1267" s="7"/>
      <c r="G1267" s="7" t="s">
        <v>1461</v>
      </c>
      <c r="H1267" s="7"/>
      <c r="I1267" s="10">
        <v>44758</v>
      </c>
      <c r="J1267" s="7" t="s">
        <v>13</v>
      </c>
      <c r="K1267" s="7" t="s">
        <v>19</v>
      </c>
      <c r="L1267" s="7" t="s">
        <v>20</v>
      </c>
      <c r="M1267" s="7" t="s">
        <v>24</v>
      </c>
    </row>
    <row r="1268" spans="1:13" x14ac:dyDescent="0.3">
      <c r="A1268" s="7" t="str">
        <f>HYPERLINK("https://hsdes.intel.com/resource/14013159876","14013159876")</f>
        <v>14013159876</v>
      </c>
      <c r="B1268" s="7" t="s">
        <v>2272</v>
      </c>
      <c r="C1268" s="7" t="s">
        <v>1420</v>
      </c>
      <c r="D1268" s="7" t="s">
        <v>2273</v>
      </c>
      <c r="E1268" s="7" t="s">
        <v>11</v>
      </c>
      <c r="F1268" s="7"/>
      <c r="G1268" s="7" t="s">
        <v>1461</v>
      </c>
      <c r="H1268" s="7"/>
      <c r="I1268" s="10">
        <v>44758</v>
      </c>
      <c r="J1268" s="7" t="s">
        <v>13</v>
      </c>
      <c r="K1268" s="7" t="s">
        <v>19</v>
      </c>
      <c r="L1268" s="7" t="s">
        <v>20</v>
      </c>
      <c r="M1268" s="7" t="s">
        <v>21</v>
      </c>
    </row>
    <row r="1269" spans="1:13" x14ac:dyDescent="0.3">
      <c r="A1269" s="7" t="str">
        <f>HYPERLINK("https://hsdes.intel.com/resource/14013159881","14013159881")</f>
        <v>14013159881</v>
      </c>
      <c r="B1269" s="7" t="s">
        <v>2274</v>
      </c>
      <c r="C1269" s="7" t="s">
        <v>1420</v>
      </c>
      <c r="D1269" s="7" t="s">
        <v>2275</v>
      </c>
      <c r="E1269" s="7" t="s">
        <v>11</v>
      </c>
      <c r="F1269" s="7"/>
      <c r="G1269" s="7" t="s">
        <v>1461</v>
      </c>
      <c r="H1269" s="7"/>
      <c r="I1269" s="10">
        <v>44757</v>
      </c>
      <c r="J1269" s="7" t="s">
        <v>13</v>
      </c>
      <c r="K1269" s="7" t="s">
        <v>19</v>
      </c>
      <c r="L1269" s="7" t="s">
        <v>20</v>
      </c>
      <c r="M1269" s="7" t="s">
        <v>21</v>
      </c>
    </row>
    <row r="1270" spans="1:13" x14ac:dyDescent="0.3">
      <c r="A1270" s="7" t="str">
        <f>HYPERLINK("https://hsdes.intel.com/resource/14013159884","14013159884")</f>
        <v>14013159884</v>
      </c>
      <c r="B1270" s="7" t="s">
        <v>2276</v>
      </c>
      <c r="C1270" s="7" t="s">
        <v>1420</v>
      </c>
      <c r="D1270" s="7" t="s">
        <v>2277</v>
      </c>
      <c r="E1270" s="7" t="s">
        <v>11</v>
      </c>
      <c r="F1270" s="7"/>
      <c r="G1270" s="7" t="s">
        <v>1461</v>
      </c>
      <c r="H1270" s="7"/>
      <c r="I1270" s="10">
        <v>44757</v>
      </c>
      <c r="J1270" s="7" t="s">
        <v>13</v>
      </c>
      <c r="K1270" s="7" t="s">
        <v>19</v>
      </c>
      <c r="L1270" s="7" t="s">
        <v>20</v>
      </c>
      <c r="M1270" s="7" t="s">
        <v>21</v>
      </c>
    </row>
    <row r="1271" spans="1:13" x14ac:dyDescent="0.3">
      <c r="A1271" s="7" t="str">
        <f>HYPERLINK("https://hsdes.intel.com/resource/14013159887","14013159887")</f>
        <v>14013159887</v>
      </c>
      <c r="B1271" s="7" t="s">
        <v>2278</v>
      </c>
      <c r="C1271" s="7" t="s">
        <v>1420</v>
      </c>
      <c r="D1271" s="7" t="s">
        <v>2279</v>
      </c>
      <c r="E1271" s="7" t="s">
        <v>11</v>
      </c>
      <c r="F1271" s="7"/>
      <c r="G1271" s="7" t="s">
        <v>1461</v>
      </c>
      <c r="H1271" s="7"/>
      <c r="I1271" s="10">
        <v>44757</v>
      </c>
      <c r="J1271" s="7" t="s">
        <v>13</v>
      </c>
      <c r="K1271" s="7" t="s">
        <v>19</v>
      </c>
      <c r="L1271" s="7" t="s">
        <v>20</v>
      </c>
      <c r="M1271" s="7" t="s">
        <v>21</v>
      </c>
    </row>
    <row r="1272" spans="1:13" x14ac:dyDescent="0.3">
      <c r="A1272" s="7" t="str">
        <f>HYPERLINK("https://hsdes.intel.com/resource/14013159889","14013159889")</f>
        <v>14013159889</v>
      </c>
      <c r="B1272" s="7" t="s">
        <v>2280</v>
      </c>
      <c r="C1272" s="7" t="s">
        <v>1420</v>
      </c>
      <c r="D1272" s="7" t="s">
        <v>2281</v>
      </c>
      <c r="E1272" s="7" t="s">
        <v>37</v>
      </c>
      <c r="F1272" s="7" t="s">
        <v>2282</v>
      </c>
      <c r="G1272" s="7" t="s">
        <v>369</v>
      </c>
      <c r="H1272" s="7"/>
      <c r="I1272" s="7"/>
      <c r="J1272" s="7" t="s">
        <v>13</v>
      </c>
      <c r="K1272" s="7" t="s">
        <v>19</v>
      </c>
      <c r="L1272" s="7" t="s">
        <v>20</v>
      </c>
      <c r="M1272" s="7" t="s">
        <v>21</v>
      </c>
    </row>
    <row r="1273" spans="1:13" x14ac:dyDescent="0.3">
      <c r="A1273" s="7" t="str">
        <f>HYPERLINK("https://hsdes.intel.com/resource/14013159892","14013159892")</f>
        <v>14013159892</v>
      </c>
      <c r="B1273" s="7" t="s">
        <v>2283</v>
      </c>
      <c r="C1273" s="7" t="s">
        <v>1420</v>
      </c>
      <c r="D1273" s="7" t="s">
        <v>2284</v>
      </c>
      <c r="E1273" s="7" t="s">
        <v>838</v>
      </c>
      <c r="F1273" s="7" t="s">
        <v>2285</v>
      </c>
      <c r="G1273" s="7" t="s">
        <v>1461</v>
      </c>
      <c r="H1273" s="7"/>
      <c r="I1273" s="10">
        <v>44761</v>
      </c>
      <c r="J1273" s="7" t="s">
        <v>13</v>
      </c>
      <c r="K1273" s="7" t="s">
        <v>19</v>
      </c>
      <c r="L1273" s="7" t="s">
        <v>20</v>
      </c>
      <c r="M1273" s="7" t="s">
        <v>21</v>
      </c>
    </row>
    <row r="1274" spans="1:13" x14ac:dyDescent="0.3">
      <c r="A1274" s="7" t="str">
        <f>HYPERLINK("https://hsdes.intel.com/resource/14013159897","14013159897")</f>
        <v>14013159897</v>
      </c>
      <c r="B1274" s="7" t="s">
        <v>2286</v>
      </c>
      <c r="C1274" s="7" t="s">
        <v>1420</v>
      </c>
      <c r="D1274" s="7" t="s">
        <v>2287</v>
      </c>
      <c r="E1274" s="7" t="s">
        <v>11</v>
      </c>
      <c r="F1274" s="7"/>
      <c r="G1274" s="7" t="s">
        <v>1461</v>
      </c>
      <c r="H1274" s="7"/>
      <c r="I1274" s="10">
        <v>44758</v>
      </c>
      <c r="J1274" s="7" t="s">
        <v>13</v>
      </c>
      <c r="K1274" s="7" t="s">
        <v>19</v>
      </c>
      <c r="L1274" s="7" t="s">
        <v>20</v>
      </c>
      <c r="M1274" s="7" t="s">
        <v>21</v>
      </c>
    </row>
    <row r="1275" spans="1:13" x14ac:dyDescent="0.3">
      <c r="A1275" s="7" t="str">
        <f>HYPERLINK("https://hsdes.intel.com/resource/14013159899","14013159899")</f>
        <v>14013159899</v>
      </c>
      <c r="B1275" s="7" t="s">
        <v>2288</v>
      </c>
      <c r="C1275" s="7" t="s">
        <v>1420</v>
      </c>
      <c r="D1275" s="7" t="s">
        <v>2289</v>
      </c>
      <c r="E1275" s="7" t="s">
        <v>11</v>
      </c>
      <c r="F1275" s="7"/>
      <c r="G1275" s="7" t="s">
        <v>354</v>
      </c>
      <c r="H1275" s="7"/>
      <c r="I1275" s="10">
        <v>44764</v>
      </c>
      <c r="J1275" s="7" t="s">
        <v>13</v>
      </c>
      <c r="K1275" s="7" t="s">
        <v>19</v>
      </c>
      <c r="L1275" s="7" t="s">
        <v>20</v>
      </c>
      <c r="M1275" s="7" t="s">
        <v>21</v>
      </c>
    </row>
    <row r="1276" spans="1:13" x14ac:dyDescent="0.3">
      <c r="A1276" s="7" t="str">
        <f>HYPERLINK("https://hsdes.intel.com/resource/14013159904","14013159904")</f>
        <v>14013159904</v>
      </c>
      <c r="B1276" s="7" t="s">
        <v>2290</v>
      </c>
      <c r="C1276" s="7" t="s">
        <v>1420</v>
      </c>
      <c r="D1276" s="7" t="s">
        <v>2291</v>
      </c>
      <c r="E1276" s="7" t="s">
        <v>11</v>
      </c>
      <c r="F1276" s="7"/>
      <c r="G1276" s="7" t="s">
        <v>354</v>
      </c>
      <c r="H1276" s="7"/>
      <c r="I1276" s="10">
        <v>44759</v>
      </c>
      <c r="J1276" s="7" t="s">
        <v>13</v>
      </c>
      <c r="K1276" s="7" t="s">
        <v>19</v>
      </c>
      <c r="L1276" s="7" t="s">
        <v>20</v>
      </c>
      <c r="M1276" s="7" t="s">
        <v>16</v>
      </c>
    </row>
    <row r="1277" spans="1:13" x14ac:dyDescent="0.3">
      <c r="A1277" s="7" t="str">
        <f>HYPERLINK("https://hsdes.intel.com/resource/14013159907","14013159907")</f>
        <v>14013159907</v>
      </c>
      <c r="B1277" s="7" t="s">
        <v>2292</v>
      </c>
      <c r="C1277" s="7" t="s">
        <v>1420</v>
      </c>
      <c r="D1277" s="7" t="s">
        <v>2293</v>
      </c>
      <c r="E1277" s="7" t="s">
        <v>11</v>
      </c>
      <c r="F1277" s="7" t="s">
        <v>2294</v>
      </c>
      <c r="G1277" s="7" t="s">
        <v>354</v>
      </c>
      <c r="H1277" s="7" t="s">
        <v>719</v>
      </c>
      <c r="I1277" s="10">
        <v>44404</v>
      </c>
      <c r="J1277" s="7" t="s">
        <v>13</v>
      </c>
      <c r="K1277" s="7" t="s">
        <v>19</v>
      </c>
      <c r="L1277" s="7" t="s">
        <v>20</v>
      </c>
      <c r="M1277" s="7" t="s">
        <v>16</v>
      </c>
    </row>
    <row r="1278" spans="1:13" x14ac:dyDescent="0.3">
      <c r="A1278" s="7" t="str">
        <f>HYPERLINK("https://hsdes.intel.com/resource/14013159909","14013159909")</f>
        <v>14013159909</v>
      </c>
      <c r="B1278" s="7" t="s">
        <v>2295</v>
      </c>
      <c r="C1278" s="7" t="s">
        <v>1420</v>
      </c>
      <c r="D1278" s="7" t="s">
        <v>2296</v>
      </c>
      <c r="E1278" s="7" t="s">
        <v>342</v>
      </c>
      <c r="F1278" s="7"/>
      <c r="G1278" s="7" t="s">
        <v>354</v>
      </c>
      <c r="H1278" s="7"/>
      <c r="I1278" s="10">
        <v>44759</v>
      </c>
      <c r="J1278" s="7" t="s">
        <v>13</v>
      </c>
      <c r="K1278" s="7" t="s">
        <v>19</v>
      </c>
      <c r="L1278" s="7" t="s">
        <v>20</v>
      </c>
      <c r="M1278" s="7" t="s">
        <v>16</v>
      </c>
    </row>
    <row r="1279" spans="1:13" x14ac:dyDescent="0.3">
      <c r="A1279" s="7" t="str">
        <f>HYPERLINK("https://hsdes.intel.com/resource/14013159912","14013159912")</f>
        <v>14013159912</v>
      </c>
      <c r="B1279" s="7" t="s">
        <v>2297</v>
      </c>
      <c r="C1279" s="7" t="s">
        <v>1420</v>
      </c>
      <c r="D1279" s="7" t="s">
        <v>2298</v>
      </c>
      <c r="E1279" s="7" t="s">
        <v>11</v>
      </c>
      <c r="F1279" s="7"/>
      <c r="G1279" s="7" t="s">
        <v>345</v>
      </c>
      <c r="H1279" s="7"/>
      <c r="I1279" s="10">
        <v>44760</v>
      </c>
      <c r="J1279" s="7" t="s">
        <v>13</v>
      </c>
      <c r="K1279" s="7" t="s">
        <v>19</v>
      </c>
      <c r="L1279" s="7" t="s">
        <v>20</v>
      </c>
      <c r="M1279" s="7" t="s">
        <v>21</v>
      </c>
    </row>
    <row r="1280" spans="1:13" x14ac:dyDescent="0.3">
      <c r="A1280" s="7" t="str">
        <f>HYPERLINK("https://hsdes.intel.com/resource/14013159914","14013159914")</f>
        <v>14013159914</v>
      </c>
      <c r="B1280" s="7" t="s">
        <v>2299</v>
      </c>
      <c r="C1280" s="7" t="s">
        <v>1420</v>
      </c>
      <c r="D1280" s="7" t="s">
        <v>2300</v>
      </c>
      <c r="E1280" s="7" t="s">
        <v>11</v>
      </c>
      <c r="F1280" s="7"/>
      <c r="G1280" s="7" t="s">
        <v>354</v>
      </c>
      <c r="H1280" s="7"/>
      <c r="I1280" s="10">
        <v>44760</v>
      </c>
      <c r="J1280" s="7" t="s">
        <v>13</v>
      </c>
      <c r="K1280" s="7" t="s">
        <v>19</v>
      </c>
      <c r="L1280" s="7" t="s">
        <v>20</v>
      </c>
      <c r="M1280" s="7" t="s">
        <v>21</v>
      </c>
    </row>
    <row r="1281" spans="1:13" x14ac:dyDescent="0.3">
      <c r="A1281" s="7" t="str">
        <f>HYPERLINK("https://hsdes.intel.com/resource/14013159917","14013159917")</f>
        <v>14013159917</v>
      </c>
      <c r="B1281" s="7" t="s">
        <v>2301</v>
      </c>
      <c r="C1281" s="7" t="s">
        <v>1420</v>
      </c>
      <c r="D1281" s="7" t="s">
        <v>2302</v>
      </c>
      <c r="E1281" s="7" t="s">
        <v>11</v>
      </c>
      <c r="F1281" s="7"/>
      <c r="G1281" s="7" t="s">
        <v>354</v>
      </c>
      <c r="H1281" s="7"/>
      <c r="I1281" s="10">
        <v>44759</v>
      </c>
      <c r="J1281" s="7" t="s">
        <v>13</v>
      </c>
      <c r="K1281" s="7" t="s">
        <v>19</v>
      </c>
      <c r="L1281" s="7" t="s">
        <v>20</v>
      </c>
      <c r="M1281" s="7" t="s">
        <v>16</v>
      </c>
    </row>
    <row r="1282" spans="1:13" x14ac:dyDescent="0.3">
      <c r="A1282" s="7" t="str">
        <f>HYPERLINK("https://hsdes.intel.com/resource/14013159920","14013159920")</f>
        <v>14013159920</v>
      </c>
      <c r="B1282" s="7" t="s">
        <v>2303</v>
      </c>
      <c r="C1282" s="7" t="s">
        <v>1420</v>
      </c>
      <c r="D1282" s="7" t="s">
        <v>2304</v>
      </c>
      <c r="E1282" s="7" t="s">
        <v>11</v>
      </c>
      <c r="F1282" s="7"/>
      <c r="G1282" s="7" t="s">
        <v>354</v>
      </c>
      <c r="H1282" s="7"/>
      <c r="I1282" s="10">
        <v>44759</v>
      </c>
      <c r="J1282" s="7" t="s">
        <v>13</v>
      </c>
      <c r="K1282" s="7" t="s">
        <v>19</v>
      </c>
      <c r="L1282" s="7" t="s">
        <v>20</v>
      </c>
      <c r="M1282" s="7" t="s">
        <v>16</v>
      </c>
    </row>
    <row r="1283" spans="1:13" x14ac:dyDescent="0.3">
      <c r="A1283" s="7" t="str">
        <f>HYPERLINK("https://hsdes.intel.com/resource/14013159923","14013159923")</f>
        <v>14013159923</v>
      </c>
      <c r="B1283" s="7" t="s">
        <v>2305</v>
      </c>
      <c r="C1283" s="7" t="s">
        <v>1420</v>
      </c>
      <c r="D1283" s="7" t="s">
        <v>2306</v>
      </c>
      <c r="E1283" s="7" t="s">
        <v>11</v>
      </c>
      <c r="F1283" s="7"/>
      <c r="G1283" s="7" t="s">
        <v>354</v>
      </c>
      <c r="H1283" s="7"/>
      <c r="I1283" s="10">
        <v>44759</v>
      </c>
      <c r="J1283" s="7" t="s">
        <v>13</v>
      </c>
      <c r="K1283" s="7" t="s">
        <v>19</v>
      </c>
      <c r="L1283" s="7" t="s">
        <v>20</v>
      </c>
      <c r="M1283" s="7" t="s">
        <v>16</v>
      </c>
    </row>
    <row r="1284" spans="1:13" x14ac:dyDescent="0.3">
      <c r="A1284" s="7" t="str">
        <f>HYPERLINK("https://hsdes.intel.com/resource/14013159925","14013159925")</f>
        <v>14013159925</v>
      </c>
      <c r="B1284" s="7" t="s">
        <v>2307</v>
      </c>
      <c r="C1284" s="7" t="s">
        <v>1420</v>
      </c>
      <c r="D1284" s="7" t="s">
        <v>2308</v>
      </c>
      <c r="E1284" s="7" t="s">
        <v>11</v>
      </c>
      <c r="F1284" s="7"/>
      <c r="G1284" s="7" t="s">
        <v>369</v>
      </c>
      <c r="H1284" s="7"/>
      <c r="I1284" s="10">
        <v>44762</v>
      </c>
      <c r="J1284" s="7" t="s">
        <v>13</v>
      </c>
      <c r="K1284" s="7" t="s">
        <v>19</v>
      </c>
      <c r="L1284" s="7" t="s">
        <v>20</v>
      </c>
      <c r="M1284" s="7" t="s">
        <v>24</v>
      </c>
    </row>
    <row r="1285" spans="1:13" x14ac:dyDescent="0.3">
      <c r="A1285" s="7" t="str">
        <f>HYPERLINK("https://hsdes.intel.com/resource/14013159928","14013159928")</f>
        <v>14013159928</v>
      </c>
      <c r="B1285" s="7" t="s">
        <v>2309</v>
      </c>
      <c r="C1285" s="7" t="s">
        <v>1420</v>
      </c>
      <c r="D1285" s="7" t="s">
        <v>2310</v>
      </c>
      <c r="E1285" s="7" t="s">
        <v>11</v>
      </c>
      <c r="F1285" s="7"/>
      <c r="G1285" s="7" t="s">
        <v>369</v>
      </c>
      <c r="H1285" s="7"/>
      <c r="I1285" s="10">
        <v>44762</v>
      </c>
      <c r="J1285" s="7" t="s">
        <v>13</v>
      </c>
      <c r="K1285" s="7" t="s">
        <v>19</v>
      </c>
      <c r="L1285" s="7" t="s">
        <v>20</v>
      </c>
      <c r="M1285" s="7" t="s">
        <v>16</v>
      </c>
    </row>
    <row r="1286" spans="1:13" x14ac:dyDescent="0.3">
      <c r="A1286" s="7" t="str">
        <f>HYPERLINK("https://hsdes.intel.com/resource/14013159940","14013159940")</f>
        <v>14013159940</v>
      </c>
      <c r="B1286" s="7" t="s">
        <v>2311</v>
      </c>
      <c r="C1286" s="7" t="s">
        <v>1420</v>
      </c>
      <c r="D1286" s="7" t="s">
        <v>2312</v>
      </c>
      <c r="E1286" s="7" t="s">
        <v>11</v>
      </c>
      <c r="F1286" s="7" t="s">
        <v>2313</v>
      </c>
      <c r="G1286" s="7" t="s">
        <v>354</v>
      </c>
      <c r="H1286" s="7"/>
      <c r="I1286" s="10">
        <v>44761</v>
      </c>
      <c r="J1286" s="7" t="s">
        <v>13</v>
      </c>
      <c r="K1286" s="7" t="s">
        <v>296</v>
      </c>
      <c r="L1286" s="7" t="s">
        <v>297</v>
      </c>
      <c r="M1286" s="7" t="s">
        <v>21</v>
      </c>
    </row>
    <row r="1287" spans="1:13" x14ac:dyDescent="0.3">
      <c r="A1287" s="7" t="str">
        <f>HYPERLINK("https://hsdes.intel.com/resource/14013159952","14013159952")</f>
        <v>14013159952</v>
      </c>
      <c r="B1287" s="7" t="s">
        <v>2314</v>
      </c>
      <c r="C1287" s="7" t="s">
        <v>1420</v>
      </c>
      <c r="D1287" s="7" t="s">
        <v>2315</v>
      </c>
      <c r="E1287" s="7" t="s">
        <v>11</v>
      </c>
      <c r="F1287" s="7"/>
      <c r="G1287" s="7" t="s">
        <v>345</v>
      </c>
      <c r="H1287" s="7"/>
      <c r="I1287" s="10">
        <v>44760</v>
      </c>
      <c r="J1287" s="7" t="s">
        <v>13</v>
      </c>
      <c r="K1287" s="7" t="s">
        <v>19</v>
      </c>
      <c r="L1287" s="7" t="s">
        <v>20</v>
      </c>
      <c r="M1287" s="7" t="s">
        <v>21</v>
      </c>
    </row>
    <row r="1288" spans="1:13" x14ac:dyDescent="0.3">
      <c r="A1288" s="7" t="str">
        <f>HYPERLINK("https://hsdes.intel.com/resource/14013159954","14013159954")</f>
        <v>14013159954</v>
      </c>
      <c r="B1288" s="7" t="s">
        <v>2316</v>
      </c>
      <c r="C1288" s="7" t="s">
        <v>1420</v>
      </c>
      <c r="D1288" s="7" t="s">
        <v>2317</v>
      </c>
      <c r="E1288" s="7" t="s">
        <v>11</v>
      </c>
      <c r="F1288" s="7"/>
      <c r="G1288" s="7" t="s">
        <v>345</v>
      </c>
      <c r="H1288" s="7"/>
      <c r="I1288" s="10">
        <v>44760</v>
      </c>
      <c r="J1288" s="7" t="s">
        <v>13</v>
      </c>
      <c r="K1288" s="7" t="s">
        <v>19</v>
      </c>
      <c r="L1288" s="7" t="s">
        <v>20</v>
      </c>
      <c r="M1288" s="7" t="s">
        <v>21</v>
      </c>
    </row>
    <row r="1289" spans="1:13" x14ac:dyDescent="0.3">
      <c r="A1289" s="7" t="str">
        <f>HYPERLINK("https://hsdes.intel.com/resource/14013159957","14013159957")</f>
        <v>14013159957</v>
      </c>
      <c r="B1289" s="7" t="s">
        <v>2318</v>
      </c>
      <c r="C1289" s="7" t="s">
        <v>1420</v>
      </c>
      <c r="D1289" s="7" t="s">
        <v>2319</v>
      </c>
      <c r="E1289" s="7" t="s">
        <v>838</v>
      </c>
      <c r="F1289" s="7" t="s">
        <v>1994</v>
      </c>
      <c r="G1289" s="7" t="s">
        <v>354</v>
      </c>
      <c r="H1289" s="7"/>
      <c r="I1289" s="7"/>
      <c r="J1289" s="7" t="s">
        <v>13</v>
      </c>
      <c r="K1289" s="7" t="s">
        <v>19</v>
      </c>
      <c r="L1289" s="7" t="s">
        <v>20</v>
      </c>
      <c r="M1289" s="7" t="s">
        <v>21</v>
      </c>
    </row>
    <row r="1290" spans="1:13" x14ac:dyDescent="0.3">
      <c r="A1290" s="7" t="str">
        <f>HYPERLINK("https://hsdes.intel.com/resource/14013159959","14013159959")</f>
        <v>14013159959</v>
      </c>
      <c r="B1290" s="7" t="s">
        <v>2320</v>
      </c>
      <c r="C1290" s="7" t="s">
        <v>1420</v>
      </c>
      <c r="D1290" s="7" t="s">
        <v>2321</v>
      </c>
      <c r="E1290" s="7" t="s">
        <v>838</v>
      </c>
      <c r="F1290" s="7" t="s">
        <v>2285</v>
      </c>
      <c r="G1290" s="7" t="s">
        <v>354</v>
      </c>
      <c r="H1290" s="7"/>
      <c r="I1290" s="7"/>
      <c r="J1290" s="7" t="s">
        <v>13</v>
      </c>
      <c r="K1290" s="7" t="s">
        <v>19</v>
      </c>
      <c r="L1290" s="7" t="s">
        <v>20</v>
      </c>
      <c r="M1290" s="7" t="s">
        <v>21</v>
      </c>
    </row>
    <row r="1291" spans="1:13" x14ac:dyDescent="0.3">
      <c r="A1291" s="7" t="str">
        <f>HYPERLINK("https://hsdes.intel.com/resource/14013159961","14013159961")</f>
        <v>14013159961</v>
      </c>
      <c r="B1291" s="7" t="s">
        <v>2322</v>
      </c>
      <c r="C1291" s="7" t="s">
        <v>1420</v>
      </c>
      <c r="D1291" s="7" t="s">
        <v>2323</v>
      </c>
      <c r="E1291" s="7" t="s">
        <v>11</v>
      </c>
      <c r="F1291" s="7"/>
      <c r="G1291" s="7" t="s">
        <v>354</v>
      </c>
      <c r="H1291" s="7"/>
      <c r="I1291" s="10">
        <v>44759</v>
      </c>
      <c r="J1291" s="7" t="s">
        <v>13</v>
      </c>
      <c r="K1291" s="7" t="s">
        <v>19</v>
      </c>
      <c r="L1291" s="7" t="s">
        <v>20</v>
      </c>
      <c r="M1291" s="7" t="s">
        <v>16</v>
      </c>
    </row>
    <row r="1292" spans="1:13" x14ac:dyDescent="0.3">
      <c r="A1292" s="7" t="str">
        <f>HYPERLINK("https://hsdes.intel.com/resource/14013159965","14013159965")</f>
        <v>14013159965</v>
      </c>
      <c r="B1292" s="7" t="s">
        <v>2324</v>
      </c>
      <c r="C1292" s="7" t="s">
        <v>1420</v>
      </c>
      <c r="D1292" s="7" t="s">
        <v>2325</v>
      </c>
      <c r="E1292" s="7" t="s">
        <v>11</v>
      </c>
      <c r="F1292" s="7"/>
      <c r="G1292" s="7" t="s">
        <v>354</v>
      </c>
      <c r="H1292" s="7"/>
      <c r="I1292" s="10">
        <v>44759</v>
      </c>
      <c r="J1292" s="7" t="s">
        <v>13</v>
      </c>
      <c r="K1292" s="7" t="s">
        <v>19</v>
      </c>
      <c r="L1292" s="7" t="s">
        <v>20</v>
      </c>
      <c r="M1292" s="7" t="s">
        <v>16</v>
      </c>
    </row>
    <row r="1293" spans="1:13" x14ac:dyDescent="0.3">
      <c r="A1293" s="7" t="str">
        <f>HYPERLINK("https://hsdes.intel.com/resource/14013159967","14013159967")</f>
        <v>14013159967</v>
      </c>
      <c r="B1293" s="7" t="s">
        <v>2326</v>
      </c>
      <c r="C1293" s="7" t="s">
        <v>1420</v>
      </c>
      <c r="D1293" s="7" t="s">
        <v>2327</v>
      </c>
      <c r="E1293" s="7" t="s">
        <v>11</v>
      </c>
      <c r="F1293" s="7"/>
      <c r="G1293" s="7" t="s">
        <v>354</v>
      </c>
      <c r="H1293" s="7"/>
      <c r="I1293" s="10">
        <v>44760</v>
      </c>
      <c r="J1293" s="7" t="s">
        <v>13</v>
      </c>
      <c r="K1293" s="7" t="s">
        <v>19</v>
      </c>
      <c r="L1293" s="7" t="s">
        <v>20</v>
      </c>
      <c r="M1293" s="7" t="s">
        <v>16</v>
      </c>
    </row>
    <row r="1294" spans="1:13" x14ac:dyDescent="0.3">
      <c r="A1294" s="7" t="str">
        <f>HYPERLINK("https://hsdes.intel.com/resource/14013159969","14013159969")</f>
        <v>14013159969</v>
      </c>
      <c r="B1294" s="7" t="s">
        <v>2328</v>
      </c>
      <c r="C1294" s="7" t="s">
        <v>1420</v>
      </c>
      <c r="D1294" s="7" t="s">
        <v>2329</v>
      </c>
      <c r="E1294" s="7" t="s">
        <v>11</v>
      </c>
      <c r="F1294" s="7"/>
      <c r="G1294" s="7" t="s">
        <v>354</v>
      </c>
      <c r="H1294" s="7"/>
      <c r="I1294" s="10">
        <v>44759</v>
      </c>
      <c r="J1294" s="7" t="s">
        <v>13</v>
      </c>
      <c r="K1294" s="7" t="s">
        <v>19</v>
      </c>
      <c r="L1294" s="7" t="s">
        <v>20</v>
      </c>
      <c r="M1294" s="7" t="s">
        <v>16</v>
      </c>
    </row>
    <row r="1295" spans="1:13" x14ac:dyDescent="0.3">
      <c r="A1295" s="7" t="str">
        <f>HYPERLINK("https://hsdes.intel.com/resource/14013159971","14013159971")</f>
        <v>14013159971</v>
      </c>
      <c r="B1295" s="7" t="s">
        <v>2330</v>
      </c>
      <c r="C1295" s="7" t="s">
        <v>1420</v>
      </c>
      <c r="D1295" s="7" t="s">
        <v>2331</v>
      </c>
      <c r="E1295" s="7" t="s">
        <v>11</v>
      </c>
      <c r="F1295" s="7"/>
      <c r="G1295" s="7" t="s">
        <v>354</v>
      </c>
      <c r="H1295" s="7"/>
      <c r="I1295" s="10">
        <v>44760</v>
      </c>
      <c r="J1295" s="7" t="s">
        <v>13</v>
      </c>
      <c r="K1295" s="7" t="s">
        <v>19</v>
      </c>
      <c r="L1295" s="7" t="s">
        <v>20</v>
      </c>
      <c r="M1295" s="7" t="s">
        <v>21</v>
      </c>
    </row>
    <row r="1296" spans="1:13" x14ac:dyDescent="0.3">
      <c r="A1296" s="7" t="str">
        <f>HYPERLINK("https://hsdes.intel.com/resource/14013159973","14013159973")</f>
        <v>14013159973</v>
      </c>
      <c r="B1296" s="7" t="s">
        <v>2332</v>
      </c>
      <c r="C1296" s="7" t="s">
        <v>1420</v>
      </c>
      <c r="D1296" s="7" t="s">
        <v>2333</v>
      </c>
      <c r="E1296" s="7" t="s">
        <v>11</v>
      </c>
      <c r="F1296" s="7"/>
      <c r="G1296" s="7" t="s">
        <v>354</v>
      </c>
      <c r="H1296" s="7"/>
      <c r="I1296" s="10">
        <v>44760</v>
      </c>
      <c r="J1296" s="7" t="s">
        <v>13</v>
      </c>
      <c r="K1296" s="7" t="s">
        <v>19</v>
      </c>
      <c r="L1296" s="7" t="s">
        <v>20</v>
      </c>
      <c r="M1296" s="7" t="s">
        <v>16</v>
      </c>
    </row>
    <row r="1297" spans="1:13" x14ac:dyDescent="0.3">
      <c r="A1297" s="7" t="str">
        <f>HYPERLINK("https://hsdes.intel.com/resource/14013159979","14013159979")</f>
        <v>14013159979</v>
      </c>
      <c r="B1297" s="7" t="s">
        <v>2334</v>
      </c>
      <c r="C1297" s="7" t="s">
        <v>1420</v>
      </c>
      <c r="D1297" s="7" t="s">
        <v>2335</v>
      </c>
      <c r="E1297" s="7" t="s">
        <v>11</v>
      </c>
      <c r="F1297" s="7"/>
      <c r="G1297" s="7" t="s">
        <v>354</v>
      </c>
      <c r="H1297" s="7"/>
      <c r="I1297" s="10">
        <v>44760</v>
      </c>
      <c r="J1297" s="7" t="s">
        <v>13</v>
      </c>
      <c r="K1297" s="7" t="s">
        <v>19</v>
      </c>
      <c r="L1297" s="7" t="s">
        <v>20</v>
      </c>
      <c r="M1297" s="7" t="s">
        <v>21</v>
      </c>
    </row>
    <row r="1298" spans="1:13" x14ac:dyDescent="0.3">
      <c r="A1298" s="7" t="str">
        <f>HYPERLINK("https://hsdes.intel.com/resource/14013159987","14013159987")</f>
        <v>14013159987</v>
      </c>
      <c r="B1298" s="7" t="s">
        <v>2336</v>
      </c>
      <c r="C1298" s="7" t="s">
        <v>1420</v>
      </c>
      <c r="D1298" s="7" t="s">
        <v>2337</v>
      </c>
      <c r="E1298" s="7" t="s">
        <v>11</v>
      </c>
      <c r="F1298" s="7"/>
      <c r="G1298" s="7" t="s">
        <v>354</v>
      </c>
      <c r="H1298" s="7"/>
      <c r="I1298" s="10">
        <v>44760</v>
      </c>
      <c r="J1298" s="7" t="s">
        <v>13</v>
      </c>
      <c r="K1298" s="7" t="s">
        <v>19</v>
      </c>
      <c r="L1298" s="7" t="s">
        <v>20</v>
      </c>
      <c r="M1298" s="7" t="s">
        <v>24</v>
      </c>
    </row>
    <row r="1299" spans="1:13" x14ac:dyDescent="0.3">
      <c r="A1299" s="7" t="str">
        <f>HYPERLINK("https://hsdes.intel.com/resource/14013160002","14013160002")</f>
        <v>14013160002</v>
      </c>
      <c r="B1299" s="7" t="s">
        <v>2338</v>
      </c>
      <c r="C1299" s="7" t="s">
        <v>1420</v>
      </c>
      <c r="D1299" s="7" t="s">
        <v>2339</v>
      </c>
      <c r="E1299" s="7" t="s">
        <v>11</v>
      </c>
      <c r="F1299" s="7"/>
      <c r="G1299" s="7" t="s">
        <v>354</v>
      </c>
      <c r="H1299" s="7"/>
      <c r="I1299" s="10">
        <v>44760</v>
      </c>
      <c r="J1299" s="7" t="s">
        <v>13</v>
      </c>
      <c r="K1299" s="7" t="s">
        <v>19</v>
      </c>
      <c r="L1299" s="7" t="s">
        <v>20</v>
      </c>
      <c r="M1299" s="7" t="s">
        <v>21</v>
      </c>
    </row>
    <row r="1300" spans="1:13" x14ac:dyDescent="0.3">
      <c r="A1300" s="7" t="str">
        <f>HYPERLINK("https://hsdes.intel.com/resource/14013160004","14013160004")</f>
        <v>14013160004</v>
      </c>
      <c r="B1300" s="7" t="s">
        <v>2340</v>
      </c>
      <c r="C1300" s="7" t="s">
        <v>1420</v>
      </c>
      <c r="D1300" s="7" t="s">
        <v>2341</v>
      </c>
      <c r="E1300" s="7" t="s">
        <v>37</v>
      </c>
      <c r="F1300" s="7"/>
      <c r="G1300" s="7" t="s">
        <v>354</v>
      </c>
      <c r="H1300" s="7"/>
      <c r="I1300" s="7"/>
      <c r="J1300" s="7" t="s">
        <v>13</v>
      </c>
      <c r="K1300" s="7" t="s">
        <v>19</v>
      </c>
      <c r="L1300" s="7" t="s">
        <v>20</v>
      </c>
      <c r="M1300" s="7" t="s">
        <v>21</v>
      </c>
    </row>
    <row r="1301" spans="1:13" x14ac:dyDescent="0.3">
      <c r="A1301" s="7" t="str">
        <f>HYPERLINK("https://hsdes.intel.com/resource/14013160006","14013160006")</f>
        <v>14013160006</v>
      </c>
      <c r="B1301" s="7" t="s">
        <v>2342</v>
      </c>
      <c r="C1301" s="7" t="s">
        <v>1420</v>
      </c>
      <c r="D1301" s="7" t="s">
        <v>2343</v>
      </c>
      <c r="E1301" s="7" t="s">
        <v>342</v>
      </c>
      <c r="F1301" s="7"/>
      <c r="G1301" s="7" t="s">
        <v>354</v>
      </c>
      <c r="H1301" s="7"/>
      <c r="I1301" s="10">
        <v>44759</v>
      </c>
      <c r="J1301" s="7" t="s">
        <v>13</v>
      </c>
      <c r="K1301" s="7" t="s">
        <v>19</v>
      </c>
      <c r="L1301" s="7" t="s">
        <v>20</v>
      </c>
      <c r="M1301" s="7" t="s">
        <v>16</v>
      </c>
    </row>
    <row r="1302" spans="1:13" x14ac:dyDescent="0.3">
      <c r="A1302" s="7" t="str">
        <f>HYPERLINK("https://hsdes.intel.com/resource/14013160009","14013160009")</f>
        <v>14013160009</v>
      </c>
      <c r="B1302" s="7" t="s">
        <v>2344</v>
      </c>
      <c r="C1302" s="7" t="s">
        <v>1420</v>
      </c>
      <c r="D1302" s="7" t="s">
        <v>2345</v>
      </c>
      <c r="E1302" s="7" t="s">
        <v>342</v>
      </c>
      <c r="F1302" s="7"/>
      <c r="G1302" s="7" t="s">
        <v>354</v>
      </c>
      <c r="H1302" s="7"/>
      <c r="I1302" s="10">
        <v>44759</v>
      </c>
      <c r="J1302" s="7" t="s">
        <v>13</v>
      </c>
      <c r="K1302" s="7" t="s">
        <v>19</v>
      </c>
      <c r="L1302" s="7" t="s">
        <v>20</v>
      </c>
      <c r="M1302" s="7" t="s">
        <v>16</v>
      </c>
    </row>
    <row r="1303" spans="1:13" x14ac:dyDescent="0.3">
      <c r="A1303" s="7" t="str">
        <f>HYPERLINK("https://hsdes.intel.com/resource/14013160011","14013160011")</f>
        <v>14013160011</v>
      </c>
      <c r="B1303" s="7" t="s">
        <v>2346</v>
      </c>
      <c r="C1303" s="7" t="s">
        <v>1420</v>
      </c>
      <c r="D1303" s="7" t="s">
        <v>2347</v>
      </c>
      <c r="E1303" s="7" t="s">
        <v>342</v>
      </c>
      <c r="F1303" s="7"/>
      <c r="G1303" s="7" t="s">
        <v>354</v>
      </c>
      <c r="H1303" s="7"/>
      <c r="I1303" s="10">
        <v>44760</v>
      </c>
      <c r="J1303" s="7" t="s">
        <v>13</v>
      </c>
      <c r="K1303" s="7" t="s">
        <v>19</v>
      </c>
      <c r="L1303" s="7" t="s">
        <v>20</v>
      </c>
      <c r="M1303" s="7" t="s">
        <v>21</v>
      </c>
    </row>
    <row r="1304" spans="1:13" x14ac:dyDescent="0.3">
      <c r="A1304" s="7" t="str">
        <f>HYPERLINK("https://hsdes.intel.com/resource/14013160014","14013160014")</f>
        <v>14013160014</v>
      </c>
      <c r="B1304" s="7" t="s">
        <v>2348</v>
      </c>
      <c r="C1304" s="7" t="s">
        <v>1420</v>
      </c>
      <c r="D1304" s="7" t="s">
        <v>2349</v>
      </c>
      <c r="E1304" s="7" t="s">
        <v>342</v>
      </c>
      <c r="F1304" s="7"/>
      <c r="G1304" s="7" t="s">
        <v>354</v>
      </c>
      <c r="H1304" s="7"/>
      <c r="I1304" s="10">
        <v>44760</v>
      </c>
      <c r="J1304" s="7" t="s">
        <v>13</v>
      </c>
      <c r="K1304" s="7" t="s">
        <v>19</v>
      </c>
      <c r="L1304" s="7" t="s">
        <v>20</v>
      </c>
      <c r="M1304" s="7" t="s">
        <v>21</v>
      </c>
    </row>
    <row r="1305" spans="1:13" x14ac:dyDescent="0.3">
      <c r="A1305" s="7" t="str">
        <f>HYPERLINK("https://hsdes.intel.com/resource/14013160018","14013160018")</f>
        <v>14013160018</v>
      </c>
      <c r="B1305" s="7" t="s">
        <v>2350</v>
      </c>
      <c r="C1305" s="7" t="s">
        <v>1420</v>
      </c>
      <c r="D1305" s="7" t="s">
        <v>2351</v>
      </c>
      <c r="E1305" s="7" t="s">
        <v>342</v>
      </c>
      <c r="F1305" s="7" t="s">
        <v>2294</v>
      </c>
      <c r="G1305" s="7" t="s">
        <v>354</v>
      </c>
      <c r="H1305" s="7" t="s">
        <v>719</v>
      </c>
      <c r="I1305" s="45">
        <v>44404</v>
      </c>
      <c r="J1305" s="7" t="s">
        <v>13</v>
      </c>
      <c r="K1305" s="7" t="s">
        <v>19</v>
      </c>
      <c r="L1305" s="7" t="s">
        <v>20</v>
      </c>
      <c r="M1305" s="7" t="s">
        <v>21</v>
      </c>
    </row>
    <row r="1306" spans="1:13" x14ac:dyDescent="0.3">
      <c r="A1306" s="7" t="str">
        <f>HYPERLINK("https://hsdes.intel.com/resource/14013160020","14013160020")</f>
        <v>14013160020</v>
      </c>
      <c r="B1306" s="7" t="s">
        <v>2352</v>
      </c>
      <c r="C1306" s="7" t="s">
        <v>1420</v>
      </c>
      <c r="D1306" s="7" t="s">
        <v>2353</v>
      </c>
      <c r="E1306" s="7" t="s">
        <v>11</v>
      </c>
      <c r="F1306" s="7"/>
      <c r="G1306" s="7" t="s">
        <v>1461</v>
      </c>
      <c r="H1306" s="7"/>
      <c r="I1306" s="10">
        <v>44758</v>
      </c>
      <c r="J1306" s="7" t="s">
        <v>13</v>
      </c>
      <c r="K1306" s="7" t="s">
        <v>19</v>
      </c>
      <c r="L1306" s="7" t="s">
        <v>20</v>
      </c>
      <c r="M1306" s="7" t="s">
        <v>16</v>
      </c>
    </row>
    <row r="1307" spans="1:13" x14ac:dyDescent="0.3">
      <c r="A1307" s="7" t="str">
        <f>HYPERLINK("https://hsdes.intel.com/resource/14013160022","14013160022")</f>
        <v>14013160022</v>
      </c>
      <c r="B1307" s="7" t="s">
        <v>2354</v>
      </c>
      <c r="C1307" s="7" t="s">
        <v>1420</v>
      </c>
      <c r="D1307" s="7" t="s">
        <v>2355</v>
      </c>
      <c r="E1307" s="7" t="s">
        <v>11</v>
      </c>
      <c r="F1307" s="7"/>
      <c r="G1307" s="7" t="s">
        <v>1461</v>
      </c>
      <c r="H1307" s="7"/>
      <c r="I1307" s="10">
        <v>44758</v>
      </c>
      <c r="J1307" s="7" t="s">
        <v>13</v>
      </c>
      <c r="K1307" s="7" t="s">
        <v>19</v>
      </c>
      <c r="L1307" s="7" t="s">
        <v>20</v>
      </c>
      <c r="M1307" s="7" t="s">
        <v>16</v>
      </c>
    </row>
    <row r="1308" spans="1:13" x14ac:dyDescent="0.3">
      <c r="A1308" s="7" t="str">
        <f>HYPERLINK("https://hsdes.intel.com/resource/14013160024","14013160024")</f>
        <v>14013160024</v>
      </c>
      <c r="B1308" s="7" t="s">
        <v>2356</v>
      </c>
      <c r="C1308" s="7" t="s">
        <v>1420</v>
      </c>
      <c r="D1308" s="7" t="s">
        <v>2357</v>
      </c>
      <c r="E1308" s="7" t="s">
        <v>11</v>
      </c>
      <c r="F1308" s="7"/>
      <c r="G1308" s="7" t="s">
        <v>1461</v>
      </c>
      <c r="H1308" s="7"/>
      <c r="I1308" s="10">
        <v>44758</v>
      </c>
      <c r="J1308" s="7" t="s">
        <v>13</v>
      </c>
      <c r="K1308" s="7" t="s">
        <v>19</v>
      </c>
      <c r="L1308" s="7" t="s">
        <v>20</v>
      </c>
      <c r="M1308" s="7" t="s">
        <v>16</v>
      </c>
    </row>
    <row r="1309" spans="1:13" x14ac:dyDescent="0.3">
      <c r="A1309" s="7" t="str">
        <f>HYPERLINK("https://hsdes.intel.com/resource/14013160033","14013160033")</f>
        <v>14013160033</v>
      </c>
      <c r="B1309" s="7" t="s">
        <v>2358</v>
      </c>
      <c r="C1309" s="7" t="s">
        <v>1420</v>
      </c>
      <c r="D1309" s="7" t="s">
        <v>2359</v>
      </c>
      <c r="E1309" s="7" t="s">
        <v>11</v>
      </c>
      <c r="F1309" s="7"/>
      <c r="G1309" s="7" t="s">
        <v>1461</v>
      </c>
      <c r="H1309" s="7"/>
      <c r="I1309" s="10">
        <v>44758</v>
      </c>
      <c r="J1309" s="7" t="s">
        <v>13</v>
      </c>
      <c r="K1309" s="7" t="s">
        <v>19</v>
      </c>
      <c r="L1309" s="7" t="s">
        <v>20</v>
      </c>
      <c r="M1309" s="7" t="s">
        <v>16</v>
      </c>
    </row>
    <row r="1310" spans="1:13" x14ac:dyDescent="0.3">
      <c r="A1310" s="7" t="str">
        <f>HYPERLINK("https://hsdes.intel.com/resource/14013160036","14013160036")</f>
        <v>14013160036</v>
      </c>
      <c r="B1310" s="7" t="s">
        <v>2360</v>
      </c>
      <c r="C1310" s="7" t="s">
        <v>1420</v>
      </c>
      <c r="D1310" s="7" t="s">
        <v>2361</v>
      </c>
      <c r="E1310" s="7" t="s">
        <v>11</v>
      </c>
      <c r="F1310" s="7"/>
      <c r="G1310" s="7" t="s">
        <v>1461</v>
      </c>
      <c r="H1310" s="7"/>
      <c r="I1310" s="10">
        <v>44758</v>
      </c>
      <c r="J1310" s="7" t="s">
        <v>13</v>
      </c>
      <c r="K1310" s="7" t="s">
        <v>19</v>
      </c>
      <c r="L1310" s="7" t="s">
        <v>20</v>
      </c>
      <c r="M1310" s="7" t="s">
        <v>16</v>
      </c>
    </row>
    <row r="1311" spans="1:13" x14ac:dyDescent="0.3">
      <c r="A1311" s="7" t="str">
        <f>HYPERLINK("https://hsdes.intel.com/resource/14013160038","14013160038")</f>
        <v>14013160038</v>
      </c>
      <c r="B1311" s="7" t="s">
        <v>2362</v>
      </c>
      <c r="C1311" s="7" t="s">
        <v>1420</v>
      </c>
      <c r="D1311" s="7" t="s">
        <v>2363</v>
      </c>
      <c r="E1311" s="7" t="s">
        <v>11</v>
      </c>
      <c r="F1311" s="7"/>
      <c r="G1311" s="7" t="s">
        <v>1461</v>
      </c>
      <c r="H1311" s="7"/>
      <c r="I1311" s="10">
        <v>44758</v>
      </c>
      <c r="J1311" s="7" t="s">
        <v>13</v>
      </c>
      <c r="K1311" s="7" t="s">
        <v>19</v>
      </c>
      <c r="L1311" s="7" t="s">
        <v>20</v>
      </c>
      <c r="M1311" s="7" t="s">
        <v>21</v>
      </c>
    </row>
    <row r="1312" spans="1:13" x14ac:dyDescent="0.3">
      <c r="A1312" s="7" t="str">
        <f>HYPERLINK("https://hsdes.intel.com/resource/14013160044","14013160044")</f>
        <v>14013160044</v>
      </c>
      <c r="B1312" s="7" t="s">
        <v>2364</v>
      </c>
      <c r="C1312" s="7" t="s">
        <v>1420</v>
      </c>
      <c r="D1312" s="7" t="s">
        <v>2365</v>
      </c>
      <c r="E1312" s="7" t="s">
        <v>11</v>
      </c>
      <c r="F1312" s="7"/>
      <c r="G1312" s="7" t="s">
        <v>1461</v>
      </c>
      <c r="H1312" s="7"/>
      <c r="I1312" s="10">
        <v>44757</v>
      </c>
      <c r="J1312" s="7" t="s">
        <v>13</v>
      </c>
      <c r="K1312" s="7" t="s">
        <v>19</v>
      </c>
      <c r="L1312" s="7" t="s">
        <v>20</v>
      </c>
      <c r="M1312" s="7" t="s">
        <v>21</v>
      </c>
    </row>
    <row r="1313" spans="1:13" x14ac:dyDescent="0.3">
      <c r="A1313" s="7" t="str">
        <f>HYPERLINK("https://hsdes.intel.com/resource/14013160046","14013160046")</f>
        <v>14013160046</v>
      </c>
      <c r="B1313" s="7" t="s">
        <v>1113</v>
      </c>
      <c r="C1313" s="7" t="s">
        <v>1420</v>
      </c>
      <c r="D1313" s="7" t="s">
        <v>1114</v>
      </c>
      <c r="E1313" s="7"/>
      <c r="F1313" s="7"/>
      <c r="G1313" s="7" t="s">
        <v>833</v>
      </c>
      <c r="H1313" s="7"/>
      <c r="I1313" s="7"/>
      <c r="J1313" s="7" t="s">
        <v>13</v>
      </c>
      <c r="K1313" s="7" t="s">
        <v>19</v>
      </c>
      <c r="L1313" s="7" t="s">
        <v>20</v>
      </c>
      <c r="M1313" s="7" t="s">
        <v>21</v>
      </c>
    </row>
    <row r="1314" spans="1:13" x14ac:dyDescent="0.3">
      <c r="A1314" s="7" t="str">
        <f>HYPERLINK("https://hsdes.intel.com/resource/14013160048","14013160048")</f>
        <v>14013160048</v>
      </c>
      <c r="B1314" s="7" t="s">
        <v>1115</v>
      </c>
      <c r="C1314" s="7" t="s">
        <v>1420</v>
      </c>
      <c r="D1314" s="7" t="s">
        <v>1116</v>
      </c>
      <c r="E1314" s="7"/>
      <c r="F1314" s="7"/>
      <c r="G1314" s="7" t="s">
        <v>833</v>
      </c>
      <c r="H1314" s="7"/>
      <c r="I1314" s="7"/>
      <c r="J1314" s="7" t="s">
        <v>13</v>
      </c>
      <c r="K1314" s="7" t="s">
        <v>19</v>
      </c>
      <c r="L1314" s="7" t="s">
        <v>20</v>
      </c>
      <c r="M1314" s="7" t="s">
        <v>21</v>
      </c>
    </row>
    <row r="1315" spans="1:13" x14ac:dyDescent="0.3">
      <c r="A1315" s="7" t="str">
        <f>HYPERLINK("https://hsdes.intel.com/resource/14013160052","14013160052")</f>
        <v>14013160052</v>
      </c>
      <c r="B1315" s="7" t="s">
        <v>1117</v>
      </c>
      <c r="C1315" s="7" t="s">
        <v>1420</v>
      </c>
      <c r="D1315" s="7" t="s">
        <v>1118</v>
      </c>
      <c r="E1315" s="7"/>
      <c r="F1315" s="7"/>
      <c r="G1315" s="7" t="s">
        <v>833</v>
      </c>
      <c r="H1315" s="7"/>
      <c r="I1315" s="7"/>
      <c r="J1315" s="7" t="s">
        <v>13</v>
      </c>
      <c r="K1315" s="7" t="s">
        <v>19</v>
      </c>
      <c r="L1315" s="7" t="s">
        <v>20</v>
      </c>
      <c r="M1315" s="7" t="s">
        <v>16</v>
      </c>
    </row>
    <row r="1316" spans="1:13" x14ac:dyDescent="0.3">
      <c r="A1316" s="7" t="str">
        <f>HYPERLINK("https://hsdes.intel.com/resource/14013160054","14013160054")</f>
        <v>14013160054</v>
      </c>
      <c r="B1316" s="7" t="s">
        <v>1119</v>
      </c>
      <c r="C1316" s="7" t="s">
        <v>1420</v>
      </c>
      <c r="D1316" s="7" t="s">
        <v>1120</v>
      </c>
      <c r="E1316" s="7"/>
      <c r="F1316" s="7"/>
      <c r="G1316" s="7" t="s">
        <v>833</v>
      </c>
      <c r="H1316" s="7"/>
      <c r="I1316" s="7"/>
      <c r="J1316" s="7" t="s">
        <v>13</v>
      </c>
      <c r="K1316" s="7" t="s">
        <v>19</v>
      </c>
      <c r="L1316" s="7" t="s">
        <v>20</v>
      </c>
      <c r="M1316" s="7" t="s">
        <v>16</v>
      </c>
    </row>
    <row r="1317" spans="1:13" x14ac:dyDescent="0.3">
      <c r="A1317" s="7" t="str">
        <f>HYPERLINK("https://hsdes.intel.com/resource/14013160057","14013160057")</f>
        <v>14013160057</v>
      </c>
      <c r="B1317" s="7" t="s">
        <v>1121</v>
      </c>
      <c r="C1317" s="7" t="s">
        <v>1420</v>
      </c>
      <c r="D1317" s="7" t="s">
        <v>1122</v>
      </c>
      <c r="E1317" s="7"/>
      <c r="F1317" s="7"/>
      <c r="G1317" s="7" t="s">
        <v>833</v>
      </c>
      <c r="H1317" s="7"/>
      <c r="I1317" s="7"/>
      <c r="J1317" s="7" t="s">
        <v>13</v>
      </c>
      <c r="K1317" s="7" t="s">
        <v>19</v>
      </c>
      <c r="L1317" s="7" t="s">
        <v>20</v>
      </c>
      <c r="M1317" s="7" t="s">
        <v>16</v>
      </c>
    </row>
    <row r="1318" spans="1:13" x14ac:dyDescent="0.3">
      <c r="A1318" s="7" t="str">
        <f>HYPERLINK("https://hsdes.intel.com/resource/14013160059","14013160059")</f>
        <v>14013160059</v>
      </c>
      <c r="B1318" s="7" t="s">
        <v>1123</v>
      </c>
      <c r="C1318" s="7" t="s">
        <v>1420</v>
      </c>
      <c r="D1318" s="7" t="s">
        <v>1124</v>
      </c>
      <c r="E1318" s="7"/>
      <c r="F1318" s="7"/>
      <c r="G1318" s="7" t="s">
        <v>833</v>
      </c>
      <c r="H1318" s="7"/>
      <c r="I1318" s="7"/>
      <c r="J1318" s="7" t="s">
        <v>13</v>
      </c>
      <c r="K1318" s="7" t="s">
        <v>19</v>
      </c>
      <c r="L1318" s="7" t="s">
        <v>20</v>
      </c>
      <c r="M1318" s="7" t="s">
        <v>21</v>
      </c>
    </row>
    <row r="1319" spans="1:13" x14ac:dyDescent="0.3">
      <c r="A1319" s="7" t="str">
        <f>HYPERLINK("https://hsdes.intel.com/resource/14013160061","14013160061")</f>
        <v>14013160061</v>
      </c>
      <c r="B1319" s="7" t="s">
        <v>2366</v>
      </c>
      <c r="C1319" s="7" t="s">
        <v>1420</v>
      </c>
      <c r="D1319" s="7" t="s">
        <v>1125</v>
      </c>
      <c r="E1319" s="7"/>
      <c r="F1319" s="7"/>
      <c r="G1319" s="7" t="s">
        <v>833</v>
      </c>
      <c r="H1319" s="7"/>
      <c r="I1319" s="7"/>
      <c r="J1319" s="7" t="s">
        <v>13</v>
      </c>
      <c r="K1319" s="7" t="s">
        <v>19</v>
      </c>
      <c r="L1319" s="7" t="s">
        <v>20</v>
      </c>
      <c r="M1319" s="7" t="s">
        <v>16</v>
      </c>
    </row>
    <row r="1320" spans="1:13" x14ac:dyDescent="0.3">
      <c r="A1320" s="7" t="str">
        <f>HYPERLINK("https://hsdes.intel.com/resource/14013160063","14013160063")</f>
        <v>14013160063</v>
      </c>
      <c r="B1320" s="7" t="s">
        <v>2367</v>
      </c>
      <c r="C1320" s="7" t="s">
        <v>1420</v>
      </c>
      <c r="D1320" s="7" t="s">
        <v>1126</v>
      </c>
      <c r="E1320" s="7"/>
      <c r="F1320" s="7"/>
      <c r="G1320" s="7" t="s">
        <v>833</v>
      </c>
      <c r="H1320" s="7"/>
      <c r="I1320" s="7"/>
      <c r="J1320" s="7" t="s">
        <v>13</v>
      </c>
      <c r="K1320" s="7" t="s">
        <v>19</v>
      </c>
      <c r="L1320" s="7" t="s">
        <v>20</v>
      </c>
      <c r="M1320" s="7" t="s">
        <v>16</v>
      </c>
    </row>
    <row r="1321" spans="1:13" x14ac:dyDescent="0.3">
      <c r="A1321" s="7" t="str">
        <f>HYPERLINK("https://hsdes.intel.com/resource/14013160066","14013160066")</f>
        <v>14013160066</v>
      </c>
      <c r="B1321" s="7" t="s">
        <v>2368</v>
      </c>
      <c r="C1321" s="7" t="s">
        <v>1420</v>
      </c>
      <c r="D1321" s="7" t="s">
        <v>1127</v>
      </c>
      <c r="E1321" s="7"/>
      <c r="F1321" s="7"/>
      <c r="G1321" s="7" t="s">
        <v>833</v>
      </c>
      <c r="H1321" s="7"/>
      <c r="I1321" s="7"/>
      <c r="J1321" s="7" t="s">
        <v>13</v>
      </c>
      <c r="K1321" s="7" t="s">
        <v>19</v>
      </c>
      <c r="L1321" s="7" t="s">
        <v>20</v>
      </c>
      <c r="M1321" s="7" t="s">
        <v>24</v>
      </c>
    </row>
    <row r="1322" spans="1:13" x14ac:dyDescent="0.3">
      <c r="A1322" s="7" t="str">
        <f>HYPERLINK("https://hsdes.intel.com/resource/14013160069","14013160069")</f>
        <v>14013160069</v>
      </c>
      <c r="B1322" s="7" t="s">
        <v>2369</v>
      </c>
      <c r="C1322" s="7" t="s">
        <v>1420</v>
      </c>
      <c r="D1322" s="7" t="s">
        <v>1128</v>
      </c>
      <c r="E1322" s="7"/>
      <c r="F1322" s="7"/>
      <c r="G1322" s="7" t="s">
        <v>833</v>
      </c>
      <c r="H1322" s="7"/>
      <c r="I1322" s="7"/>
      <c r="J1322" s="7" t="s">
        <v>13</v>
      </c>
      <c r="K1322" s="7" t="s">
        <v>19</v>
      </c>
      <c r="L1322" s="7" t="s">
        <v>20</v>
      </c>
      <c r="M1322" s="7" t="s">
        <v>21</v>
      </c>
    </row>
    <row r="1323" spans="1:13" x14ac:dyDescent="0.3">
      <c r="A1323" s="7" t="str">
        <f>HYPERLINK("https://hsdes.intel.com/resource/14013160080","14013160080")</f>
        <v>14013160080</v>
      </c>
      <c r="B1323" s="7" t="s">
        <v>2370</v>
      </c>
      <c r="C1323" s="7" t="s">
        <v>1420</v>
      </c>
      <c r="D1323" s="7" t="s">
        <v>1129</v>
      </c>
      <c r="E1323" s="7"/>
      <c r="F1323" s="7"/>
      <c r="G1323" s="7" t="s">
        <v>833</v>
      </c>
      <c r="H1323" s="7"/>
      <c r="I1323" s="7"/>
      <c r="J1323" s="7" t="s">
        <v>13</v>
      </c>
      <c r="K1323" s="7" t="s">
        <v>19</v>
      </c>
      <c r="L1323" s="7" t="s">
        <v>20</v>
      </c>
      <c r="M1323" s="7" t="s">
        <v>21</v>
      </c>
    </row>
    <row r="1324" spans="1:13" x14ac:dyDescent="0.3">
      <c r="A1324" s="7" t="str">
        <f>HYPERLINK("https://hsdes.intel.com/resource/14013160082","14013160082")</f>
        <v>14013160082</v>
      </c>
      <c r="B1324" s="7" t="s">
        <v>1130</v>
      </c>
      <c r="C1324" s="7" t="s">
        <v>1420</v>
      </c>
      <c r="D1324" s="7" t="s">
        <v>1131</v>
      </c>
      <c r="E1324" s="7"/>
      <c r="F1324" s="7"/>
      <c r="G1324" s="7" t="s">
        <v>833</v>
      </c>
      <c r="H1324" s="7"/>
      <c r="I1324" s="7"/>
      <c r="J1324" s="7" t="s">
        <v>13</v>
      </c>
      <c r="K1324" s="7" t="s">
        <v>19</v>
      </c>
      <c r="L1324" s="7" t="s">
        <v>20</v>
      </c>
      <c r="M1324" s="7" t="s">
        <v>21</v>
      </c>
    </row>
    <row r="1325" spans="1:13" x14ac:dyDescent="0.3">
      <c r="A1325" s="7" t="str">
        <f>HYPERLINK("https://hsdes.intel.com/resource/14013160118","14013160118")</f>
        <v>14013160118</v>
      </c>
      <c r="B1325" s="7" t="s">
        <v>2371</v>
      </c>
      <c r="C1325" s="7" t="s">
        <v>1420</v>
      </c>
      <c r="D1325" s="7" t="s">
        <v>2372</v>
      </c>
      <c r="E1325" s="7" t="s">
        <v>11</v>
      </c>
      <c r="F1325" s="7"/>
      <c r="G1325" s="7" t="s">
        <v>1482</v>
      </c>
      <c r="H1325" s="7"/>
      <c r="I1325" s="10">
        <v>44755</v>
      </c>
      <c r="J1325" s="7" t="s">
        <v>13</v>
      </c>
      <c r="K1325" s="7" t="s">
        <v>523</v>
      </c>
      <c r="L1325" s="7" t="s">
        <v>660</v>
      </c>
      <c r="M1325" s="7" t="s">
        <v>16</v>
      </c>
    </row>
    <row r="1326" spans="1:13" x14ac:dyDescent="0.3">
      <c r="A1326" s="7" t="str">
        <f>HYPERLINK("https://hsdes.intel.com/resource/14013160125","14013160125")</f>
        <v>14013160125</v>
      </c>
      <c r="B1326" s="7" t="s">
        <v>2373</v>
      </c>
      <c r="C1326" s="7" t="s">
        <v>1420</v>
      </c>
      <c r="D1326" s="7" t="s">
        <v>2374</v>
      </c>
      <c r="E1326" s="7" t="s">
        <v>11</v>
      </c>
      <c r="F1326" s="7"/>
      <c r="G1326" s="7" t="s">
        <v>1482</v>
      </c>
      <c r="H1326" s="7"/>
      <c r="I1326" s="10">
        <v>44754</v>
      </c>
      <c r="J1326" s="7" t="s">
        <v>13</v>
      </c>
      <c r="K1326" s="7" t="s">
        <v>523</v>
      </c>
      <c r="L1326" s="7" t="s">
        <v>660</v>
      </c>
      <c r="M1326" s="7" t="s">
        <v>24</v>
      </c>
    </row>
    <row r="1327" spans="1:13" x14ac:dyDescent="0.3">
      <c r="A1327" s="7" t="str">
        <f>HYPERLINK("https://hsdes.intel.com/resource/14013160127","14013160127")</f>
        <v>14013160127</v>
      </c>
      <c r="B1327" s="7" t="s">
        <v>2375</v>
      </c>
      <c r="C1327" s="7" t="s">
        <v>1420</v>
      </c>
      <c r="D1327" s="7" t="s">
        <v>2376</v>
      </c>
      <c r="E1327" s="7" t="s">
        <v>11</v>
      </c>
      <c r="F1327" s="7"/>
      <c r="G1327" s="7" t="s">
        <v>1482</v>
      </c>
      <c r="H1327" s="7"/>
      <c r="I1327" s="10">
        <v>44755</v>
      </c>
      <c r="J1327" s="7" t="s">
        <v>13</v>
      </c>
      <c r="K1327" s="7" t="s">
        <v>523</v>
      </c>
      <c r="L1327" s="7" t="s">
        <v>660</v>
      </c>
      <c r="M1327" s="7" t="s">
        <v>24</v>
      </c>
    </row>
    <row r="1328" spans="1:13" x14ac:dyDescent="0.3">
      <c r="A1328" s="7" t="str">
        <f>HYPERLINK("https://hsdes.intel.com/resource/14013160130","14013160130")</f>
        <v>14013160130</v>
      </c>
      <c r="B1328" s="7" t="s">
        <v>2377</v>
      </c>
      <c r="C1328" s="7" t="s">
        <v>1420</v>
      </c>
      <c r="D1328" s="7" t="s">
        <v>2378</v>
      </c>
      <c r="E1328" s="7" t="s">
        <v>11</v>
      </c>
      <c r="F1328" s="7"/>
      <c r="G1328" s="7" t="s">
        <v>1482</v>
      </c>
      <c r="H1328" s="7"/>
      <c r="I1328" s="10">
        <v>44755</v>
      </c>
      <c r="J1328" s="7" t="s">
        <v>13</v>
      </c>
      <c r="K1328" s="7" t="s">
        <v>523</v>
      </c>
      <c r="L1328" s="7" t="s">
        <v>660</v>
      </c>
      <c r="M1328" s="7" t="s">
        <v>16</v>
      </c>
    </row>
    <row r="1329" spans="1:13" x14ac:dyDescent="0.3">
      <c r="A1329" s="7" t="str">
        <f>HYPERLINK("https://hsdes.intel.com/resource/14013160285","14013160285")</f>
        <v>14013160285</v>
      </c>
      <c r="B1329" s="7" t="s">
        <v>2379</v>
      </c>
      <c r="C1329" s="7" t="s">
        <v>1420</v>
      </c>
      <c r="D1329" s="7" t="s">
        <v>2380</v>
      </c>
      <c r="E1329" s="7" t="s">
        <v>11</v>
      </c>
      <c r="F1329" s="7"/>
      <c r="G1329" s="7" t="s">
        <v>354</v>
      </c>
      <c r="H1329" s="7"/>
      <c r="I1329" s="10">
        <v>44756</v>
      </c>
      <c r="J1329" s="7" t="s">
        <v>13</v>
      </c>
      <c r="K1329" s="7" t="s">
        <v>19</v>
      </c>
      <c r="L1329" s="7" t="s">
        <v>20</v>
      </c>
      <c r="M1329" s="7" t="s">
        <v>21</v>
      </c>
    </row>
    <row r="1330" spans="1:13" x14ac:dyDescent="0.3">
      <c r="A1330" s="7" t="str">
        <f>HYPERLINK("https://hsdes.intel.com/resource/14013160287","14013160287")</f>
        <v>14013160287</v>
      </c>
      <c r="B1330" s="7" t="s">
        <v>2381</v>
      </c>
      <c r="C1330" s="7" t="s">
        <v>1420</v>
      </c>
      <c r="D1330" s="7" t="s">
        <v>2382</v>
      </c>
      <c r="E1330" s="7" t="s">
        <v>11</v>
      </c>
      <c r="F1330" s="7"/>
      <c r="G1330" s="7" t="s">
        <v>354</v>
      </c>
      <c r="H1330" s="7"/>
      <c r="I1330" s="10">
        <v>44756</v>
      </c>
      <c r="J1330" s="7" t="s">
        <v>192</v>
      </c>
      <c r="K1330" s="7" t="s">
        <v>19</v>
      </c>
      <c r="L1330" s="7" t="s">
        <v>20</v>
      </c>
      <c r="M1330" s="7" t="s">
        <v>21</v>
      </c>
    </row>
    <row r="1331" spans="1:13" x14ac:dyDescent="0.3">
      <c r="A1331" s="7" t="str">
        <f>HYPERLINK("https://hsdes.intel.com/resource/14013160289","14013160289")</f>
        <v>14013160289</v>
      </c>
      <c r="B1331" s="7" t="s">
        <v>2383</v>
      </c>
      <c r="C1331" s="7" t="s">
        <v>1420</v>
      </c>
      <c r="D1331" s="7" t="s">
        <v>2384</v>
      </c>
      <c r="E1331" s="7" t="s">
        <v>11</v>
      </c>
      <c r="F1331" s="7"/>
      <c r="G1331" s="7" t="s">
        <v>354</v>
      </c>
      <c r="H1331" s="7"/>
      <c r="I1331" s="10">
        <v>44756</v>
      </c>
      <c r="J1331" s="7" t="s">
        <v>192</v>
      </c>
      <c r="K1331" s="7" t="s">
        <v>19</v>
      </c>
      <c r="L1331" s="7" t="s">
        <v>20</v>
      </c>
      <c r="M1331" s="7" t="s">
        <v>21</v>
      </c>
    </row>
    <row r="1332" spans="1:13" x14ac:dyDescent="0.3">
      <c r="A1332" s="7" t="str">
        <f>HYPERLINK("https://hsdes.intel.com/resource/14013160292","14013160292")</f>
        <v>14013160292</v>
      </c>
      <c r="B1332" s="7" t="s">
        <v>2385</v>
      </c>
      <c r="C1332" s="7" t="s">
        <v>1420</v>
      </c>
      <c r="D1332" s="7" t="s">
        <v>2386</v>
      </c>
      <c r="E1332" s="7" t="s">
        <v>11</v>
      </c>
      <c r="F1332" s="7"/>
      <c r="G1332" s="7" t="s">
        <v>354</v>
      </c>
      <c r="H1332" s="7"/>
      <c r="I1332" s="10">
        <v>44756</v>
      </c>
      <c r="J1332" s="7" t="s">
        <v>13</v>
      </c>
      <c r="K1332" s="7" t="s">
        <v>19</v>
      </c>
      <c r="L1332" s="7" t="s">
        <v>20</v>
      </c>
      <c r="M1332" s="7" t="s">
        <v>21</v>
      </c>
    </row>
    <row r="1333" spans="1:13" x14ac:dyDescent="0.3">
      <c r="A1333" s="7" t="str">
        <f>HYPERLINK("https://hsdes.intel.com/resource/14013160294","14013160294")</f>
        <v>14013160294</v>
      </c>
      <c r="B1333" s="7" t="s">
        <v>2387</v>
      </c>
      <c r="C1333" s="7" t="s">
        <v>1420</v>
      </c>
      <c r="D1333" s="7" t="s">
        <v>2388</v>
      </c>
      <c r="E1333" s="7" t="s">
        <v>11</v>
      </c>
      <c r="F1333" s="7"/>
      <c r="G1333" s="7" t="s">
        <v>354</v>
      </c>
      <c r="H1333" s="7"/>
      <c r="I1333" s="10">
        <v>44756</v>
      </c>
      <c r="J1333" s="7" t="s">
        <v>13</v>
      </c>
      <c r="K1333" s="7" t="s">
        <v>19</v>
      </c>
      <c r="L1333" s="7" t="s">
        <v>20</v>
      </c>
      <c r="M1333" s="7" t="s">
        <v>21</v>
      </c>
    </row>
    <row r="1334" spans="1:13" x14ac:dyDescent="0.3">
      <c r="A1334" s="7" t="str">
        <f>HYPERLINK("https://hsdes.intel.com/resource/14013160333","14013160333")</f>
        <v>14013160333</v>
      </c>
      <c r="B1334" s="7" t="s">
        <v>2389</v>
      </c>
      <c r="C1334" s="7" t="s">
        <v>1420</v>
      </c>
      <c r="D1334" s="7" t="s">
        <v>2390</v>
      </c>
      <c r="E1334" s="7" t="s">
        <v>11</v>
      </c>
      <c r="F1334" s="7"/>
      <c r="G1334" s="7" t="s">
        <v>354</v>
      </c>
      <c r="H1334" s="7"/>
      <c r="I1334" s="10">
        <v>44756</v>
      </c>
      <c r="J1334" s="7" t="s">
        <v>13</v>
      </c>
      <c r="K1334" s="7" t="s">
        <v>19</v>
      </c>
      <c r="L1334" s="7" t="s">
        <v>20</v>
      </c>
      <c r="M1334" s="7" t="s">
        <v>21</v>
      </c>
    </row>
    <row r="1335" spans="1:13" x14ac:dyDescent="0.3">
      <c r="A1335" s="7" t="str">
        <f>HYPERLINK("https://hsdes.intel.com/resource/14013160374","14013160374")</f>
        <v>14013160374</v>
      </c>
      <c r="B1335" s="7" t="s">
        <v>2391</v>
      </c>
      <c r="C1335" s="7" t="s">
        <v>1420</v>
      </c>
      <c r="D1335" s="7" t="s">
        <v>2392</v>
      </c>
      <c r="E1335" s="7" t="s">
        <v>11</v>
      </c>
      <c r="F1335" s="7"/>
      <c r="G1335" s="7" t="s">
        <v>354</v>
      </c>
      <c r="H1335" s="7"/>
      <c r="I1335" s="10">
        <v>44756</v>
      </c>
      <c r="J1335" s="7" t="s">
        <v>192</v>
      </c>
      <c r="K1335" s="7" t="s">
        <v>19</v>
      </c>
      <c r="L1335" s="7" t="s">
        <v>20</v>
      </c>
      <c r="M1335" s="7" t="s">
        <v>21</v>
      </c>
    </row>
    <row r="1336" spans="1:13" x14ac:dyDescent="0.3">
      <c r="A1336" s="7" t="str">
        <f>HYPERLINK("https://hsdes.intel.com/resource/14013160377","14013160377")</f>
        <v>14013160377</v>
      </c>
      <c r="B1336" s="7" t="s">
        <v>2393</v>
      </c>
      <c r="C1336" s="7" t="s">
        <v>1420</v>
      </c>
      <c r="D1336" s="7" t="s">
        <v>2394</v>
      </c>
      <c r="E1336" s="7" t="s">
        <v>11</v>
      </c>
      <c r="F1336" s="7"/>
      <c r="G1336" s="7" t="s">
        <v>354</v>
      </c>
      <c r="H1336" s="7"/>
      <c r="I1336" s="10">
        <v>44756</v>
      </c>
      <c r="J1336" s="7" t="s">
        <v>192</v>
      </c>
      <c r="K1336" s="7" t="s">
        <v>19</v>
      </c>
      <c r="L1336" s="7" t="s">
        <v>20</v>
      </c>
      <c r="M1336" s="7" t="s">
        <v>21</v>
      </c>
    </row>
    <row r="1337" spans="1:13" x14ac:dyDescent="0.3">
      <c r="A1337" s="7" t="str">
        <f>HYPERLINK("https://hsdes.intel.com/resource/14013160417","14013160417")</f>
        <v>14013160417</v>
      </c>
      <c r="B1337" s="7" t="s">
        <v>2395</v>
      </c>
      <c r="C1337" s="7" t="s">
        <v>1420</v>
      </c>
      <c r="D1337" s="7" t="s">
        <v>2396</v>
      </c>
      <c r="E1337" s="7" t="s">
        <v>11</v>
      </c>
      <c r="F1337" s="7"/>
      <c r="G1337" s="7" t="s">
        <v>354</v>
      </c>
      <c r="H1337" s="7"/>
      <c r="I1337" s="10">
        <v>44756</v>
      </c>
      <c r="J1337" s="7" t="s">
        <v>13</v>
      </c>
      <c r="K1337" s="7" t="s">
        <v>19</v>
      </c>
      <c r="L1337" s="7" t="s">
        <v>20</v>
      </c>
      <c r="M1337" s="7" t="s">
        <v>21</v>
      </c>
    </row>
    <row r="1338" spans="1:13" x14ac:dyDescent="0.3">
      <c r="A1338" s="7" t="str">
        <f>HYPERLINK("https://hsdes.intel.com/resource/14013160427","14013160427")</f>
        <v>14013160427</v>
      </c>
      <c r="B1338" s="7" t="s">
        <v>2397</v>
      </c>
      <c r="C1338" s="7" t="s">
        <v>1420</v>
      </c>
      <c r="D1338" s="7" t="s">
        <v>2398</v>
      </c>
      <c r="E1338" s="7" t="s">
        <v>11</v>
      </c>
      <c r="F1338" s="7"/>
      <c r="G1338" s="7" t="s">
        <v>1605</v>
      </c>
      <c r="H1338" s="7"/>
      <c r="I1338" s="10">
        <v>44757</v>
      </c>
      <c r="J1338" s="7" t="s">
        <v>13</v>
      </c>
      <c r="K1338" s="7" t="s">
        <v>67</v>
      </c>
      <c r="L1338" s="7" t="s">
        <v>68</v>
      </c>
      <c r="M1338" s="7" t="s">
        <v>24</v>
      </c>
    </row>
    <row r="1339" spans="1:13" x14ac:dyDescent="0.3">
      <c r="A1339" s="7" t="str">
        <f>HYPERLINK("https://hsdes.intel.com/resource/14013160431","14013160431")</f>
        <v>14013160431</v>
      </c>
      <c r="B1339" s="7" t="s">
        <v>2399</v>
      </c>
      <c r="C1339" s="7" t="s">
        <v>1420</v>
      </c>
      <c r="D1339" s="7" t="s">
        <v>2400</v>
      </c>
      <c r="E1339" s="7" t="s">
        <v>11</v>
      </c>
      <c r="F1339" s="7"/>
      <c r="G1339" s="7" t="s">
        <v>1482</v>
      </c>
      <c r="H1339" s="7"/>
      <c r="I1339" s="10">
        <v>44754</v>
      </c>
      <c r="J1339" s="7" t="s">
        <v>13</v>
      </c>
      <c r="K1339" s="7" t="s">
        <v>523</v>
      </c>
      <c r="L1339" s="7" t="s">
        <v>660</v>
      </c>
      <c r="M1339" s="7" t="s">
        <v>16</v>
      </c>
    </row>
    <row r="1340" spans="1:13" x14ac:dyDescent="0.3">
      <c r="A1340" s="7" t="str">
        <f>HYPERLINK("https://hsdes.intel.com/resource/14013160435","14013160435")</f>
        <v>14013160435</v>
      </c>
      <c r="B1340" s="7" t="s">
        <v>2401</v>
      </c>
      <c r="C1340" s="7" t="s">
        <v>1420</v>
      </c>
      <c r="D1340" s="7" t="s">
        <v>2402</v>
      </c>
      <c r="E1340" s="7" t="s">
        <v>11</v>
      </c>
      <c r="F1340" s="7"/>
      <c r="G1340" s="7" t="s">
        <v>1482</v>
      </c>
      <c r="H1340" s="7"/>
      <c r="I1340" s="10">
        <v>44754</v>
      </c>
      <c r="J1340" s="7" t="s">
        <v>13</v>
      </c>
      <c r="K1340" s="7" t="s">
        <v>523</v>
      </c>
      <c r="L1340" s="7" t="s">
        <v>660</v>
      </c>
      <c r="M1340" s="7" t="s">
        <v>24</v>
      </c>
    </row>
    <row r="1341" spans="1:13" x14ac:dyDescent="0.3">
      <c r="A1341" s="7" t="str">
        <f>HYPERLINK("https://hsdes.intel.com/resource/14013160464","14013160464")</f>
        <v>14013160464</v>
      </c>
      <c r="B1341" s="7" t="s">
        <v>2403</v>
      </c>
      <c r="C1341" s="7" t="s">
        <v>1420</v>
      </c>
      <c r="D1341" s="7" t="s">
        <v>2404</v>
      </c>
      <c r="E1341" s="7" t="s">
        <v>11</v>
      </c>
      <c r="F1341" s="7"/>
      <c r="G1341" s="7" t="s">
        <v>1849</v>
      </c>
      <c r="H1341" s="7"/>
      <c r="I1341" s="10">
        <v>44755</v>
      </c>
      <c r="J1341" s="7" t="s">
        <v>13</v>
      </c>
      <c r="K1341" s="7" t="s">
        <v>14</v>
      </c>
      <c r="L1341" s="7" t="s">
        <v>88</v>
      </c>
      <c r="M1341" s="7" t="s">
        <v>24</v>
      </c>
    </row>
    <row r="1342" spans="1:13" x14ac:dyDescent="0.3">
      <c r="A1342" s="7" t="str">
        <f>HYPERLINK("https://hsdes.intel.com/resource/14013160602","14013160602")</f>
        <v>14013160602</v>
      </c>
      <c r="B1342" s="7" t="s">
        <v>2405</v>
      </c>
      <c r="C1342" s="7" t="s">
        <v>1420</v>
      </c>
      <c r="D1342" s="7" t="s">
        <v>2406</v>
      </c>
      <c r="E1342" s="7" t="s">
        <v>11</v>
      </c>
      <c r="F1342" s="7"/>
      <c r="G1342" s="7" t="s">
        <v>1849</v>
      </c>
      <c r="H1342" s="7"/>
      <c r="I1342" s="10">
        <v>44755</v>
      </c>
      <c r="J1342" s="7" t="s">
        <v>13</v>
      </c>
      <c r="K1342" s="7" t="s">
        <v>14</v>
      </c>
      <c r="L1342" s="7" t="s">
        <v>88</v>
      </c>
      <c r="M1342" s="7" t="s">
        <v>16</v>
      </c>
    </row>
    <row r="1343" spans="1:13" x14ac:dyDescent="0.3">
      <c r="A1343" s="7" t="str">
        <f>HYPERLINK("https://hsdes.intel.com/resource/14013160612","14013160612")</f>
        <v>14013160612</v>
      </c>
      <c r="B1343" s="7" t="s">
        <v>2407</v>
      </c>
      <c r="C1343" s="7" t="s">
        <v>1420</v>
      </c>
      <c r="D1343" s="7" t="s">
        <v>2408</v>
      </c>
      <c r="E1343" s="7" t="s">
        <v>11</v>
      </c>
      <c r="F1343" s="7" t="s">
        <v>2409</v>
      </c>
      <c r="G1343" s="7" t="s">
        <v>1849</v>
      </c>
      <c r="H1343" s="7"/>
      <c r="I1343" s="10">
        <v>44755</v>
      </c>
      <c r="J1343" s="7" t="s">
        <v>13</v>
      </c>
      <c r="K1343" s="7" t="s">
        <v>14</v>
      </c>
      <c r="L1343" s="7" t="s">
        <v>88</v>
      </c>
      <c r="M1343" s="7" t="s">
        <v>16</v>
      </c>
    </row>
    <row r="1344" spans="1:13" x14ac:dyDescent="0.3">
      <c r="A1344" s="7" t="str">
        <f>HYPERLINK("https://hsdes.intel.com/resource/14013160634","14013160634")</f>
        <v>14013160634</v>
      </c>
      <c r="B1344" s="7" t="s">
        <v>2410</v>
      </c>
      <c r="C1344" s="7" t="s">
        <v>1420</v>
      </c>
      <c r="D1344" s="7" t="s">
        <v>2411</v>
      </c>
      <c r="E1344" s="7" t="s">
        <v>11</v>
      </c>
      <c r="F1344" s="7"/>
      <c r="G1344" s="7" t="s">
        <v>1475</v>
      </c>
      <c r="H1344" s="7"/>
      <c r="I1344" s="7"/>
      <c r="J1344" s="7" t="s">
        <v>13</v>
      </c>
      <c r="K1344" s="7" t="s">
        <v>71</v>
      </c>
      <c r="L1344" s="7" t="s">
        <v>34</v>
      </c>
      <c r="M1344" s="7" t="s">
        <v>16</v>
      </c>
    </row>
    <row r="1345" spans="1:13" x14ac:dyDescent="0.3">
      <c r="A1345" s="7" t="str">
        <f>HYPERLINK("https://hsdes.intel.com/resource/14013160655","14013160655")</f>
        <v>14013160655</v>
      </c>
      <c r="B1345" s="43" t="s">
        <v>2412</v>
      </c>
      <c r="C1345" s="7" t="s">
        <v>1420</v>
      </c>
      <c r="D1345" s="7" t="s">
        <v>2413</v>
      </c>
      <c r="E1345" s="7" t="s">
        <v>32</v>
      </c>
      <c r="F1345" s="27" t="s">
        <v>2414</v>
      </c>
      <c r="G1345" s="7" t="s">
        <v>354</v>
      </c>
      <c r="H1345" s="7" t="s">
        <v>354</v>
      </c>
      <c r="I1345" s="10">
        <v>44764</v>
      </c>
      <c r="J1345" s="7" t="s">
        <v>3619</v>
      </c>
      <c r="K1345" s="7" t="s">
        <v>296</v>
      </c>
      <c r="L1345" s="7" t="s">
        <v>297</v>
      </c>
      <c r="M1345" s="7" t="s">
        <v>21</v>
      </c>
    </row>
    <row r="1346" spans="1:13" x14ac:dyDescent="0.3">
      <c r="A1346" s="7" t="str">
        <f>HYPERLINK("https://hsdes.intel.com/resource/14013160659","14013160659")</f>
        <v>14013160659</v>
      </c>
      <c r="B1346" s="7" t="s">
        <v>2415</v>
      </c>
      <c r="C1346" s="7" t="s">
        <v>1420</v>
      </c>
      <c r="D1346" s="7" t="s">
        <v>2416</v>
      </c>
      <c r="E1346" s="7" t="s">
        <v>11</v>
      </c>
      <c r="F1346" s="7" t="s">
        <v>2015</v>
      </c>
      <c r="G1346" s="7" t="s">
        <v>354</v>
      </c>
      <c r="H1346" s="7"/>
      <c r="I1346" s="10">
        <v>44761</v>
      </c>
      <c r="J1346" s="7" t="s">
        <v>13</v>
      </c>
      <c r="K1346" s="7" t="s">
        <v>296</v>
      </c>
      <c r="L1346" s="7" t="s">
        <v>297</v>
      </c>
      <c r="M1346" s="7" t="s">
        <v>21</v>
      </c>
    </row>
    <row r="1347" spans="1:13" x14ac:dyDescent="0.3">
      <c r="A1347" s="7" t="str">
        <f>HYPERLINK("https://hsdes.intel.com/resource/14013160660","14013160660")</f>
        <v>14013160660</v>
      </c>
      <c r="B1347" s="7" t="s">
        <v>2417</v>
      </c>
      <c r="C1347" s="7" t="s">
        <v>1420</v>
      </c>
      <c r="D1347" s="7" t="s">
        <v>2418</v>
      </c>
      <c r="E1347" s="7" t="s">
        <v>11</v>
      </c>
      <c r="F1347" s="7" t="s">
        <v>2313</v>
      </c>
      <c r="G1347" s="7" t="s">
        <v>354</v>
      </c>
      <c r="H1347" s="7"/>
      <c r="I1347" s="10">
        <v>44761</v>
      </c>
      <c r="J1347" s="7" t="s">
        <v>13</v>
      </c>
      <c r="K1347" s="7" t="s">
        <v>296</v>
      </c>
      <c r="L1347" s="7" t="s">
        <v>297</v>
      </c>
      <c r="M1347" s="7" t="s">
        <v>21</v>
      </c>
    </row>
    <row r="1348" spans="1:13" x14ac:dyDescent="0.3">
      <c r="A1348" s="7" t="str">
        <f>HYPERLINK("https://hsdes.intel.com/resource/14013160688","14013160688")</f>
        <v>14013160688</v>
      </c>
      <c r="B1348" s="7" t="s">
        <v>2419</v>
      </c>
      <c r="C1348" s="7" t="s">
        <v>1420</v>
      </c>
      <c r="D1348" s="7" t="s">
        <v>2420</v>
      </c>
      <c r="E1348" s="7" t="s">
        <v>11</v>
      </c>
      <c r="F1348" s="7"/>
      <c r="G1348" s="7" t="s">
        <v>1523</v>
      </c>
      <c r="H1348" s="7"/>
      <c r="I1348" s="10">
        <v>44755</v>
      </c>
      <c r="J1348" s="7" t="s">
        <v>13</v>
      </c>
      <c r="K1348" s="7" t="s">
        <v>93</v>
      </c>
      <c r="L1348" s="7" t="s">
        <v>94</v>
      </c>
      <c r="M1348" s="7" t="s">
        <v>24</v>
      </c>
    </row>
    <row r="1349" spans="1:13" x14ac:dyDescent="0.3">
      <c r="A1349" s="7" t="str">
        <f>HYPERLINK("https://hsdes.intel.com/resource/14013160691","14013160691")</f>
        <v>14013160691</v>
      </c>
      <c r="B1349" s="7" t="s">
        <v>2421</v>
      </c>
      <c r="C1349" s="7" t="s">
        <v>1420</v>
      </c>
      <c r="D1349" s="7" t="s">
        <v>2422</v>
      </c>
      <c r="E1349" s="7" t="s">
        <v>11</v>
      </c>
      <c r="F1349" s="7"/>
      <c r="G1349" s="7" t="s">
        <v>1523</v>
      </c>
      <c r="H1349" s="7"/>
      <c r="I1349" s="10">
        <v>44755</v>
      </c>
      <c r="J1349" s="7" t="s">
        <v>13</v>
      </c>
      <c r="K1349" s="7" t="s">
        <v>93</v>
      </c>
      <c r="L1349" s="7" t="s">
        <v>94</v>
      </c>
      <c r="M1349" s="7" t="s">
        <v>24</v>
      </c>
    </row>
    <row r="1350" spans="1:13" x14ac:dyDescent="0.3">
      <c r="A1350" s="7" t="str">
        <f>HYPERLINK("https://hsdes.intel.com/resource/14013160703","14013160703")</f>
        <v>14013160703</v>
      </c>
      <c r="B1350" s="7" t="s">
        <v>2423</v>
      </c>
      <c r="C1350" s="7" t="s">
        <v>1420</v>
      </c>
      <c r="D1350" s="7" t="s">
        <v>2424</v>
      </c>
      <c r="E1350" s="7" t="s">
        <v>342</v>
      </c>
      <c r="F1350" s="7"/>
      <c r="G1350" s="7" t="s">
        <v>345</v>
      </c>
      <c r="H1350" s="7"/>
      <c r="I1350" s="10">
        <v>44760</v>
      </c>
      <c r="J1350" s="7" t="s">
        <v>13</v>
      </c>
      <c r="K1350" s="7" t="s">
        <v>33</v>
      </c>
      <c r="L1350" s="7" t="s">
        <v>34</v>
      </c>
      <c r="M1350" s="7" t="s">
        <v>16</v>
      </c>
    </row>
    <row r="1351" spans="1:13" x14ac:dyDescent="0.3">
      <c r="A1351" s="7" t="str">
        <f>HYPERLINK("https://hsdes.intel.com/resource/14013160708","14013160708")</f>
        <v>14013160708</v>
      </c>
      <c r="B1351" s="7" t="s">
        <v>2425</v>
      </c>
      <c r="C1351" s="7" t="s">
        <v>1420</v>
      </c>
      <c r="D1351" s="7" t="s">
        <v>2426</v>
      </c>
      <c r="E1351" s="7" t="s">
        <v>838</v>
      </c>
      <c r="F1351" s="7" t="s">
        <v>1873</v>
      </c>
      <c r="G1351" s="7" t="s">
        <v>345</v>
      </c>
      <c r="H1351" s="7"/>
      <c r="I1351" s="10">
        <v>44757</v>
      </c>
      <c r="J1351" s="7" t="s">
        <v>13</v>
      </c>
      <c r="K1351" s="7" t="s">
        <v>93</v>
      </c>
      <c r="L1351" s="7" t="s">
        <v>94</v>
      </c>
      <c r="M1351" s="7" t="s">
        <v>16</v>
      </c>
    </row>
    <row r="1352" spans="1:13" x14ac:dyDescent="0.3">
      <c r="A1352" s="7" t="str">
        <f>HYPERLINK("https://hsdes.intel.com/resource/14013160716","14013160716")</f>
        <v>14013160716</v>
      </c>
      <c r="B1352" s="7" t="s">
        <v>2427</v>
      </c>
      <c r="C1352" s="7" t="s">
        <v>1420</v>
      </c>
      <c r="D1352" s="7" t="s">
        <v>2428</v>
      </c>
      <c r="E1352" s="7" t="s">
        <v>32</v>
      </c>
      <c r="F1352" s="6" t="s">
        <v>2429</v>
      </c>
      <c r="G1352" s="7" t="s">
        <v>354</v>
      </c>
      <c r="H1352" s="7" t="s">
        <v>343</v>
      </c>
      <c r="I1352" s="10">
        <v>44763</v>
      </c>
      <c r="J1352" s="7" t="s">
        <v>3631</v>
      </c>
      <c r="K1352" s="7" t="s">
        <v>296</v>
      </c>
      <c r="L1352" s="7" t="s">
        <v>297</v>
      </c>
      <c r="M1352" s="7" t="s">
        <v>21</v>
      </c>
    </row>
    <row r="1353" spans="1:13" x14ac:dyDescent="0.3">
      <c r="A1353" s="7" t="str">
        <f>HYPERLINK("https://hsdes.intel.com/resource/14013160718","14013160718")</f>
        <v>14013160718</v>
      </c>
      <c r="B1353" s="7" t="s">
        <v>2430</v>
      </c>
      <c r="C1353" s="7" t="s">
        <v>1420</v>
      </c>
      <c r="D1353" s="7" t="s">
        <v>2431</v>
      </c>
      <c r="E1353" s="7" t="s">
        <v>32</v>
      </c>
      <c r="F1353" s="7" t="s">
        <v>2429</v>
      </c>
      <c r="G1353" s="7" t="s">
        <v>354</v>
      </c>
      <c r="H1353" s="7" t="s">
        <v>343</v>
      </c>
      <c r="I1353" s="10">
        <v>44763</v>
      </c>
      <c r="J1353" s="7" t="s">
        <v>3631</v>
      </c>
      <c r="K1353" s="7" t="s">
        <v>296</v>
      </c>
      <c r="L1353" s="7" t="s">
        <v>297</v>
      </c>
      <c r="M1353" s="7" t="s">
        <v>21</v>
      </c>
    </row>
    <row r="1354" spans="1:13" x14ac:dyDescent="0.3">
      <c r="A1354" s="7" t="str">
        <f>HYPERLINK("https://hsdes.intel.com/resource/14013160721","14013160721")</f>
        <v>14013160721</v>
      </c>
      <c r="B1354" s="7" t="s">
        <v>2432</v>
      </c>
      <c r="C1354" s="7" t="s">
        <v>1420</v>
      </c>
      <c r="D1354" s="7" t="s">
        <v>2433</v>
      </c>
      <c r="E1354" s="7" t="s">
        <v>342</v>
      </c>
      <c r="F1354" s="7" t="s">
        <v>2313</v>
      </c>
      <c r="G1354" s="7" t="s">
        <v>354</v>
      </c>
      <c r="H1354" s="7"/>
      <c r="I1354" s="10">
        <v>44761</v>
      </c>
      <c r="J1354" s="7" t="s">
        <v>13</v>
      </c>
      <c r="K1354" s="7" t="s">
        <v>296</v>
      </c>
      <c r="L1354" s="7" t="s">
        <v>297</v>
      </c>
      <c r="M1354" s="7" t="s">
        <v>21</v>
      </c>
    </row>
    <row r="1355" spans="1:13" x14ac:dyDescent="0.3">
      <c r="A1355" s="7" t="str">
        <f>HYPERLINK("https://hsdes.intel.com/resource/14013160722","14013160722")</f>
        <v>14013160722</v>
      </c>
      <c r="B1355" s="7" t="s">
        <v>2434</v>
      </c>
      <c r="C1355" s="7" t="s">
        <v>1420</v>
      </c>
      <c r="D1355" s="7" t="s">
        <v>2435</v>
      </c>
      <c r="E1355" s="7" t="s">
        <v>11</v>
      </c>
      <c r="F1355" s="7" t="s">
        <v>2015</v>
      </c>
      <c r="G1355" s="7" t="s">
        <v>354</v>
      </c>
      <c r="H1355" s="7"/>
      <c r="I1355" s="10">
        <v>44761</v>
      </c>
      <c r="J1355" s="7" t="s">
        <v>13</v>
      </c>
      <c r="K1355" s="7" t="s">
        <v>296</v>
      </c>
      <c r="L1355" s="7" t="s">
        <v>297</v>
      </c>
      <c r="M1355" s="7" t="s">
        <v>21</v>
      </c>
    </row>
    <row r="1356" spans="1:13" x14ac:dyDescent="0.3">
      <c r="A1356" s="7" t="str">
        <f>HYPERLINK("https://hsdes.intel.com/resource/14013160723","14013160723")</f>
        <v>14013160723</v>
      </c>
      <c r="B1356" s="7" t="s">
        <v>2436</v>
      </c>
      <c r="C1356" s="7" t="s">
        <v>1420</v>
      </c>
      <c r="D1356" s="7" t="s">
        <v>2437</v>
      </c>
      <c r="E1356" s="7" t="s">
        <v>11</v>
      </c>
      <c r="F1356" s="7"/>
      <c r="G1356" s="7" t="s">
        <v>2438</v>
      </c>
      <c r="H1356" s="7"/>
      <c r="I1356" s="10">
        <v>44757</v>
      </c>
      <c r="J1356" s="7" t="s">
        <v>13</v>
      </c>
      <c r="K1356" s="7" t="s">
        <v>439</v>
      </c>
      <c r="L1356" s="7" t="s">
        <v>158</v>
      </c>
      <c r="M1356" s="7" t="s">
        <v>16</v>
      </c>
    </row>
    <row r="1357" spans="1:13" x14ac:dyDescent="0.3">
      <c r="A1357" s="7" t="str">
        <f>HYPERLINK("https://hsdes.intel.com/resource/14013160725","14013160725")</f>
        <v>14013160725</v>
      </c>
      <c r="B1357" s="7" t="s">
        <v>2439</v>
      </c>
      <c r="C1357" s="7" t="s">
        <v>1420</v>
      </c>
      <c r="D1357" s="7" t="s">
        <v>2440</v>
      </c>
      <c r="E1357" s="7" t="s">
        <v>11</v>
      </c>
      <c r="F1357" s="7"/>
      <c r="G1357" s="7" t="s">
        <v>1447</v>
      </c>
      <c r="H1357" s="7"/>
      <c r="I1357" s="10">
        <v>44760</v>
      </c>
      <c r="J1357" s="7" t="s">
        <v>13</v>
      </c>
      <c r="K1357" s="7" t="s">
        <v>14</v>
      </c>
      <c r="L1357" s="7" t="s">
        <v>88</v>
      </c>
      <c r="M1357" s="7" t="s">
        <v>16</v>
      </c>
    </row>
    <row r="1358" spans="1:13" x14ac:dyDescent="0.3">
      <c r="A1358" s="7" t="str">
        <f>HYPERLINK("https://hsdes.intel.com/resource/14013160726","14013160726")</f>
        <v>14013160726</v>
      </c>
      <c r="B1358" s="7" t="s">
        <v>2441</v>
      </c>
      <c r="C1358" s="7" t="s">
        <v>1420</v>
      </c>
      <c r="D1358" s="7" t="s">
        <v>2442</v>
      </c>
      <c r="E1358" s="7" t="s">
        <v>11</v>
      </c>
      <c r="F1358" s="7"/>
      <c r="G1358" s="7" t="s">
        <v>354</v>
      </c>
      <c r="H1358" s="7"/>
      <c r="I1358" s="10">
        <v>44759</v>
      </c>
      <c r="J1358" s="7" t="s">
        <v>13</v>
      </c>
      <c r="K1358" s="7" t="s">
        <v>19</v>
      </c>
      <c r="L1358" s="7" t="s">
        <v>20</v>
      </c>
      <c r="M1358" s="7" t="s">
        <v>16</v>
      </c>
    </row>
    <row r="1359" spans="1:13" x14ac:dyDescent="0.3">
      <c r="A1359" s="7" t="str">
        <f>HYPERLINK("https://hsdes.intel.com/resource/14013160728","14013160728")</f>
        <v>14013160728</v>
      </c>
      <c r="B1359" s="7" t="s">
        <v>2443</v>
      </c>
      <c r="C1359" s="7" t="s">
        <v>1420</v>
      </c>
      <c r="D1359" s="7" t="s">
        <v>2444</v>
      </c>
      <c r="E1359" s="7" t="s">
        <v>11</v>
      </c>
      <c r="F1359" s="7"/>
      <c r="G1359" s="7" t="s">
        <v>354</v>
      </c>
      <c r="H1359" s="7"/>
      <c r="I1359" s="10">
        <v>44761</v>
      </c>
      <c r="J1359" s="7" t="s">
        <v>13</v>
      </c>
      <c r="K1359" s="7" t="s">
        <v>19</v>
      </c>
      <c r="L1359" s="7" t="s">
        <v>20</v>
      </c>
      <c r="M1359" s="7" t="s">
        <v>24</v>
      </c>
    </row>
    <row r="1360" spans="1:13" x14ac:dyDescent="0.3">
      <c r="A1360" s="7" t="str">
        <f>HYPERLINK("https://hsdes.intel.com/resource/14013160750","14013160750")</f>
        <v>14013160750</v>
      </c>
      <c r="B1360" s="7" t="s">
        <v>2445</v>
      </c>
      <c r="C1360" s="7" t="s">
        <v>1420</v>
      </c>
      <c r="D1360" s="7" t="s">
        <v>2446</v>
      </c>
      <c r="E1360" s="7" t="s">
        <v>11</v>
      </c>
      <c r="F1360" s="7"/>
      <c r="G1360" s="7" t="s">
        <v>1482</v>
      </c>
      <c r="H1360" s="7"/>
      <c r="I1360" s="10">
        <v>44754</v>
      </c>
      <c r="J1360" s="7" t="s">
        <v>13</v>
      </c>
      <c r="K1360" s="7" t="s">
        <v>553</v>
      </c>
      <c r="L1360" s="7" t="s">
        <v>660</v>
      </c>
      <c r="M1360" s="7" t="s">
        <v>16</v>
      </c>
    </row>
    <row r="1361" spans="1:13" x14ac:dyDescent="0.3">
      <c r="A1361" s="7" t="str">
        <f>HYPERLINK("https://hsdes.intel.com/resource/14013160762","14013160762")</f>
        <v>14013160762</v>
      </c>
      <c r="B1361" s="7" t="s">
        <v>2447</v>
      </c>
      <c r="C1361" s="7" t="s">
        <v>1420</v>
      </c>
      <c r="D1361" s="7" t="s">
        <v>2448</v>
      </c>
      <c r="E1361" s="7" t="s">
        <v>11</v>
      </c>
      <c r="F1361" s="7"/>
      <c r="G1361" s="7" t="s">
        <v>2449</v>
      </c>
      <c r="H1361" s="7"/>
      <c r="I1361" s="10">
        <v>44756</v>
      </c>
      <c r="J1361" s="7" t="s">
        <v>13</v>
      </c>
      <c r="K1361" s="7" t="s">
        <v>67</v>
      </c>
      <c r="L1361" s="7" t="s">
        <v>68</v>
      </c>
      <c r="M1361" s="7" t="s">
        <v>16</v>
      </c>
    </row>
    <row r="1362" spans="1:13" x14ac:dyDescent="0.3">
      <c r="A1362" s="7" t="str">
        <f>HYPERLINK("https://hsdes.intel.com/resource/14013160804","14013160804")</f>
        <v>14013160804</v>
      </c>
      <c r="B1362" s="7" t="s">
        <v>2450</v>
      </c>
      <c r="C1362" s="7" t="s">
        <v>1420</v>
      </c>
      <c r="D1362" s="7" t="s">
        <v>2451</v>
      </c>
      <c r="E1362" s="7" t="s">
        <v>11</v>
      </c>
      <c r="F1362" s="7"/>
      <c r="G1362" s="7" t="s">
        <v>354</v>
      </c>
      <c r="H1362" s="7"/>
      <c r="I1362" s="10">
        <v>44760</v>
      </c>
      <c r="J1362" s="7" t="s">
        <v>13</v>
      </c>
      <c r="K1362" s="7" t="s">
        <v>19</v>
      </c>
      <c r="L1362" s="7" t="s">
        <v>20</v>
      </c>
      <c r="M1362" s="7" t="s">
        <v>16</v>
      </c>
    </row>
    <row r="1363" spans="1:13" x14ac:dyDescent="0.3">
      <c r="A1363" s="7" t="str">
        <f>HYPERLINK("https://hsdes.intel.com/resource/14013160825","14013160825")</f>
        <v>14013160825</v>
      </c>
      <c r="B1363" s="7" t="s">
        <v>1328</v>
      </c>
      <c r="C1363" s="7" t="s">
        <v>1420</v>
      </c>
      <c r="D1363" s="7" t="s">
        <v>1329</v>
      </c>
      <c r="E1363" s="7"/>
      <c r="F1363" s="7"/>
      <c r="G1363" s="7" t="s">
        <v>833</v>
      </c>
      <c r="H1363" s="7"/>
      <c r="I1363" s="7"/>
      <c r="J1363" s="7" t="s">
        <v>13</v>
      </c>
      <c r="K1363" s="7" t="s">
        <v>14</v>
      </c>
      <c r="L1363" s="7" t="s">
        <v>660</v>
      </c>
      <c r="M1363" s="7" t="s">
        <v>16</v>
      </c>
    </row>
    <row r="1364" spans="1:13" x14ac:dyDescent="0.3">
      <c r="A1364" s="7" t="str">
        <f>HYPERLINK("https://hsdes.intel.com/resource/14013160845","14013160845")</f>
        <v>14013160845</v>
      </c>
      <c r="B1364" s="7" t="s">
        <v>2452</v>
      </c>
      <c r="C1364" s="7" t="s">
        <v>1420</v>
      </c>
      <c r="D1364" s="7" t="s">
        <v>2453</v>
      </c>
      <c r="E1364" s="7" t="s">
        <v>11</v>
      </c>
      <c r="F1364" s="7"/>
      <c r="G1364" s="7" t="s">
        <v>1849</v>
      </c>
      <c r="H1364" s="7"/>
      <c r="I1364" s="10">
        <v>44755</v>
      </c>
      <c r="J1364" s="7" t="s">
        <v>13</v>
      </c>
      <c r="K1364" s="7" t="s">
        <v>14</v>
      </c>
      <c r="L1364" s="7" t="s">
        <v>88</v>
      </c>
      <c r="M1364" s="7" t="s">
        <v>16</v>
      </c>
    </row>
    <row r="1365" spans="1:13" x14ac:dyDescent="0.3">
      <c r="A1365" s="7" t="str">
        <f>HYPERLINK("https://hsdes.intel.com/resource/14013160847","14013160847")</f>
        <v>14013160847</v>
      </c>
      <c r="B1365" s="7" t="s">
        <v>1332</v>
      </c>
      <c r="C1365" s="7" t="s">
        <v>1420</v>
      </c>
      <c r="D1365" s="7" t="s">
        <v>1333</v>
      </c>
      <c r="E1365" s="7"/>
      <c r="F1365" s="7"/>
      <c r="G1365" s="7" t="s">
        <v>833</v>
      </c>
      <c r="H1365" s="7"/>
      <c r="I1365" s="7"/>
      <c r="J1365" s="7" t="s">
        <v>13</v>
      </c>
      <c r="K1365" s="7" t="s">
        <v>1334</v>
      </c>
      <c r="L1365" s="7" t="s">
        <v>660</v>
      </c>
      <c r="M1365" s="7" t="s">
        <v>16</v>
      </c>
    </row>
    <row r="1366" spans="1:13" x14ac:dyDescent="0.3">
      <c r="A1366" s="7" t="str">
        <f>HYPERLINK("https://hsdes.intel.com/resource/14013160873","14013160873")</f>
        <v>14013160873</v>
      </c>
      <c r="B1366" s="7" t="s">
        <v>2454</v>
      </c>
      <c r="C1366" s="7" t="s">
        <v>1420</v>
      </c>
      <c r="D1366" s="7" t="s">
        <v>2455</v>
      </c>
      <c r="E1366" s="7" t="s">
        <v>37</v>
      </c>
      <c r="F1366" s="7" t="s">
        <v>2456</v>
      </c>
      <c r="G1366" s="7" t="s">
        <v>1447</v>
      </c>
      <c r="H1366" s="7"/>
      <c r="I1366" s="10">
        <v>44763</v>
      </c>
      <c r="J1366" s="7" t="s">
        <v>13</v>
      </c>
      <c r="K1366" s="7" t="s">
        <v>14</v>
      </c>
      <c r="L1366" s="7" t="s">
        <v>88</v>
      </c>
      <c r="M1366" s="7" t="s">
        <v>16</v>
      </c>
    </row>
    <row r="1367" spans="1:13" x14ac:dyDescent="0.3">
      <c r="A1367" s="7" t="str">
        <f>HYPERLINK("https://hsdes.intel.com/resource/14013160956","14013160956")</f>
        <v>14013160956</v>
      </c>
      <c r="B1367" s="7" t="s">
        <v>2457</v>
      </c>
      <c r="C1367" s="7" t="s">
        <v>1420</v>
      </c>
      <c r="D1367" s="7" t="s">
        <v>2458</v>
      </c>
      <c r="E1367" s="7" t="s">
        <v>11</v>
      </c>
      <c r="F1367" s="7" t="s">
        <v>2015</v>
      </c>
      <c r="G1367" s="7" t="s">
        <v>354</v>
      </c>
      <c r="H1367" s="7"/>
      <c r="I1367" s="10">
        <v>44763</v>
      </c>
      <c r="J1367" s="7" t="s">
        <v>13</v>
      </c>
      <c r="K1367" s="7" t="s">
        <v>296</v>
      </c>
      <c r="L1367" s="7" t="s">
        <v>297</v>
      </c>
      <c r="M1367" s="7" t="s">
        <v>24</v>
      </c>
    </row>
    <row r="1368" spans="1:13" x14ac:dyDescent="0.3">
      <c r="A1368" s="7" t="str">
        <f>HYPERLINK("https://hsdes.intel.com/resource/14013161002","14013161002")</f>
        <v>14013161002</v>
      </c>
      <c r="B1368" s="7" t="s">
        <v>2459</v>
      </c>
      <c r="C1368" s="7" t="s">
        <v>1420</v>
      </c>
      <c r="D1368" s="7" t="s">
        <v>2460</v>
      </c>
      <c r="E1368" s="7" t="s">
        <v>11</v>
      </c>
      <c r="F1368" s="7"/>
      <c r="G1368" s="7" t="s">
        <v>2449</v>
      </c>
      <c r="H1368" s="7"/>
      <c r="I1368" s="10">
        <v>44755</v>
      </c>
      <c r="J1368" s="7" t="s">
        <v>13</v>
      </c>
      <c r="K1368" s="7" t="s">
        <v>296</v>
      </c>
      <c r="L1368" s="7" t="s">
        <v>297</v>
      </c>
      <c r="M1368" s="7" t="s">
        <v>24</v>
      </c>
    </row>
    <row r="1369" spans="1:13" x14ac:dyDescent="0.3">
      <c r="A1369" s="7" t="str">
        <f>HYPERLINK("https://hsdes.intel.com/resource/14013161009","14013161009")</f>
        <v>14013161009</v>
      </c>
      <c r="B1369" s="7" t="s">
        <v>2461</v>
      </c>
      <c r="C1369" s="7" t="s">
        <v>1420</v>
      </c>
      <c r="D1369" s="7" t="s">
        <v>2462</v>
      </c>
      <c r="E1369" s="7" t="s">
        <v>11</v>
      </c>
      <c r="F1369" s="7" t="s">
        <v>2015</v>
      </c>
      <c r="G1369" s="7" t="s">
        <v>354</v>
      </c>
      <c r="H1369" s="7"/>
      <c r="I1369" s="10">
        <v>44761</v>
      </c>
      <c r="J1369" s="7" t="s">
        <v>13</v>
      </c>
      <c r="K1369" s="7" t="s">
        <v>296</v>
      </c>
      <c r="L1369" s="7" t="s">
        <v>297</v>
      </c>
      <c r="M1369" s="7" t="s">
        <v>21</v>
      </c>
    </row>
    <row r="1370" spans="1:13" x14ac:dyDescent="0.3">
      <c r="A1370" s="7" t="str">
        <f>HYPERLINK("https://hsdes.intel.com/resource/14013161019","14013161019")</f>
        <v>14013161019</v>
      </c>
      <c r="B1370" s="7" t="s">
        <v>2463</v>
      </c>
      <c r="C1370" s="7" t="s">
        <v>1420</v>
      </c>
      <c r="D1370" s="7" t="s">
        <v>2464</v>
      </c>
      <c r="E1370" s="7" t="s">
        <v>11</v>
      </c>
      <c r="F1370" s="7" t="s">
        <v>2313</v>
      </c>
      <c r="G1370" s="7" t="s">
        <v>354</v>
      </c>
      <c r="H1370" s="7"/>
      <c r="I1370" s="10">
        <v>44761</v>
      </c>
      <c r="J1370" s="7" t="s">
        <v>13</v>
      </c>
      <c r="K1370" s="7" t="s">
        <v>296</v>
      </c>
      <c r="L1370" s="7" t="s">
        <v>297</v>
      </c>
      <c r="M1370" s="7" t="s">
        <v>21</v>
      </c>
    </row>
    <row r="1371" spans="1:13" x14ac:dyDescent="0.3">
      <c r="A1371" s="7" t="str">
        <f>HYPERLINK("https://hsdes.intel.com/resource/14013161024","14013161024")</f>
        <v>14013161024</v>
      </c>
      <c r="B1371" s="7" t="s">
        <v>2465</v>
      </c>
      <c r="C1371" s="7" t="s">
        <v>1420</v>
      </c>
      <c r="D1371" s="7" t="s">
        <v>2466</v>
      </c>
      <c r="E1371" s="7" t="s">
        <v>11</v>
      </c>
      <c r="F1371" s="7" t="s">
        <v>2313</v>
      </c>
      <c r="G1371" s="7" t="s">
        <v>354</v>
      </c>
      <c r="H1371" s="7"/>
      <c r="I1371" s="10">
        <v>44761</v>
      </c>
      <c r="J1371" s="7" t="s">
        <v>13</v>
      </c>
      <c r="K1371" s="7" t="s">
        <v>296</v>
      </c>
      <c r="L1371" s="7" t="s">
        <v>297</v>
      </c>
      <c r="M1371" s="7" t="s">
        <v>21</v>
      </c>
    </row>
    <row r="1372" spans="1:13" x14ac:dyDescent="0.3">
      <c r="A1372" s="7" t="str">
        <f>HYPERLINK("https://hsdes.intel.com/resource/14013161080","14013161080")</f>
        <v>14013161080</v>
      </c>
      <c r="B1372" s="7" t="s">
        <v>2467</v>
      </c>
      <c r="C1372" s="7" t="s">
        <v>1420</v>
      </c>
      <c r="D1372" s="7" t="s">
        <v>2468</v>
      </c>
      <c r="E1372" s="7" t="s">
        <v>11</v>
      </c>
      <c r="F1372" s="7"/>
      <c r="G1372" s="7" t="s">
        <v>1475</v>
      </c>
      <c r="H1372" s="7"/>
      <c r="I1372" s="7"/>
      <c r="J1372" s="7" t="s">
        <v>13</v>
      </c>
      <c r="K1372" s="7" t="s">
        <v>45</v>
      </c>
      <c r="L1372" s="7" t="s">
        <v>581</v>
      </c>
      <c r="M1372" s="7" t="s">
        <v>16</v>
      </c>
    </row>
    <row r="1373" spans="1:13" x14ac:dyDescent="0.3">
      <c r="A1373" s="7" t="str">
        <f>HYPERLINK("https://hsdes.intel.com/resource/14013161121","14013161121")</f>
        <v>14013161121</v>
      </c>
      <c r="B1373" s="7" t="s">
        <v>2469</v>
      </c>
      <c r="C1373" s="7" t="s">
        <v>1420</v>
      </c>
      <c r="D1373" s="7" t="s">
        <v>2470</v>
      </c>
      <c r="E1373" s="7" t="s">
        <v>11</v>
      </c>
      <c r="F1373" s="7" t="s">
        <v>2471</v>
      </c>
      <c r="G1373" s="7" t="s">
        <v>12</v>
      </c>
      <c r="H1373" s="7"/>
      <c r="I1373" s="10">
        <v>44764</v>
      </c>
      <c r="J1373" s="7" t="s">
        <v>13</v>
      </c>
      <c r="K1373" s="7" t="s">
        <v>296</v>
      </c>
      <c r="L1373" s="7" t="s">
        <v>297</v>
      </c>
      <c r="M1373" s="7" t="s">
        <v>16</v>
      </c>
    </row>
    <row r="1374" spans="1:13" x14ac:dyDescent="0.3">
      <c r="A1374" s="7" t="str">
        <f>HYPERLINK("https://hsdes.intel.com/resource/14013161169","14013161169")</f>
        <v>14013161169</v>
      </c>
      <c r="B1374" s="7" t="s">
        <v>2472</v>
      </c>
      <c r="C1374" s="7" t="s">
        <v>1420</v>
      </c>
      <c r="D1374" s="7" t="s">
        <v>2473</v>
      </c>
      <c r="E1374" s="7" t="s">
        <v>838</v>
      </c>
      <c r="F1374" s="7" t="s">
        <v>1873</v>
      </c>
      <c r="G1374" s="7" t="s">
        <v>345</v>
      </c>
      <c r="H1374" s="7"/>
      <c r="I1374" s="10">
        <v>44757</v>
      </c>
      <c r="J1374" s="7" t="s">
        <v>13</v>
      </c>
      <c r="K1374" s="7" t="s">
        <v>93</v>
      </c>
      <c r="L1374" s="7" t="s">
        <v>94</v>
      </c>
      <c r="M1374" s="7" t="s">
        <v>24</v>
      </c>
    </row>
    <row r="1375" spans="1:13" x14ac:dyDescent="0.3">
      <c r="A1375" s="7" t="str">
        <f>HYPERLINK("https://hsdes.intel.com/resource/14013161181","14013161181")</f>
        <v>14013161181</v>
      </c>
      <c r="B1375" s="7" t="s">
        <v>2474</v>
      </c>
      <c r="C1375" s="7" t="s">
        <v>1420</v>
      </c>
      <c r="D1375" s="7" t="s">
        <v>2475</v>
      </c>
      <c r="E1375" s="7" t="s">
        <v>11</v>
      </c>
      <c r="F1375" s="7"/>
      <c r="G1375" s="7" t="s">
        <v>1849</v>
      </c>
      <c r="H1375" s="7"/>
      <c r="I1375" s="10">
        <v>44755</v>
      </c>
      <c r="J1375" s="7" t="s">
        <v>13</v>
      </c>
      <c r="K1375" s="7" t="s">
        <v>1759</v>
      </c>
      <c r="L1375" s="7" t="s">
        <v>88</v>
      </c>
      <c r="M1375" s="7" t="s">
        <v>21</v>
      </c>
    </row>
    <row r="1376" spans="1:13" x14ac:dyDescent="0.3">
      <c r="A1376" s="7" t="str">
        <f>HYPERLINK("https://hsdes.intel.com/resource/14013161185","14013161185")</f>
        <v>14013161185</v>
      </c>
      <c r="B1376" s="7" t="s">
        <v>2476</v>
      </c>
      <c r="C1376" s="7" t="s">
        <v>1420</v>
      </c>
      <c r="D1376" s="7" t="s">
        <v>2477</v>
      </c>
      <c r="E1376" s="7" t="s">
        <v>11</v>
      </c>
      <c r="F1376" s="7"/>
      <c r="G1376" s="7" t="s">
        <v>1849</v>
      </c>
      <c r="H1376" s="7"/>
      <c r="I1376" s="10">
        <v>44755</v>
      </c>
      <c r="J1376" s="7" t="s">
        <v>13</v>
      </c>
      <c r="K1376" s="7" t="s">
        <v>1759</v>
      </c>
      <c r="L1376" s="7" t="s">
        <v>88</v>
      </c>
      <c r="M1376" s="7" t="s">
        <v>21</v>
      </c>
    </row>
    <row r="1377" spans="1:13" x14ac:dyDescent="0.3">
      <c r="A1377" s="7" t="str">
        <f>HYPERLINK("https://hsdes.intel.com/resource/14013161188","14013161188")</f>
        <v>14013161188</v>
      </c>
      <c r="B1377" s="7" t="s">
        <v>2478</v>
      </c>
      <c r="C1377" s="7" t="s">
        <v>1420</v>
      </c>
      <c r="D1377" s="7" t="s">
        <v>2479</v>
      </c>
      <c r="E1377" s="7" t="s">
        <v>32</v>
      </c>
      <c r="F1377" s="7" t="s">
        <v>2480</v>
      </c>
      <c r="G1377" s="7" t="s">
        <v>1447</v>
      </c>
      <c r="H1377" s="7" t="s">
        <v>343</v>
      </c>
      <c r="I1377" s="10">
        <v>44763</v>
      </c>
      <c r="J1377" s="7" t="s">
        <v>13</v>
      </c>
      <c r="K1377" s="7" t="s">
        <v>1759</v>
      </c>
      <c r="L1377" s="7" t="s">
        <v>88</v>
      </c>
      <c r="M1377" s="7" t="s">
        <v>21</v>
      </c>
    </row>
    <row r="1378" spans="1:13" x14ac:dyDescent="0.3">
      <c r="A1378" s="7" t="str">
        <f>HYPERLINK("https://hsdes.intel.com/resource/14013161189","14013161189")</f>
        <v>14013161189</v>
      </c>
      <c r="B1378" s="7" t="s">
        <v>2481</v>
      </c>
      <c r="C1378" s="7" t="s">
        <v>1420</v>
      </c>
      <c r="D1378" s="7" t="s">
        <v>2482</v>
      </c>
      <c r="E1378" s="7" t="s">
        <v>11</v>
      </c>
      <c r="F1378" s="7"/>
      <c r="G1378" s="7" t="s">
        <v>1849</v>
      </c>
      <c r="H1378" s="7"/>
      <c r="I1378" s="10">
        <v>44756</v>
      </c>
      <c r="J1378" s="7" t="s">
        <v>13</v>
      </c>
      <c r="K1378" s="7" t="s">
        <v>1759</v>
      </c>
      <c r="L1378" s="7" t="s">
        <v>88</v>
      </c>
      <c r="M1378" s="7" t="s">
        <v>16</v>
      </c>
    </row>
    <row r="1379" spans="1:13" x14ac:dyDescent="0.3">
      <c r="A1379" s="7" t="str">
        <f>HYPERLINK("https://hsdes.intel.com/resource/14013161190","14013161190")</f>
        <v>14013161190</v>
      </c>
      <c r="B1379" s="7" t="s">
        <v>2483</v>
      </c>
      <c r="C1379" s="7" t="s">
        <v>1420</v>
      </c>
      <c r="D1379" s="7" t="s">
        <v>2484</v>
      </c>
      <c r="E1379" s="7" t="s">
        <v>11</v>
      </c>
      <c r="F1379" s="7"/>
      <c r="G1379" s="7" t="s">
        <v>1482</v>
      </c>
      <c r="H1379" s="7"/>
      <c r="I1379" s="10">
        <v>44754</v>
      </c>
      <c r="J1379" s="7" t="s">
        <v>13</v>
      </c>
      <c r="K1379" s="7" t="s">
        <v>523</v>
      </c>
      <c r="L1379" s="7" t="s">
        <v>660</v>
      </c>
      <c r="M1379" s="7" t="s">
        <v>16</v>
      </c>
    </row>
    <row r="1380" spans="1:13" x14ac:dyDescent="0.3">
      <c r="A1380" s="7" t="str">
        <f>HYPERLINK("https://hsdes.intel.com/resource/14013161192","14013161192")</f>
        <v>14013161192</v>
      </c>
      <c r="B1380" s="7" t="s">
        <v>2485</v>
      </c>
      <c r="C1380" s="7" t="s">
        <v>1420</v>
      </c>
      <c r="D1380" s="7" t="s">
        <v>2486</v>
      </c>
      <c r="E1380" s="7" t="s">
        <v>11</v>
      </c>
      <c r="F1380" s="7"/>
      <c r="G1380" s="7" t="s">
        <v>1605</v>
      </c>
      <c r="H1380" s="7"/>
      <c r="I1380" s="10">
        <v>44758</v>
      </c>
      <c r="J1380" s="7" t="s">
        <v>13</v>
      </c>
      <c r="K1380" s="7" t="s">
        <v>67</v>
      </c>
      <c r="L1380" s="7" t="s">
        <v>68</v>
      </c>
      <c r="M1380" s="7" t="s">
        <v>16</v>
      </c>
    </row>
    <row r="1381" spans="1:13" x14ac:dyDescent="0.3">
      <c r="A1381" s="7" t="str">
        <f>HYPERLINK("https://hsdes.intel.com/resource/14013161207","14013161207")</f>
        <v>14013161207</v>
      </c>
      <c r="B1381" s="7" t="s">
        <v>2487</v>
      </c>
      <c r="C1381" s="7" t="s">
        <v>1420</v>
      </c>
      <c r="D1381" s="7" t="s">
        <v>2488</v>
      </c>
      <c r="E1381" s="7" t="s">
        <v>11</v>
      </c>
      <c r="F1381" s="7"/>
      <c r="G1381" s="7" t="s">
        <v>1482</v>
      </c>
      <c r="H1381" s="7"/>
      <c r="I1381" s="10">
        <v>44755</v>
      </c>
      <c r="J1381" s="7" t="s">
        <v>13</v>
      </c>
      <c r="K1381" s="7" t="s">
        <v>523</v>
      </c>
      <c r="L1381" s="7" t="s">
        <v>660</v>
      </c>
      <c r="M1381" s="7" t="s">
        <v>16</v>
      </c>
    </row>
    <row r="1382" spans="1:13" x14ac:dyDescent="0.3">
      <c r="A1382" s="7" t="str">
        <f>HYPERLINK("https://hsdes.intel.com/resource/14013161281","14013161281")</f>
        <v>14013161281</v>
      </c>
      <c r="B1382" s="7" t="s">
        <v>2489</v>
      </c>
      <c r="C1382" s="7" t="s">
        <v>1420</v>
      </c>
      <c r="D1382" s="7" t="s">
        <v>2490</v>
      </c>
      <c r="E1382" s="7" t="s">
        <v>11</v>
      </c>
      <c r="F1382" s="7"/>
      <c r="G1382" s="7" t="s">
        <v>1482</v>
      </c>
      <c r="H1382" s="7"/>
      <c r="I1382" s="10">
        <v>44754</v>
      </c>
      <c r="J1382" s="7" t="s">
        <v>13</v>
      </c>
      <c r="K1382" s="7" t="s">
        <v>523</v>
      </c>
      <c r="L1382" s="7" t="s">
        <v>660</v>
      </c>
      <c r="M1382" s="7" t="s">
        <v>24</v>
      </c>
    </row>
    <row r="1383" spans="1:13" x14ac:dyDescent="0.3">
      <c r="A1383" s="7" t="str">
        <f>HYPERLINK("https://hsdes.intel.com/resource/14013161293","14013161293")</f>
        <v>14013161293</v>
      </c>
      <c r="B1383" s="7" t="s">
        <v>2491</v>
      </c>
      <c r="C1383" s="7" t="s">
        <v>1420</v>
      </c>
      <c r="D1383" s="7" t="s">
        <v>2492</v>
      </c>
      <c r="E1383" s="7" t="s">
        <v>11</v>
      </c>
      <c r="F1383" s="7" t="s">
        <v>1442</v>
      </c>
      <c r="G1383" s="7" t="s">
        <v>1429</v>
      </c>
      <c r="H1383" s="7"/>
      <c r="I1383" s="10">
        <v>44755</v>
      </c>
      <c r="J1383" s="7" t="s">
        <v>13</v>
      </c>
      <c r="K1383" s="7" t="s">
        <v>553</v>
      </c>
      <c r="L1383" s="7" t="s">
        <v>544</v>
      </c>
      <c r="M1383" s="7" t="s">
        <v>16</v>
      </c>
    </row>
    <row r="1384" spans="1:13" x14ac:dyDescent="0.3">
      <c r="A1384" s="7" t="str">
        <f>HYPERLINK("https://hsdes.intel.com/resource/14013161298","14013161298")</f>
        <v>14013161298</v>
      </c>
      <c r="B1384" s="7" t="s">
        <v>2493</v>
      </c>
      <c r="C1384" s="7" t="s">
        <v>1420</v>
      </c>
      <c r="D1384" s="7" t="s">
        <v>2494</v>
      </c>
      <c r="E1384" s="7" t="s">
        <v>11</v>
      </c>
      <c r="F1384" s="7" t="s">
        <v>1442</v>
      </c>
      <c r="G1384" s="7" t="s">
        <v>1429</v>
      </c>
      <c r="H1384" s="7"/>
      <c r="I1384" s="10">
        <v>44755</v>
      </c>
      <c r="J1384" s="7" t="s">
        <v>13</v>
      </c>
      <c r="K1384" s="7" t="s">
        <v>553</v>
      </c>
      <c r="L1384" s="7" t="s">
        <v>544</v>
      </c>
      <c r="M1384" s="7" t="s">
        <v>16</v>
      </c>
    </row>
    <row r="1385" spans="1:13" x14ac:dyDescent="0.3">
      <c r="A1385" s="7" t="str">
        <f>HYPERLINK("https://hsdes.intel.com/resource/14013161335","14013161335")</f>
        <v>14013161335</v>
      </c>
      <c r="B1385" s="7" t="s">
        <v>2495</v>
      </c>
      <c r="C1385" s="7" t="s">
        <v>1420</v>
      </c>
      <c r="D1385" s="7" t="s">
        <v>2496</v>
      </c>
      <c r="E1385" s="7" t="s">
        <v>11</v>
      </c>
      <c r="F1385" s="7"/>
      <c r="G1385" s="7" t="s">
        <v>1605</v>
      </c>
      <c r="H1385" s="7"/>
      <c r="I1385" s="10">
        <v>44757</v>
      </c>
      <c r="J1385" s="7" t="s">
        <v>13</v>
      </c>
      <c r="K1385" s="7" t="s">
        <v>67</v>
      </c>
      <c r="L1385" s="7" t="s">
        <v>68</v>
      </c>
      <c r="M1385" s="7" t="s">
        <v>16</v>
      </c>
    </row>
    <row r="1386" spans="1:13" x14ac:dyDescent="0.3">
      <c r="A1386" s="7" t="str">
        <f>HYPERLINK("https://hsdes.intel.com/resource/14013161348","14013161348")</f>
        <v>14013161348</v>
      </c>
      <c r="B1386" s="7" t="s">
        <v>2497</v>
      </c>
      <c r="C1386" s="7" t="s">
        <v>1420</v>
      </c>
      <c r="D1386" s="7" t="s">
        <v>2498</v>
      </c>
      <c r="E1386" s="7" t="s">
        <v>11</v>
      </c>
      <c r="F1386" s="7"/>
      <c r="G1386" s="7" t="s">
        <v>1605</v>
      </c>
      <c r="H1386" s="7"/>
      <c r="I1386" s="10">
        <v>44757</v>
      </c>
      <c r="J1386" s="7" t="s">
        <v>13</v>
      </c>
      <c r="K1386" s="7" t="s">
        <v>67</v>
      </c>
      <c r="L1386" s="7" t="s">
        <v>68</v>
      </c>
      <c r="M1386" s="7" t="s">
        <v>16</v>
      </c>
    </row>
    <row r="1387" spans="1:13" x14ac:dyDescent="0.3">
      <c r="A1387" s="7" t="str">
        <f>HYPERLINK("https://hsdes.intel.com/resource/14013161353","14013161353")</f>
        <v>14013161353</v>
      </c>
      <c r="B1387" s="7" t="s">
        <v>2499</v>
      </c>
      <c r="C1387" s="7" t="s">
        <v>1420</v>
      </c>
      <c r="D1387" s="7" t="s">
        <v>2500</v>
      </c>
      <c r="E1387" s="7" t="s">
        <v>11</v>
      </c>
      <c r="F1387" s="7"/>
      <c r="G1387" s="7" t="s">
        <v>1605</v>
      </c>
      <c r="H1387" s="7"/>
      <c r="I1387" s="10">
        <v>44757</v>
      </c>
      <c r="J1387" s="7" t="s">
        <v>13</v>
      </c>
      <c r="K1387" s="7" t="s">
        <v>67</v>
      </c>
      <c r="L1387" s="7" t="s">
        <v>68</v>
      </c>
      <c r="M1387" s="7" t="s">
        <v>16</v>
      </c>
    </row>
    <row r="1388" spans="1:13" x14ac:dyDescent="0.3">
      <c r="A1388" s="7" t="str">
        <f>HYPERLINK("https://hsdes.intel.com/resource/14013161356","14013161356")</f>
        <v>14013161356</v>
      </c>
      <c r="B1388" s="7" t="s">
        <v>2501</v>
      </c>
      <c r="C1388" s="7" t="s">
        <v>1420</v>
      </c>
      <c r="D1388" s="7" t="s">
        <v>2502</v>
      </c>
      <c r="E1388" s="7" t="s">
        <v>11</v>
      </c>
      <c r="F1388" s="7"/>
      <c r="G1388" s="7" t="s">
        <v>1605</v>
      </c>
      <c r="H1388" s="7"/>
      <c r="I1388" s="10">
        <v>44757</v>
      </c>
      <c r="J1388" s="7" t="s">
        <v>13</v>
      </c>
      <c r="K1388" s="7" t="s">
        <v>67</v>
      </c>
      <c r="L1388" s="7" t="s">
        <v>68</v>
      </c>
      <c r="M1388" s="7" t="s">
        <v>16</v>
      </c>
    </row>
    <row r="1389" spans="1:13" x14ac:dyDescent="0.3">
      <c r="A1389" s="7" t="str">
        <f>HYPERLINK("https://hsdes.intel.com/resource/14013161425","14013161425")</f>
        <v>14013161425</v>
      </c>
      <c r="B1389" s="7" t="s">
        <v>2503</v>
      </c>
      <c r="C1389" s="7" t="s">
        <v>1420</v>
      </c>
      <c r="D1389" s="7" t="s">
        <v>2504</v>
      </c>
      <c r="E1389" s="7" t="s">
        <v>11</v>
      </c>
      <c r="F1389" s="7"/>
      <c r="G1389" s="7" t="s">
        <v>1475</v>
      </c>
      <c r="H1389" s="7"/>
      <c r="I1389" s="7"/>
      <c r="J1389" s="7" t="s">
        <v>13</v>
      </c>
      <c r="K1389" s="7" t="s">
        <v>71</v>
      </c>
      <c r="L1389" s="7" t="s">
        <v>34</v>
      </c>
      <c r="M1389" s="7" t="s">
        <v>24</v>
      </c>
    </row>
    <row r="1390" spans="1:13" x14ac:dyDescent="0.3">
      <c r="A1390" s="7" t="str">
        <f>HYPERLINK("https://hsdes.intel.com/resource/14013161426","14013161426")</f>
        <v>14013161426</v>
      </c>
      <c r="B1390" s="7" t="s">
        <v>2505</v>
      </c>
      <c r="C1390" s="7" t="s">
        <v>1420</v>
      </c>
      <c r="D1390" s="7" t="s">
        <v>2506</v>
      </c>
      <c r="E1390" s="7" t="s">
        <v>11</v>
      </c>
      <c r="F1390" s="7"/>
      <c r="G1390" s="7" t="s">
        <v>2449</v>
      </c>
      <c r="H1390" s="7"/>
      <c r="I1390" s="10">
        <v>44762</v>
      </c>
      <c r="J1390" s="7" t="s">
        <v>192</v>
      </c>
      <c r="K1390" s="7" t="s">
        <v>296</v>
      </c>
      <c r="L1390" s="7" t="s">
        <v>297</v>
      </c>
      <c r="M1390" s="7" t="s">
        <v>21</v>
      </c>
    </row>
    <row r="1391" spans="1:13" x14ac:dyDescent="0.3">
      <c r="A1391" s="7" t="str">
        <f>HYPERLINK("https://hsdes.intel.com/resource/14013161430","14013161430")</f>
        <v>14013161430</v>
      </c>
      <c r="B1391" s="7" t="s">
        <v>2507</v>
      </c>
      <c r="C1391" s="7" t="s">
        <v>1420</v>
      </c>
      <c r="D1391" s="7" t="s">
        <v>2508</v>
      </c>
      <c r="E1391" s="7" t="s">
        <v>11</v>
      </c>
      <c r="F1391" s="7" t="s">
        <v>2509</v>
      </c>
      <c r="G1391" s="7" t="s">
        <v>2449</v>
      </c>
      <c r="H1391" s="7"/>
      <c r="I1391" s="10">
        <v>44757</v>
      </c>
      <c r="J1391" s="7" t="s">
        <v>13</v>
      </c>
      <c r="K1391" s="7" t="s">
        <v>19</v>
      </c>
      <c r="L1391" s="7" t="s">
        <v>20</v>
      </c>
      <c r="M1391" s="7" t="s">
        <v>24</v>
      </c>
    </row>
    <row r="1392" spans="1:13" x14ac:dyDescent="0.3">
      <c r="A1392" s="7" t="str">
        <f>HYPERLINK("https://hsdes.intel.com/resource/14013161435","14013161435")</f>
        <v>14013161435</v>
      </c>
      <c r="B1392" s="7" t="s">
        <v>2510</v>
      </c>
      <c r="C1392" s="7" t="s">
        <v>1420</v>
      </c>
      <c r="D1392" s="7" t="s">
        <v>2511</v>
      </c>
      <c r="E1392" s="7" t="s">
        <v>11</v>
      </c>
      <c r="F1392" s="7"/>
      <c r="G1392" s="7" t="s">
        <v>2449</v>
      </c>
      <c r="H1392" s="7"/>
      <c r="I1392" s="10">
        <v>44757</v>
      </c>
      <c r="J1392" s="7" t="s">
        <v>13</v>
      </c>
      <c r="K1392" s="7" t="s">
        <v>19</v>
      </c>
      <c r="L1392" s="7" t="s">
        <v>20</v>
      </c>
      <c r="M1392" s="7" t="s">
        <v>24</v>
      </c>
    </row>
    <row r="1393" spans="1:13" x14ac:dyDescent="0.3">
      <c r="A1393" s="7" t="str">
        <f>HYPERLINK("https://hsdes.intel.com/resource/14013161439","14013161439")</f>
        <v>14013161439</v>
      </c>
      <c r="B1393" s="7" t="s">
        <v>2512</v>
      </c>
      <c r="C1393" s="7" t="s">
        <v>1420</v>
      </c>
      <c r="D1393" s="7" t="s">
        <v>2513</v>
      </c>
      <c r="E1393" s="7" t="s">
        <v>11</v>
      </c>
      <c r="F1393" s="7"/>
      <c r="G1393" s="7" t="s">
        <v>2449</v>
      </c>
      <c r="H1393" s="7"/>
      <c r="I1393" s="10">
        <v>44757</v>
      </c>
      <c r="J1393" s="7" t="s">
        <v>13</v>
      </c>
      <c r="K1393" s="7" t="s">
        <v>19</v>
      </c>
      <c r="L1393" s="7" t="s">
        <v>20</v>
      </c>
      <c r="M1393" s="7" t="s">
        <v>24</v>
      </c>
    </row>
    <row r="1394" spans="1:13" x14ac:dyDescent="0.3">
      <c r="A1394" s="7" t="str">
        <f>HYPERLINK("https://hsdes.intel.com/resource/14013161442","14013161442")</f>
        <v>14013161442</v>
      </c>
      <c r="B1394" s="2" t="s">
        <v>2514</v>
      </c>
      <c r="C1394" s="7" t="s">
        <v>1420</v>
      </c>
      <c r="D1394" s="7" t="s">
        <v>2515</v>
      </c>
      <c r="E1394" s="7" t="s">
        <v>11</v>
      </c>
      <c r="F1394" s="7" t="s">
        <v>2313</v>
      </c>
      <c r="G1394" s="7" t="s">
        <v>354</v>
      </c>
      <c r="H1394" s="7"/>
      <c r="I1394" s="10">
        <v>44763</v>
      </c>
      <c r="J1394" s="7" t="s">
        <v>13</v>
      </c>
      <c r="K1394" s="7" t="s">
        <v>296</v>
      </c>
      <c r="L1394" s="7" t="s">
        <v>297</v>
      </c>
      <c r="M1394" s="7" t="s">
        <v>21</v>
      </c>
    </row>
    <row r="1395" spans="1:13" x14ac:dyDescent="0.3">
      <c r="A1395" s="7" t="str">
        <f>HYPERLINK("https://hsdes.intel.com/resource/14013161443","14013161443")</f>
        <v>14013161443</v>
      </c>
      <c r="B1395" s="7" t="s">
        <v>2516</v>
      </c>
      <c r="C1395" s="7" t="s">
        <v>1420</v>
      </c>
      <c r="D1395" s="7" t="s">
        <v>2517</v>
      </c>
      <c r="E1395" s="7" t="s">
        <v>11</v>
      </c>
      <c r="F1395" s="7"/>
      <c r="G1395" s="7" t="s">
        <v>2449</v>
      </c>
      <c r="H1395" s="7"/>
      <c r="I1395" s="10">
        <v>44762</v>
      </c>
      <c r="J1395" s="7" t="s">
        <v>13</v>
      </c>
      <c r="K1395" s="7" t="s">
        <v>296</v>
      </c>
      <c r="L1395" s="7" t="s">
        <v>297</v>
      </c>
      <c r="M1395" s="7" t="s">
        <v>21</v>
      </c>
    </row>
    <row r="1396" spans="1:13" x14ac:dyDescent="0.3">
      <c r="A1396" s="7" t="str">
        <f>HYPERLINK("https://hsdes.intel.com/resource/14013161444","14013161444")</f>
        <v>14013161444</v>
      </c>
      <c r="B1396" s="7" t="s">
        <v>2518</v>
      </c>
      <c r="C1396" s="7" t="s">
        <v>1420</v>
      </c>
      <c r="D1396" s="7" t="s">
        <v>2519</v>
      </c>
      <c r="E1396" s="7" t="s">
        <v>11</v>
      </c>
      <c r="F1396" s="7" t="s">
        <v>2015</v>
      </c>
      <c r="G1396" s="7" t="s">
        <v>354</v>
      </c>
      <c r="H1396" s="7"/>
      <c r="I1396" s="10">
        <v>44761</v>
      </c>
      <c r="J1396" s="7" t="s">
        <v>13</v>
      </c>
      <c r="K1396" s="7" t="s">
        <v>296</v>
      </c>
      <c r="L1396" s="7" t="s">
        <v>297</v>
      </c>
      <c r="M1396" s="7" t="s">
        <v>21</v>
      </c>
    </row>
    <row r="1397" spans="1:13" ht="15" x14ac:dyDescent="0.35">
      <c r="A1397" s="7" t="str">
        <f>HYPERLINK("https://hsdes.intel.com/resource/14013161458","14013161458")</f>
        <v>14013161458</v>
      </c>
      <c r="B1397" s="7" t="s">
        <v>2520</v>
      </c>
      <c r="C1397" s="7" t="s">
        <v>1420</v>
      </c>
      <c r="D1397" s="7" t="s">
        <v>2521</v>
      </c>
      <c r="E1397" s="7" t="s">
        <v>87</v>
      </c>
      <c r="F1397" s="26" t="s">
        <v>1618</v>
      </c>
      <c r="G1397" s="7" t="s">
        <v>1605</v>
      </c>
      <c r="H1397" s="7"/>
      <c r="I1397" s="10">
        <v>44762</v>
      </c>
      <c r="J1397" s="7" t="s">
        <v>13</v>
      </c>
      <c r="K1397" s="7" t="s">
        <v>67</v>
      </c>
      <c r="L1397" s="7" t="s">
        <v>68</v>
      </c>
      <c r="M1397" s="7" t="s">
        <v>21</v>
      </c>
    </row>
    <row r="1398" spans="1:13" ht="15" x14ac:dyDescent="0.35">
      <c r="A1398" s="7" t="str">
        <f>HYPERLINK("https://hsdes.intel.com/resource/14013161460","14013161460")</f>
        <v>14013161460</v>
      </c>
      <c r="B1398" s="7" t="s">
        <v>2522</v>
      </c>
      <c r="C1398" s="7" t="s">
        <v>1420</v>
      </c>
      <c r="D1398" s="7" t="s">
        <v>2523</v>
      </c>
      <c r="E1398" s="7" t="s">
        <v>87</v>
      </c>
      <c r="F1398" s="26" t="s">
        <v>1618</v>
      </c>
      <c r="G1398" s="7" t="s">
        <v>1605</v>
      </c>
      <c r="H1398" s="7"/>
      <c r="I1398" s="10">
        <v>44762</v>
      </c>
      <c r="J1398" s="7" t="s">
        <v>13</v>
      </c>
      <c r="K1398" s="7" t="s">
        <v>67</v>
      </c>
      <c r="L1398" s="7" t="s">
        <v>68</v>
      </c>
      <c r="M1398" s="7" t="s">
        <v>21</v>
      </c>
    </row>
    <row r="1399" spans="1:13" ht="15" x14ac:dyDescent="0.35">
      <c r="A1399" s="7" t="str">
        <f>HYPERLINK("https://hsdes.intel.com/resource/14013161466","14013161466")</f>
        <v>14013161466</v>
      </c>
      <c r="B1399" s="7" t="s">
        <v>2524</v>
      </c>
      <c r="C1399" s="7" t="s">
        <v>1420</v>
      </c>
      <c r="D1399" s="7" t="s">
        <v>2525</v>
      </c>
      <c r="E1399" s="7" t="s">
        <v>87</v>
      </c>
      <c r="F1399" s="26" t="s">
        <v>1618</v>
      </c>
      <c r="G1399" s="7" t="s">
        <v>1605</v>
      </c>
      <c r="H1399" s="7"/>
      <c r="I1399" s="10">
        <v>44762</v>
      </c>
      <c r="J1399" s="7" t="s">
        <v>13</v>
      </c>
      <c r="K1399" s="7" t="s">
        <v>67</v>
      </c>
      <c r="L1399" s="7" t="s">
        <v>68</v>
      </c>
      <c r="M1399" s="7" t="s">
        <v>21</v>
      </c>
    </row>
    <row r="1400" spans="1:13" ht="15" x14ac:dyDescent="0.35">
      <c r="A1400" s="7" t="str">
        <f>HYPERLINK("https://hsdes.intel.com/resource/14013161469","14013161469")</f>
        <v>14013161469</v>
      </c>
      <c r="B1400" s="7" t="s">
        <v>2526</v>
      </c>
      <c r="C1400" s="7" t="s">
        <v>1420</v>
      </c>
      <c r="D1400" s="7" t="s">
        <v>2527</v>
      </c>
      <c r="E1400" s="7" t="s">
        <v>87</v>
      </c>
      <c r="F1400" s="26" t="s">
        <v>1618</v>
      </c>
      <c r="G1400" s="7" t="s">
        <v>1605</v>
      </c>
      <c r="H1400" s="7"/>
      <c r="I1400" s="10">
        <v>44762</v>
      </c>
      <c r="J1400" s="7" t="s">
        <v>13</v>
      </c>
      <c r="K1400" s="7" t="s">
        <v>67</v>
      </c>
      <c r="L1400" s="7" t="s">
        <v>68</v>
      </c>
      <c r="M1400" s="7" t="s">
        <v>21</v>
      </c>
    </row>
    <row r="1401" spans="1:13" x14ac:dyDescent="0.3">
      <c r="A1401" s="7" t="str">
        <f>HYPERLINK("https://hsdes.intel.com/resource/14013161527","14013161527")</f>
        <v>14013161527</v>
      </c>
      <c r="B1401" s="7" t="s">
        <v>2528</v>
      </c>
      <c r="C1401" s="7" t="s">
        <v>1420</v>
      </c>
      <c r="D1401" s="7" t="s">
        <v>2529</v>
      </c>
      <c r="E1401" s="7" t="s">
        <v>11</v>
      </c>
      <c r="F1401" s="7"/>
      <c r="G1401" s="7" t="s">
        <v>1432</v>
      </c>
      <c r="H1401" s="7"/>
      <c r="I1401" s="7"/>
      <c r="J1401" s="7" t="s">
        <v>13</v>
      </c>
      <c r="K1401" s="7" t="s">
        <v>2530</v>
      </c>
      <c r="L1401" s="7" t="s">
        <v>1434</v>
      </c>
      <c r="M1401" s="7" t="s">
        <v>21</v>
      </c>
    </row>
    <row r="1402" spans="1:13" x14ac:dyDescent="0.3">
      <c r="A1402" s="7" t="str">
        <f>HYPERLINK("https://hsdes.intel.com/resource/14013161560","14013161560")</f>
        <v>14013161560</v>
      </c>
      <c r="B1402" s="7" t="s">
        <v>2531</v>
      </c>
      <c r="C1402" s="7" t="s">
        <v>1420</v>
      </c>
      <c r="D1402" s="7" t="s">
        <v>2532</v>
      </c>
      <c r="E1402" s="7" t="s">
        <v>11</v>
      </c>
      <c r="F1402" s="7"/>
      <c r="G1402" s="7" t="s">
        <v>1475</v>
      </c>
      <c r="H1402" s="7"/>
      <c r="I1402" s="7"/>
      <c r="J1402" s="7" t="s">
        <v>13</v>
      </c>
      <c r="K1402" s="7" t="s">
        <v>45</v>
      </c>
      <c r="L1402" s="7" t="s">
        <v>581</v>
      </c>
      <c r="M1402" s="7" t="s">
        <v>16</v>
      </c>
    </row>
    <row r="1403" spans="1:13" x14ac:dyDescent="0.3">
      <c r="A1403" s="7" t="str">
        <f>HYPERLINK("https://hsdes.intel.com/resource/14013161588","14013161588")</f>
        <v>14013161588</v>
      </c>
      <c r="B1403" s="7" t="s">
        <v>2533</v>
      </c>
      <c r="C1403" s="7" t="s">
        <v>1420</v>
      </c>
      <c r="D1403" s="7" t="s">
        <v>2534</v>
      </c>
      <c r="E1403" s="7" t="s">
        <v>11</v>
      </c>
      <c r="F1403" s="7" t="s">
        <v>2535</v>
      </c>
      <c r="G1403" s="7" t="s">
        <v>354</v>
      </c>
      <c r="H1403" s="7"/>
      <c r="I1403" s="10">
        <v>44761</v>
      </c>
      <c r="J1403" s="7" t="s">
        <v>192</v>
      </c>
      <c r="K1403" s="7" t="s">
        <v>296</v>
      </c>
      <c r="L1403" s="7" t="s">
        <v>297</v>
      </c>
      <c r="M1403" s="7" t="s">
        <v>21</v>
      </c>
    </row>
    <row r="1404" spans="1:13" x14ac:dyDescent="0.3">
      <c r="A1404" s="7" t="str">
        <f>HYPERLINK("https://hsdes.intel.com/resource/14013161591","14013161591")</f>
        <v>14013161591</v>
      </c>
      <c r="B1404" s="7" t="s">
        <v>2536</v>
      </c>
      <c r="C1404" s="7" t="s">
        <v>1420</v>
      </c>
      <c r="D1404" s="7" t="s">
        <v>2537</v>
      </c>
      <c r="E1404" s="7" t="s">
        <v>11</v>
      </c>
      <c r="F1404" s="7"/>
      <c r="G1404" s="7" t="s">
        <v>1432</v>
      </c>
      <c r="H1404" s="7"/>
      <c r="I1404" s="10">
        <v>44755</v>
      </c>
      <c r="J1404" s="7" t="s">
        <v>13</v>
      </c>
      <c r="K1404" s="7" t="s">
        <v>1433</v>
      </c>
      <c r="L1404" s="7" t="s">
        <v>1434</v>
      </c>
      <c r="M1404" s="7" t="s">
        <v>16</v>
      </c>
    </row>
    <row r="1405" spans="1:13" x14ac:dyDescent="0.3">
      <c r="A1405" s="7" t="str">
        <f>HYPERLINK("https://hsdes.intel.com/resource/14013161593","14013161593")</f>
        <v>14013161593</v>
      </c>
      <c r="B1405" s="7" t="s">
        <v>2538</v>
      </c>
      <c r="C1405" s="7" t="s">
        <v>1420</v>
      </c>
      <c r="D1405" s="7" t="s">
        <v>2539</v>
      </c>
      <c r="E1405" s="7" t="s">
        <v>11</v>
      </c>
      <c r="F1405" s="7"/>
      <c r="G1405" s="7" t="s">
        <v>2438</v>
      </c>
      <c r="H1405" s="7"/>
      <c r="I1405" s="10">
        <v>44757</v>
      </c>
      <c r="J1405" s="7" t="s">
        <v>13</v>
      </c>
      <c r="K1405" s="7" t="s">
        <v>14</v>
      </c>
      <c r="L1405" s="7" t="s">
        <v>88</v>
      </c>
      <c r="M1405" s="7" t="s">
        <v>16</v>
      </c>
    </row>
    <row r="1406" spans="1:13" x14ac:dyDescent="0.3">
      <c r="A1406" s="7" t="str">
        <f>HYPERLINK("https://hsdes.intel.com/resource/14013161594","14013161594")</f>
        <v>14013161594</v>
      </c>
      <c r="B1406" s="7" t="s">
        <v>2540</v>
      </c>
      <c r="C1406" s="7" t="s">
        <v>1420</v>
      </c>
      <c r="D1406" s="7" t="s">
        <v>2541</v>
      </c>
      <c r="E1406" s="7" t="s">
        <v>11</v>
      </c>
      <c r="F1406" s="7"/>
      <c r="G1406" s="7" t="s">
        <v>1849</v>
      </c>
      <c r="H1406" s="7"/>
      <c r="I1406" s="10">
        <v>44755</v>
      </c>
      <c r="J1406" s="7" t="s">
        <v>13</v>
      </c>
      <c r="K1406" s="7" t="s">
        <v>14</v>
      </c>
      <c r="L1406" s="7" t="s">
        <v>88</v>
      </c>
      <c r="M1406" s="7" t="s">
        <v>16</v>
      </c>
    </row>
    <row r="1407" spans="1:13" x14ac:dyDescent="0.3">
      <c r="A1407" s="7" t="str">
        <f>HYPERLINK("https://hsdes.intel.com/resource/14013161603","14013161603")</f>
        <v>14013161603</v>
      </c>
      <c r="B1407" s="7" t="s">
        <v>2542</v>
      </c>
      <c r="C1407" s="7" t="s">
        <v>1420</v>
      </c>
      <c r="D1407" s="7" t="s">
        <v>2543</v>
      </c>
      <c r="E1407" s="7" t="s">
        <v>11</v>
      </c>
      <c r="F1407" s="7"/>
      <c r="G1407" s="7" t="s">
        <v>1432</v>
      </c>
      <c r="H1407" s="7"/>
      <c r="I1407" s="10">
        <v>44755</v>
      </c>
      <c r="J1407" s="7" t="s">
        <v>13</v>
      </c>
      <c r="K1407" s="7" t="s">
        <v>14</v>
      </c>
      <c r="L1407" s="7" t="s">
        <v>1434</v>
      </c>
      <c r="M1407" s="7" t="s">
        <v>24</v>
      </c>
    </row>
    <row r="1408" spans="1:13" x14ac:dyDescent="0.3">
      <c r="A1408" s="7" t="str">
        <f>HYPERLINK("https://hsdes.intel.com/resource/14013161605","14013161605")</f>
        <v>14013161605</v>
      </c>
      <c r="B1408" s="7" t="s">
        <v>2544</v>
      </c>
      <c r="C1408" s="7" t="s">
        <v>1420</v>
      </c>
      <c r="D1408" s="7" t="s">
        <v>2545</v>
      </c>
      <c r="E1408" s="7" t="s">
        <v>11</v>
      </c>
      <c r="F1408" s="7" t="s">
        <v>651</v>
      </c>
      <c r="G1408" s="7" t="s">
        <v>843</v>
      </c>
      <c r="H1408" s="7"/>
      <c r="I1408" s="10">
        <v>44755</v>
      </c>
      <c r="J1408" s="7" t="s">
        <v>13</v>
      </c>
      <c r="K1408" s="7" t="s">
        <v>296</v>
      </c>
      <c r="L1408" s="7" t="s">
        <v>297</v>
      </c>
      <c r="M1408" s="7" t="s">
        <v>24</v>
      </c>
    </row>
    <row r="1409" spans="1:13" x14ac:dyDescent="0.3">
      <c r="A1409" s="7" t="str">
        <f>HYPERLINK("https://hsdes.intel.com/resource/14013161689","14013161689")</f>
        <v>14013161689</v>
      </c>
      <c r="B1409" s="7" t="s">
        <v>2546</v>
      </c>
      <c r="C1409" s="7" t="s">
        <v>1420</v>
      </c>
      <c r="D1409" s="7" t="s">
        <v>2547</v>
      </c>
      <c r="E1409" s="7" t="s">
        <v>11</v>
      </c>
      <c r="F1409" s="7" t="s">
        <v>833</v>
      </c>
      <c r="G1409" s="7" t="s">
        <v>1447</v>
      </c>
      <c r="H1409" s="7"/>
      <c r="I1409" s="10">
        <v>44763</v>
      </c>
      <c r="J1409" s="7" t="s">
        <v>13</v>
      </c>
      <c r="K1409" s="7" t="s">
        <v>14</v>
      </c>
      <c r="L1409" s="7" t="s">
        <v>88</v>
      </c>
      <c r="M1409" s="7" t="s">
        <v>16</v>
      </c>
    </row>
    <row r="1410" spans="1:13" x14ac:dyDescent="0.3">
      <c r="A1410" s="7" t="str">
        <f>HYPERLINK("https://hsdes.intel.com/resource/14013161698","14013161698")</f>
        <v>14013161698</v>
      </c>
      <c r="B1410" s="7" t="s">
        <v>2548</v>
      </c>
      <c r="C1410" s="7" t="s">
        <v>1420</v>
      </c>
      <c r="D1410" s="7" t="s">
        <v>2549</v>
      </c>
      <c r="E1410" s="7" t="s">
        <v>11</v>
      </c>
      <c r="F1410" s="7" t="s">
        <v>2550</v>
      </c>
      <c r="G1410" s="7" t="s">
        <v>2449</v>
      </c>
      <c r="H1410" s="7"/>
      <c r="I1410" s="10">
        <v>44760</v>
      </c>
      <c r="J1410" s="7" t="s">
        <v>13</v>
      </c>
      <c r="K1410" s="7" t="s">
        <v>296</v>
      </c>
      <c r="L1410" s="7" t="s">
        <v>297</v>
      </c>
      <c r="M1410" s="7" t="s">
        <v>21</v>
      </c>
    </row>
    <row r="1411" spans="1:13" x14ac:dyDescent="0.3">
      <c r="A1411" s="7" t="str">
        <f>HYPERLINK("https://hsdes.intel.com/resource/14013161700","14013161700")</f>
        <v>14013161700</v>
      </c>
      <c r="B1411" s="7" t="s">
        <v>2551</v>
      </c>
      <c r="C1411" s="7" t="s">
        <v>1420</v>
      </c>
      <c r="D1411" s="7" t="s">
        <v>2552</v>
      </c>
      <c r="E1411" s="7" t="s">
        <v>11</v>
      </c>
      <c r="F1411" s="7" t="s">
        <v>2550</v>
      </c>
      <c r="G1411" s="7" t="s">
        <v>2449</v>
      </c>
      <c r="H1411" s="7"/>
      <c r="I1411" s="10">
        <v>44760</v>
      </c>
      <c r="J1411" s="7" t="s">
        <v>13</v>
      </c>
      <c r="K1411" s="7" t="s">
        <v>296</v>
      </c>
      <c r="L1411" s="7" t="s">
        <v>297</v>
      </c>
      <c r="M1411" s="7" t="s">
        <v>24</v>
      </c>
    </row>
    <row r="1412" spans="1:13" x14ac:dyDescent="0.3">
      <c r="A1412" s="7" t="str">
        <f>HYPERLINK("https://hsdes.intel.com/resource/14013161706","14013161706")</f>
        <v>14013161706</v>
      </c>
      <c r="B1412" s="7" t="s">
        <v>2553</v>
      </c>
      <c r="C1412" s="7" t="s">
        <v>1420</v>
      </c>
      <c r="D1412" s="7" t="s">
        <v>2554</v>
      </c>
      <c r="E1412" s="7" t="s">
        <v>11</v>
      </c>
      <c r="F1412" s="7" t="s">
        <v>2550</v>
      </c>
      <c r="G1412" s="7" t="s">
        <v>2449</v>
      </c>
      <c r="H1412" s="7"/>
      <c r="I1412" s="10">
        <v>44760</v>
      </c>
      <c r="J1412" s="7" t="s">
        <v>13</v>
      </c>
      <c r="K1412" s="7" t="s">
        <v>296</v>
      </c>
      <c r="L1412" s="7" t="s">
        <v>297</v>
      </c>
      <c r="M1412" s="7" t="s">
        <v>24</v>
      </c>
    </row>
    <row r="1413" spans="1:13" x14ac:dyDescent="0.3">
      <c r="A1413" s="7" t="str">
        <f>HYPERLINK("https://hsdes.intel.com/resource/14013161721","14013161721")</f>
        <v>14013161721</v>
      </c>
      <c r="B1413" s="7" t="s">
        <v>2555</v>
      </c>
      <c r="C1413" s="7" t="s">
        <v>1420</v>
      </c>
      <c r="D1413" s="7" t="s">
        <v>2556</v>
      </c>
      <c r="E1413" s="7" t="s">
        <v>11</v>
      </c>
      <c r="F1413" s="7" t="s">
        <v>2557</v>
      </c>
      <c r="G1413" s="7" t="s">
        <v>1447</v>
      </c>
      <c r="H1413" s="7" t="s">
        <v>343</v>
      </c>
      <c r="I1413" s="10">
        <v>44764</v>
      </c>
      <c r="J1413" s="7" t="s">
        <v>3619</v>
      </c>
      <c r="K1413" s="7" t="s">
        <v>14</v>
      </c>
      <c r="L1413" s="7" t="s">
        <v>88</v>
      </c>
      <c r="M1413" s="7" t="s">
        <v>16</v>
      </c>
    </row>
    <row r="1414" spans="1:13" x14ac:dyDescent="0.3">
      <c r="A1414" s="7" t="str">
        <f>HYPERLINK("https://hsdes.intel.com/resource/14013161732","14013161732")</f>
        <v>14013161732</v>
      </c>
      <c r="B1414" s="7" t="s">
        <v>1336</v>
      </c>
      <c r="C1414" s="7" t="s">
        <v>1420</v>
      </c>
      <c r="D1414" s="7" t="s">
        <v>1337</v>
      </c>
      <c r="E1414" s="7"/>
      <c r="F1414" s="7"/>
      <c r="G1414" s="7" t="s">
        <v>833</v>
      </c>
      <c r="H1414" s="7"/>
      <c r="I1414" s="7"/>
      <c r="J1414" s="7" t="s">
        <v>13</v>
      </c>
      <c r="K1414" s="7" t="s">
        <v>14</v>
      </c>
      <c r="L1414" s="7" t="s">
        <v>88</v>
      </c>
      <c r="M1414" s="7" t="s">
        <v>16</v>
      </c>
    </row>
    <row r="1415" spans="1:13" x14ac:dyDescent="0.3">
      <c r="A1415" s="7" t="str">
        <f>HYPERLINK("https://hsdes.intel.com/resource/14013161805","14013161805")</f>
        <v>14013161805</v>
      </c>
      <c r="B1415" s="7" t="s">
        <v>2558</v>
      </c>
      <c r="C1415" s="7" t="s">
        <v>1420</v>
      </c>
      <c r="D1415" s="7" t="s">
        <v>2559</v>
      </c>
      <c r="E1415" s="7" t="s">
        <v>838</v>
      </c>
      <c r="F1415" s="7" t="s">
        <v>1873</v>
      </c>
      <c r="G1415" s="7" t="s">
        <v>345</v>
      </c>
      <c r="H1415" s="7"/>
      <c r="I1415" s="10">
        <v>44757</v>
      </c>
      <c r="J1415" s="7" t="s">
        <v>13</v>
      </c>
      <c r="K1415" s="7" t="s">
        <v>93</v>
      </c>
      <c r="L1415" s="7" t="s">
        <v>94</v>
      </c>
      <c r="M1415" s="7" t="s">
        <v>24</v>
      </c>
    </row>
    <row r="1416" spans="1:13" x14ac:dyDescent="0.3">
      <c r="A1416" s="7" t="str">
        <f>HYPERLINK("https://hsdes.intel.com/resource/14013161901","14013161901")</f>
        <v>14013161901</v>
      </c>
      <c r="B1416" s="7" t="s">
        <v>1339</v>
      </c>
      <c r="C1416" s="7" t="s">
        <v>1420</v>
      </c>
      <c r="D1416" s="7" t="s">
        <v>1340</v>
      </c>
      <c r="E1416" s="7"/>
      <c r="F1416" s="7"/>
      <c r="G1416" s="7" t="s">
        <v>833</v>
      </c>
      <c r="H1416" s="7"/>
      <c r="I1416" s="7"/>
      <c r="J1416" s="7" t="s">
        <v>13</v>
      </c>
      <c r="K1416" s="7" t="s">
        <v>14</v>
      </c>
      <c r="L1416" s="7" t="s">
        <v>88</v>
      </c>
      <c r="M1416" s="7" t="s">
        <v>16</v>
      </c>
    </row>
    <row r="1417" spans="1:13" x14ac:dyDescent="0.3">
      <c r="A1417" s="7" t="str">
        <f>HYPERLINK("https://hsdes.intel.com/resource/14013161937","14013161937")</f>
        <v>14013161937</v>
      </c>
      <c r="B1417" s="7" t="s">
        <v>2560</v>
      </c>
      <c r="C1417" s="7" t="s">
        <v>1420</v>
      </c>
      <c r="D1417" s="7" t="s">
        <v>2561</v>
      </c>
      <c r="E1417" s="7" t="s">
        <v>11</v>
      </c>
      <c r="F1417" s="7" t="s">
        <v>2015</v>
      </c>
      <c r="G1417" s="7" t="s">
        <v>354</v>
      </c>
      <c r="H1417" s="7"/>
      <c r="I1417" s="10">
        <v>44762</v>
      </c>
      <c r="J1417" s="7" t="s">
        <v>13</v>
      </c>
      <c r="K1417" s="7" t="s">
        <v>296</v>
      </c>
      <c r="L1417" s="7" t="s">
        <v>297</v>
      </c>
      <c r="M1417" s="7" t="s">
        <v>21</v>
      </c>
    </row>
    <row r="1418" spans="1:13" x14ac:dyDescent="0.3">
      <c r="A1418" s="7" t="str">
        <f>HYPERLINK("https://hsdes.intel.com/resource/14013161981","14013161981")</f>
        <v>14013161981</v>
      </c>
      <c r="B1418" s="7" t="s">
        <v>2562</v>
      </c>
      <c r="C1418" s="7" t="s">
        <v>1420</v>
      </c>
      <c r="D1418" s="7" t="s">
        <v>2563</v>
      </c>
      <c r="E1418" s="7" t="s">
        <v>11</v>
      </c>
      <c r="F1418" s="7" t="s">
        <v>2564</v>
      </c>
      <c r="G1418" s="7" t="s">
        <v>1461</v>
      </c>
      <c r="H1418" s="7"/>
      <c r="I1418" s="10">
        <v>44764</v>
      </c>
      <c r="J1418" s="7" t="s">
        <v>13</v>
      </c>
      <c r="K1418" s="7" t="s">
        <v>1433</v>
      </c>
      <c r="L1418" s="7" t="s">
        <v>1434</v>
      </c>
      <c r="M1418" s="7" t="s">
        <v>24</v>
      </c>
    </row>
    <row r="1419" spans="1:13" x14ac:dyDescent="0.3">
      <c r="A1419" s="7" t="str">
        <f>HYPERLINK("https://hsdes.intel.com/resource/14013161997","14013161997")</f>
        <v>14013161997</v>
      </c>
      <c r="B1419" s="7" t="s">
        <v>2565</v>
      </c>
      <c r="C1419" s="7" t="s">
        <v>1420</v>
      </c>
      <c r="D1419" s="7" t="s">
        <v>2566</v>
      </c>
      <c r="E1419" s="7" t="s">
        <v>11</v>
      </c>
      <c r="F1419" s="7"/>
      <c r="G1419" s="7" t="s">
        <v>1432</v>
      </c>
      <c r="H1419" s="7"/>
      <c r="I1419" s="7"/>
      <c r="J1419" s="7" t="s">
        <v>13</v>
      </c>
      <c r="K1419" s="7" t="s">
        <v>1433</v>
      </c>
      <c r="L1419" s="7" t="s">
        <v>1434</v>
      </c>
      <c r="M1419" s="7" t="s">
        <v>16</v>
      </c>
    </row>
    <row r="1420" spans="1:13" x14ac:dyDescent="0.3">
      <c r="A1420" s="7" t="str">
        <f>HYPERLINK("https://hsdes.intel.com/resource/14013162008","14013162008")</f>
        <v>14013162008</v>
      </c>
      <c r="B1420" s="7" t="s">
        <v>2567</v>
      </c>
      <c r="C1420" s="7" t="s">
        <v>1420</v>
      </c>
      <c r="D1420" s="7" t="s">
        <v>2568</v>
      </c>
      <c r="E1420" s="7" t="s">
        <v>11</v>
      </c>
      <c r="F1420" s="7"/>
      <c r="G1420" s="7" t="s">
        <v>1432</v>
      </c>
      <c r="H1420" s="7"/>
      <c r="I1420" s="10">
        <v>44756</v>
      </c>
      <c r="J1420" s="7" t="s">
        <v>13</v>
      </c>
      <c r="K1420" s="7" t="s">
        <v>1433</v>
      </c>
      <c r="L1420" s="7" t="s">
        <v>1434</v>
      </c>
      <c r="M1420" s="7" t="s">
        <v>16</v>
      </c>
    </row>
    <row r="1421" spans="1:13" x14ac:dyDescent="0.3">
      <c r="A1421" s="7" t="str">
        <f>HYPERLINK("https://hsdes.intel.com/resource/14013162045","14013162045")</f>
        <v>14013162045</v>
      </c>
      <c r="B1421" s="7" t="s">
        <v>2569</v>
      </c>
      <c r="C1421" s="7" t="s">
        <v>1420</v>
      </c>
      <c r="D1421" s="7" t="s">
        <v>2570</v>
      </c>
      <c r="E1421" s="7" t="s">
        <v>11</v>
      </c>
      <c r="F1421" s="7"/>
      <c r="G1421" s="7" t="s">
        <v>1432</v>
      </c>
      <c r="H1421" s="7"/>
      <c r="I1421" s="7"/>
      <c r="J1421" s="7" t="s">
        <v>13</v>
      </c>
      <c r="K1421" s="7" t="s">
        <v>1433</v>
      </c>
      <c r="L1421" s="7" t="s">
        <v>1434</v>
      </c>
      <c r="M1421" s="7" t="s">
        <v>21</v>
      </c>
    </row>
    <row r="1422" spans="1:13" x14ac:dyDescent="0.3">
      <c r="A1422" s="7" t="str">
        <f>HYPERLINK("https://hsdes.intel.com/resource/14013162048","14013162048")</f>
        <v>14013162048</v>
      </c>
      <c r="B1422" s="7" t="s">
        <v>2571</v>
      </c>
      <c r="C1422" s="7" t="s">
        <v>1420</v>
      </c>
      <c r="D1422" s="7" t="s">
        <v>2572</v>
      </c>
      <c r="E1422" s="7" t="s">
        <v>11</v>
      </c>
      <c r="F1422" s="7"/>
      <c r="G1422" s="7" t="s">
        <v>1432</v>
      </c>
      <c r="H1422" s="7"/>
      <c r="I1422" s="7"/>
      <c r="J1422" s="7" t="s">
        <v>13</v>
      </c>
      <c r="K1422" s="7" t="s">
        <v>1433</v>
      </c>
      <c r="L1422" s="7" t="s">
        <v>1434</v>
      </c>
      <c r="M1422" s="7" t="s">
        <v>21</v>
      </c>
    </row>
    <row r="1423" spans="1:13" x14ac:dyDescent="0.3">
      <c r="A1423" s="7" t="str">
        <f>HYPERLINK("https://hsdes.intel.com/resource/14013162068","14013162068")</f>
        <v>14013162068</v>
      </c>
      <c r="B1423" s="7" t="s">
        <v>1342</v>
      </c>
      <c r="C1423" s="7" t="s">
        <v>1420</v>
      </c>
      <c r="D1423" s="7" t="s">
        <v>1343</v>
      </c>
      <c r="E1423" s="7"/>
      <c r="F1423" s="7"/>
      <c r="G1423" s="7" t="s">
        <v>833</v>
      </c>
      <c r="H1423" s="7"/>
      <c r="I1423" s="7"/>
      <c r="J1423" s="7" t="s">
        <v>13</v>
      </c>
      <c r="K1423" s="7" t="s">
        <v>523</v>
      </c>
      <c r="L1423" s="7" t="s">
        <v>660</v>
      </c>
      <c r="M1423" s="7" t="s">
        <v>16</v>
      </c>
    </row>
    <row r="1424" spans="1:13" x14ac:dyDescent="0.3">
      <c r="A1424" s="7" t="str">
        <f>HYPERLINK("https://hsdes.intel.com/resource/14013162071","14013162071")</f>
        <v>14013162071</v>
      </c>
      <c r="B1424" s="7" t="s">
        <v>2573</v>
      </c>
      <c r="C1424" s="7" t="s">
        <v>1420</v>
      </c>
      <c r="D1424" s="7" t="s">
        <v>2574</v>
      </c>
      <c r="E1424" s="7" t="s">
        <v>11</v>
      </c>
      <c r="F1424" s="7"/>
      <c r="G1424" s="7" t="s">
        <v>1849</v>
      </c>
      <c r="H1424" s="7"/>
      <c r="I1424" s="10">
        <v>44755</v>
      </c>
      <c r="J1424" s="7" t="s">
        <v>13</v>
      </c>
      <c r="K1424" s="7" t="s">
        <v>14</v>
      </c>
      <c r="L1424" s="7" t="s">
        <v>88</v>
      </c>
      <c r="M1424" s="7" t="s">
        <v>16</v>
      </c>
    </row>
    <row r="1425" spans="1:13" x14ac:dyDescent="0.3">
      <c r="A1425" s="7" t="str">
        <f>HYPERLINK("https://hsdes.intel.com/resource/14013162075","14013162075")</f>
        <v>14013162075</v>
      </c>
      <c r="B1425" s="7" t="s">
        <v>2575</v>
      </c>
      <c r="C1425" s="7" t="s">
        <v>1420</v>
      </c>
      <c r="D1425" s="7" t="s">
        <v>2576</v>
      </c>
      <c r="E1425" s="7" t="s">
        <v>11</v>
      </c>
      <c r="F1425" s="7"/>
      <c r="G1425" s="7" t="s">
        <v>1447</v>
      </c>
      <c r="H1425" s="7"/>
      <c r="I1425" s="10">
        <v>44763</v>
      </c>
      <c r="J1425" s="7" t="s">
        <v>13</v>
      </c>
      <c r="K1425" s="7" t="s">
        <v>14</v>
      </c>
      <c r="L1425" s="7" t="s">
        <v>88</v>
      </c>
      <c r="M1425" s="7" t="s">
        <v>16</v>
      </c>
    </row>
    <row r="1426" spans="1:13" x14ac:dyDescent="0.3">
      <c r="A1426" s="7" t="str">
        <f>HYPERLINK("https://hsdes.intel.com/resource/14013162084","14013162084")</f>
        <v>14013162084</v>
      </c>
      <c r="B1426" s="7" t="s">
        <v>2577</v>
      </c>
      <c r="C1426" s="7" t="s">
        <v>1420</v>
      </c>
      <c r="D1426" s="7" t="s">
        <v>2578</v>
      </c>
      <c r="E1426" s="7" t="s">
        <v>11</v>
      </c>
      <c r="F1426" s="7"/>
      <c r="G1426" s="7" t="s">
        <v>1447</v>
      </c>
      <c r="H1426" s="7"/>
      <c r="I1426" s="10">
        <v>44763</v>
      </c>
      <c r="J1426" s="7" t="s">
        <v>13</v>
      </c>
      <c r="K1426" s="7" t="s">
        <v>14</v>
      </c>
      <c r="L1426" s="7" t="s">
        <v>88</v>
      </c>
      <c r="M1426" s="7" t="s">
        <v>16</v>
      </c>
    </row>
    <row r="1427" spans="1:13" x14ac:dyDescent="0.3">
      <c r="A1427" s="7" t="str">
        <f>HYPERLINK("https://hsdes.intel.com/resource/14013162087","14013162087")</f>
        <v>14013162087</v>
      </c>
      <c r="B1427" s="7" t="s">
        <v>2579</v>
      </c>
      <c r="C1427" s="7" t="s">
        <v>1420</v>
      </c>
      <c r="D1427" s="7" t="s">
        <v>2580</v>
      </c>
      <c r="E1427" s="7" t="s">
        <v>11</v>
      </c>
      <c r="F1427" s="7"/>
      <c r="G1427" s="7" t="s">
        <v>1447</v>
      </c>
      <c r="H1427" s="7"/>
      <c r="I1427" s="10">
        <v>44763</v>
      </c>
      <c r="J1427" s="7" t="s">
        <v>13</v>
      </c>
      <c r="K1427" s="7" t="s">
        <v>14</v>
      </c>
      <c r="L1427" s="7" t="s">
        <v>88</v>
      </c>
      <c r="M1427" s="7" t="s">
        <v>16</v>
      </c>
    </row>
    <row r="1428" spans="1:13" ht="15" x14ac:dyDescent="0.35">
      <c r="A1428" s="7" t="str">
        <f>HYPERLINK("https://hsdes.intel.com/resource/14013162123","14013162123")</f>
        <v>14013162123</v>
      </c>
      <c r="B1428" s="7" t="s">
        <v>2581</v>
      </c>
      <c r="C1428" s="7" t="s">
        <v>1420</v>
      </c>
      <c r="D1428" s="7" t="s">
        <v>2582</v>
      </c>
      <c r="E1428" s="7" t="s">
        <v>87</v>
      </c>
      <c r="F1428" s="26" t="s">
        <v>1618</v>
      </c>
      <c r="G1428" s="7" t="s">
        <v>1605</v>
      </c>
      <c r="H1428" s="7"/>
      <c r="I1428" s="10">
        <v>44762</v>
      </c>
      <c r="J1428" s="7" t="s">
        <v>13</v>
      </c>
      <c r="K1428" s="7" t="s">
        <v>67</v>
      </c>
      <c r="L1428" s="7" t="s">
        <v>68</v>
      </c>
      <c r="M1428" s="7" t="s">
        <v>21</v>
      </c>
    </row>
    <row r="1429" spans="1:13" ht="15" x14ac:dyDescent="0.35">
      <c r="A1429" s="7" t="str">
        <f>HYPERLINK("https://hsdes.intel.com/resource/14013162139","14013162139")</f>
        <v>14013162139</v>
      </c>
      <c r="B1429" s="7" t="s">
        <v>2583</v>
      </c>
      <c r="C1429" s="7" t="s">
        <v>1420</v>
      </c>
      <c r="D1429" s="7" t="s">
        <v>2584</v>
      </c>
      <c r="E1429" s="7" t="s">
        <v>87</v>
      </c>
      <c r="F1429" s="26" t="s">
        <v>1618</v>
      </c>
      <c r="G1429" s="7" t="s">
        <v>1605</v>
      </c>
      <c r="H1429" s="7"/>
      <c r="I1429" s="10">
        <v>44762</v>
      </c>
      <c r="J1429" s="7" t="s">
        <v>13</v>
      </c>
      <c r="K1429" s="7" t="s">
        <v>67</v>
      </c>
      <c r="L1429" s="7" t="s">
        <v>68</v>
      </c>
      <c r="M1429" s="7" t="s">
        <v>21</v>
      </c>
    </row>
    <row r="1430" spans="1:13" ht="15" x14ac:dyDescent="0.35">
      <c r="A1430" s="7" t="str">
        <f>HYPERLINK("https://hsdes.intel.com/resource/14013162142","14013162142")</f>
        <v>14013162142</v>
      </c>
      <c r="B1430" s="7" t="s">
        <v>2585</v>
      </c>
      <c r="C1430" s="7" t="s">
        <v>1420</v>
      </c>
      <c r="D1430" s="7" t="s">
        <v>2586</v>
      </c>
      <c r="E1430" s="7" t="s">
        <v>87</v>
      </c>
      <c r="F1430" s="26" t="s">
        <v>1618</v>
      </c>
      <c r="G1430" s="7" t="s">
        <v>1605</v>
      </c>
      <c r="H1430" s="7"/>
      <c r="I1430" s="10">
        <v>44762</v>
      </c>
      <c r="J1430" s="7" t="s">
        <v>13</v>
      </c>
      <c r="K1430" s="7" t="s">
        <v>67</v>
      </c>
      <c r="L1430" s="7" t="s">
        <v>68</v>
      </c>
      <c r="M1430" s="7" t="s">
        <v>24</v>
      </c>
    </row>
    <row r="1431" spans="1:13" ht="15" x14ac:dyDescent="0.35">
      <c r="A1431" s="7" t="str">
        <f>HYPERLINK("https://hsdes.intel.com/resource/14013162181","14013162181")</f>
        <v>14013162181</v>
      </c>
      <c r="B1431" s="7" t="s">
        <v>2587</v>
      </c>
      <c r="C1431" s="7" t="s">
        <v>1420</v>
      </c>
      <c r="D1431" s="7" t="s">
        <v>2588</v>
      </c>
      <c r="E1431" s="7" t="s">
        <v>87</v>
      </c>
      <c r="F1431" s="26" t="s">
        <v>1618</v>
      </c>
      <c r="G1431" s="7" t="s">
        <v>1605</v>
      </c>
      <c r="H1431" s="7"/>
      <c r="I1431" s="10">
        <v>44762</v>
      </c>
      <c r="J1431" s="7" t="s">
        <v>13</v>
      </c>
      <c r="K1431" s="7" t="s">
        <v>67</v>
      </c>
      <c r="L1431" s="7" t="s">
        <v>68</v>
      </c>
      <c r="M1431" s="7" t="s">
        <v>21</v>
      </c>
    </row>
    <row r="1432" spans="1:13" ht="15" x14ac:dyDescent="0.35">
      <c r="A1432" s="7" t="str">
        <f>HYPERLINK("https://hsdes.intel.com/resource/14013162184","14013162184")</f>
        <v>14013162184</v>
      </c>
      <c r="B1432" s="7" t="s">
        <v>2589</v>
      </c>
      <c r="C1432" s="7" t="s">
        <v>1420</v>
      </c>
      <c r="D1432" s="7" t="s">
        <v>2590</v>
      </c>
      <c r="E1432" s="7" t="s">
        <v>87</v>
      </c>
      <c r="F1432" s="26" t="s">
        <v>1618</v>
      </c>
      <c r="G1432" s="7" t="s">
        <v>1605</v>
      </c>
      <c r="H1432" s="7"/>
      <c r="I1432" s="10">
        <v>44762</v>
      </c>
      <c r="J1432" s="7" t="s">
        <v>13</v>
      </c>
      <c r="K1432" s="7" t="s">
        <v>67</v>
      </c>
      <c r="L1432" s="7" t="s">
        <v>68</v>
      </c>
      <c r="M1432" s="7" t="s">
        <v>21</v>
      </c>
    </row>
    <row r="1433" spans="1:13" ht="15" x14ac:dyDescent="0.35">
      <c r="A1433" s="7" t="str">
        <f>HYPERLINK("https://hsdes.intel.com/resource/14013162195","14013162195")</f>
        <v>14013162195</v>
      </c>
      <c r="B1433" s="7" t="s">
        <v>2591</v>
      </c>
      <c r="C1433" s="7" t="s">
        <v>1420</v>
      </c>
      <c r="D1433" s="7" t="s">
        <v>2592</v>
      </c>
      <c r="E1433" s="7" t="s">
        <v>87</v>
      </c>
      <c r="F1433" s="26" t="s">
        <v>1618</v>
      </c>
      <c r="G1433" s="7" t="s">
        <v>1605</v>
      </c>
      <c r="H1433" s="7"/>
      <c r="I1433" s="10">
        <v>44762</v>
      </c>
      <c r="J1433" s="7" t="s">
        <v>13</v>
      </c>
      <c r="K1433" s="7" t="s">
        <v>67</v>
      </c>
      <c r="L1433" s="7" t="s">
        <v>68</v>
      </c>
      <c r="M1433" s="7" t="s">
        <v>21</v>
      </c>
    </row>
    <row r="1434" spans="1:13" ht="15" x14ac:dyDescent="0.35">
      <c r="A1434" s="7" t="str">
        <f>HYPERLINK("https://hsdes.intel.com/resource/14013162197","14013162197")</f>
        <v>14013162197</v>
      </c>
      <c r="B1434" s="7" t="s">
        <v>2593</v>
      </c>
      <c r="C1434" s="7" t="s">
        <v>1420</v>
      </c>
      <c r="D1434" s="7" t="s">
        <v>2594</v>
      </c>
      <c r="E1434" s="7" t="s">
        <v>87</v>
      </c>
      <c r="F1434" s="26" t="s">
        <v>1618</v>
      </c>
      <c r="G1434" s="7" t="s">
        <v>1605</v>
      </c>
      <c r="H1434" s="7"/>
      <c r="I1434" s="10">
        <v>44762</v>
      </c>
      <c r="J1434" s="7" t="s">
        <v>13</v>
      </c>
      <c r="K1434" s="7" t="s">
        <v>67</v>
      </c>
      <c r="L1434" s="7" t="s">
        <v>68</v>
      </c>
      <c r="M1434" s="7" t="s">
        <v>21</v>
      </c>
    </row>
    <row r="1435" spans="1:13" ht="15" x14ac:dyDescent="0.35">
      <c r="A1435" s="7" t="str">
        <f>HYPERLINK("https://hsdes.intel.com/resource/14013162199","14013162199")</f>
        <v>14013162199</v>
      </c>
      <c r="B1435" s="7" t="s">
        <v>2595</v>
      </c>
      <c r="C1435" s="7" t="s">
        <v>1420</v>
      </c>
      <c r="D1435" s="7" t="s">
        <v>2596</v>
      </c>
      <c r="E1435" s="7" t="s">
        <v>87</v>
      </c>
      <c r="F1435" s="26" t="s">
        <v>1618</v>
      </c>
      <c r="G1435" s="7" t="s">
        <v>1605</v>
      </c>
      <c r="H1435" s="7"/>
      <c r="I1435" s="10">
        <v>44762</v>
      </c>
      <c r="J1435" s="7" t="s">
        <v>13</v>
      </c>
      <c r="K1435" s="7" t="s">
        <v>67</v>
      </c>
      <c r="L1435" s="7" t="s">
        <v>68</v>
      </c>
      <c r="M1435" s="7" t="s">
        <v>21</v>
      </c>
    </row>
    <row r="1436" spans="1:13" ht="15" x14ac:dyDescent="0.35">
      <c r="A1436" s="7" t="str">
        <f>HYPERLINK("https://hsdes.intel.com/resource/14013162203","14013162203")</f>
        <v>14013162203</v>
      </c>
      <c r="B1436" s="7" t="s">
        <v>2597</v>
      </c>
      <c r="C1436" s="7" t="s">
        <v>1420</v>
      </c>
      <c r="D1436" s="7" t="s">
        <v>2598</v>
      </c>
      <c r="E1436" s="7" t="s">
        <v>87</v>
      </c>
      <c r="F1436" s="26" t="s">
        <v>1618</v>
      </c>
      <c r="G1436" s="7" t="s">
        <v>1605</v>
      </c>
      <c r="H1436" s="7"/>
      <c r="I1436" s="10">
        <v>44762</v>
      </c>
      <c r="J1436" s="7" t="s">
        <v>13</v>
      </c>
      <c r="K1436" s="7" t="s">
        <v>67</v>
      </c>
      <c r="L1436" s="7" t="s">
        <v>68</v>
      </c>
      <c r="M1436" s="7" t="s">
        <v>21</v>
      </c>
    </row>
    <row r="1437" spans="1:13" ht="15" x14ac:dyDescent="0.35">
      <c r="A1437" s="7" t="str">
        <f>HYPERLINK("https://hsdes.intel.com/resource/14013162215","14013162215")</f>
        <v>14013162215</v>
      </c>
      <c r="B1437" s="7" t="s">
        <v>2599</v>
      </c>
      <c r="C1437" s="7" t="s">
        <v>1420</v>
      </c>
      <c r="D1437" s="7" t="s">
        <v>2600</v>
      </c>
      <c r="E1437" s="7" t="s">
        <v>87</v>
      </c>
      <c r="F1437" s="26" t="s">
        <v>1618</v>
      </c>
      <c r="G1437" s="7" t="s">
        <v>1605</v>
      </c>
      <c r="H1437" s="7"/>
      <c r="I1437" s="10">
        <v>44762</v>
      </c>
      <c r="J1437" s="7" t="s">
        <v>13</v>
      </c>
      <c r="K1437" s="7" t="s">
        <v>67</v>
      </c>
      <c r="L1437" s="7" t="s">
        <v>68</v>
      </c>
      <c r="M1437" s="7" t="s">
        <v>21</v>
      </c>
    </row>
    <row r="1438" spans="1:13" ht="15" x14ac:dyDescent="0.35">
      <c r="A1438" s="7" t="str">
        <f>HYPERLINK("https://hsdes.intel.com/resource/14013162222","14013162222")</f>
        <v>14013162222</v>
      </c>
      <c r="B1438" s="7" t="s">
        <v>2601</v>
      </c>
      <c r="C1438" s="7" t="s">
        <v>1420</v>
      </c>
      <c r="D1438" s="7" t="s">
        <v>2602</v>
      </c>
      <c r="E1438" s="7" t="s">
        <v>87</v>
      </c>
      <c r="F1438" s="26" t="s">
        <v>1618</v>
      </c>
      <c r="G1438" s="7" t="s">
        <v>1605</v>
      </c>
      <c r="H1438" s="7"/>
      <c r="I1438" s="10">
        <v>44762</v>
      </c>
      <c r="J1438" s="7" t="s">
        <v>13</v>
      </c>
      <c r="K1438" s="7" t="s">
        <v>67</v>
      </c>
      <c r="L1438" s="7" t="s">
        <v>68</v>
      </c>
      <c r="M1438" s="7" t="s">
        <v>21</v>
      </c>
    </row>
    <row r="1439" spans="1:13" x14ac:dyDescent="0.3">
      <c r="A1439" s="7" t="str">
        <f>HYPERLINK("https://hsdes.intel.com/resource/14013162369","14013162369")</f>
        <v>14013162369</v>
      </c>
      <c r="B1439" s="7" t="s">
        <v>2603</v>
      </c>
      <c r="C1439" s="7" t="s">
        <v>1420</v>
      </c>
      <c r="D1439" s="7" t="s">
        <v>2604</v>
      </c>
      <c r="E1439" s="7" t="s">
        <v>11</v>
      </c>
      <c r="F1439" s="7"/>
      <c r="G1439" s="7" t="s">
        <v>1447</v>
      </c>
      <c r="H1439" s="7"/>
      <c r="I1439" s="10">
        <v>44757</v>
      </c>
      <c r="J1439" s="7" t="s">
        <v>13</v>
      </c>
      <c r="K1439" s="7" t="s">
        <v>523</v>
      </c>
      <c r="L1439" s="7" t="s">
        <v>660</v>
      </c>
      <c r="M1439" s="7" t="s">
        <v>16</v>
      </c>
    </row>
    <row r="1440" spans="1:13" x14ac:dyDescent="0.3">
      <c r="A1440" s="7" t="str">
        <f>HYPERLINK("https://hsdes.intel.com/resource/14013162402","14013162402")</f>
        <v>14013162402</v>
      </c>
      <c r="B1440" s="7" t="s">
        <v>2605</v>
      </c>
      <c r="C1440" s="7" t="s">
        <v>1420</v>
      </c>
      <c r="D1440" s="7" t="s">
        <v>2606</v>
      </c>
      <c r="E1440" s="7" t="s">
        <v>838</v>
      </c>
      <c r="F1440" s="7" t="s">
        <v>2607</v>
      </c>
      <c r="G1440" s="7" t="s">
        <v>345</v>
      </c>
      <c r="H1440" s="7"/>
      <c r="I1440" s="10">
        <v>44757</v>
      </c>
      <c r="J1440" s="7" t="s">
        <v>13</v>
      </c>
      <c r="K1440" s="7" t="s">
        <v>93</v>
      </c>
      <c r="L1440" s="7" t="s">
        <v>94</v>
      </c>
      <c r="M1440" s="7" t="s">
        <v>16</v>
      </c>
    </row>
    <row r="1441" spans="1:13" x14ac:dyDescent="0.3">
      <c r="A1441" s="7" t="str">
        <f>HYPERLINK("https://hsdes.intel.com/resource/14013162522","14013162522")</f>
        <v>14013162522</v>
      </c>
      <c r="B1441" s="7" t="s">
        <v>2608</v>
      </c>
      <c r="C1441" s="7" t="s">
        <v>1420</v>
      </c>
      <c r="D1441" s="7" t="s">
        <v>2609</v>
      </c>
      <c r="E1441" s="7" t="s">
        <v>11</v>
      </c>
      <c r="F1441" s="7"/>
      <c r="G1441" s="7" t="s">
        <v>1849</v>
      </c>
      <c r="H1441" s="7"/>
      <c r="I1441" s="10">
        <v>44754</v>
      </c>
      <c r="J1441" s="7" t="s">
        <v>13</v>
      </c>
      <c r="K1441" s="7" t="s">
        <v>14</v>
      </c>
      <c r="L1441" s="7" t="s">
        <v>88</v>
      </c>
      <c r="M1441" s="7" t="s">
        <v>16</v>
      </c>
    </row>
    <row r="1442" spans="1:13" x14ac:dyDescent="0.3">
      <c r="A1442" s="7" t="str">
        <f>HYPERLINK("https://hsdes.intel.com/resource/14013162568","14013162568")</f>
        <v>14013162568</v>
      </c>
      <c r="B1442" s="7" t="s">
        <v>2610</v>
      </c>
      <c r="C1442" s="7" t="s">
        <v>1420</v>
      </c>
      <c r="D1442" s="7" t="s">
        <v>2611</v>
      </c>
      <c r="E1442" s="7" t="s">
        <v>11</v>
      </c>
      <c r="F1442" s="7"/>
      <c r="G1442" s="7" t="s">
        <v>1432</v>
      </c>
      <c r="H1442" s="7"/>
      <c r="I1442" s="10">
        <v>44755</v>
      </c>
      <c r="J1442" s="7" t="s">
        <v>13</v>
      </c>
      <c r="K1442" s="7" t="s">
        <v>1433</v>
      </c>
      <c r="L1442" s="7" t="s">
        <v>1434</v>
      </c>
      <c r="M1442" s="7" t="s">
        <v>16</v>
      </c>
    </row>
    <row r="1443" spans="1:13" x14ac:dyDescent="0.3">
      <c r="A1443" s="7" t="str">
        <f>HYPERLINK("https://hsdes.intel.com/resource/14013162580","14013162580")</f>
        <v>14013162580</v>
      </c>
      <c r="B1443" s="7" t="s">
        <v>2612</v>
      </c>
      <c r="C1443" s="7" t="s">
        <v>1420</v>
      </c>
      <c r="D1443" s="7" t="s">
        <v>2613</v>
      </c>
      <c r="E1443" s="7" t="s">
        <v>11</v>
      </c>
      <c r="F1443" s="7"/>
      <c r="G1443" s="7" t="s">
        <v>1849</v>
      </c>
      <c r="H1443" s="7"/>
      <c r="I1443" s="10">
        <v>44755</v>
      </c>
      <c r="J1443" s="7" t="s">
        <v>13</v>
      </c>
      <c r="K1443" s="7" t="s">
        <v>14</v>
      </c>
      <c r="L1443" s="7" t="s">
        <v>88</v>
      </c>
      <c r="M1443" s="7" t="s">
        <v>16</v>
      </c>
    </row>
    <row r="1444" spans="1:13" x14ac:dyDescent="0.3">
      <c r="A1444" s="7" t="str">
        <f>HYPERLINK("https://hsdes.intel.com/resource/14013162583","14013162583")</f>
        <v>14013162583</v>
      </c>
      <c r="B1444" s="7" t="s">
        <v>2614</v>
      </c>
      <c r="C1444" s="7" t="s">
        <v>1420</v>
      </c>
      <c r="D1444" s="7" t="s">
        <v>2615</v>
      </c>
      <c r="E1444" s="7" t="s">
        <v>11</v>
      </c>
      <c r="F1444" s="7"/>
      <c r="G1444" s="7" t="s">
        <v>1429</v>
      </c>
      <c r="H1444" s="7"/>
      <c r="I1444" s="10">
        <v>44755</v>
      </c>
      <c r="J1444" s="7" t="s">
        <v>13</v>
      </c>
      <c r="K1444" s="7" t="s">
        <v>45</v>
      </c>
      <c r="L1444" s="7" t="s">
        <v>544</v>
      </c>
      <c r="M1444" s="7" t="s">
        <v>24</v>
      </c>
    </row>
    <row r="1445" spans="1:13" x14ac:dyDescent="0.3">
      <c r="A1445" s="7" t="str">
        <f>HYPERLINK("https://hsdes.intel.com/resource/14013162766","14013162766")</f>
        <v>14013162766</v>
      </c>
      <c r="B1445" s="7" t="s">
        <v>2616</v>
      </c>
      <c r="C1445" s="7" t="s">
        <v>1420</v>
      </c>
      <c r="D1445" s="7" t="s">
        <v>2617</v>
      </c>
      <c r="E1445" s="7" t="s">
        <v>11</v>
      </c>
      <c r="F1445" s="7"/>
      <c r="G1445" s="7" t="s">
        <v>1770</v>
      </c>
      <c r="H1445" s="7"/>
      <c r="I1445" s="10">
        <v>44761</v>
      </c>
      <c r="J1445" s="7" t="s">
        <v>13</v>
      </c>
      <c r="K1445" s="7" t="s">
        <v>14</v>
      </c>
      <c r="L1445" s="7" t="s">
        <v>88</v>
      </c>
      <c r="M1445" s="7" t="s">
        <v>16</v>
      </c>
    </row>
    <row r="1446" spans="1:13" x14ac:dyDescent="0.3">
      <c r="A1446" s="7" t="str">
        <f>HYPERLINK("https://hsdes.intel.com/resource/14013162768","14013162768")</f>
        <v>14013162768</v>
      </c>
      <c r="B1446" s="7" t="s">
        <v>2618</v>
      </c>
      <c r="C1446" s="7" t="s">
        <v>1420</v>
      </c>
      <c r="D1446" s="7" t="s">
        <v>2619</v>
      </c>
      <c r="E1446" s="7" t="s">
        <v>11</v>
      </c>
      <c r="F1446" s="7"/>
      <c r="G1446" s="7" t="s">
        <v>1770</v>
      </c>
      <c r="H1446" s="7"/>
      <c r="I1446" s="10">
        <v>44761</v>
      </c>
      <c r="J1446" s="7" t="s">
        <v>13</v>
      </c>
      <c r="K1446" s="7" t="s">
        <v>14</v>
      </c>
      <c r="L1446" s="7" t="s">
        <v>88</v>
      </c>
      <c r="M1446" s="7" t="s">
        <v>16</v>
      </c>
    </row>
    <row r="1447" spans="1:13" x14ac:dyDescent="0.3">
      <c r="A1447" s="7" t="str">
        <f>HYPERLINK("https://hsdes.intel.com/resource/14013162773","14013162773")</f>
        <v>14013162773</v>
      </c>
      <c r="B1447" s="7" t="s">
        <v>2620</v>
      </c>
      <c r="C1447" s="7" t="s">
        <v>1420</v>
      </c>
      <c r="D1447" s="7" t="s">
        <v>2621</v>
      </c>
      <c r="E1447" s="7" t="s">
        <v>11</v>
      </c>
      <c r="F1447" s="7"/>
      <c r="G1447" s="7" t="s">
        <v>1770</v>
      </c>
      <c r="H1447" s="7"/>
      <c r="I1447" s="10">
        <v>44761</v>
      </c>
      <c r="J1447" s="7" t="s">
        <v>13</v>
      </c>
      <c r="K1447" s="7" t="s">
        <v>14</v>
      </c>
      <c r="L1447" s="7" t="s">
        <v>88</v>
      </c>
      <c r="M1447" s="7" t="s">
        <v>16</v>
      </c>
    </row>
    <row r="1448" spans="1:13" x14ac:dyDescent="0.3">
      <c r="A1448" s="7" t="str">
        <f>HYPERLINK("https://hsdes.intel.com/resource/14013162777","14013162777")</f>
        <v>14013162777</v>
      </c>
      <c r="B1448" s="7" t="s">
        <v>2622</v>
      </c>
      <c r="C1448" s="7" t="s">
        <v>1420</v>
      </c>
      <c r="D1448" s="7" t="s">
        <v>2623</v>
      </c>
      <c r="E1448" s="7" t="s">
        <v>11</v>
      </c>
      <c r="F1448" s="7"/>
      <c r="G1448" s="7" t="s">
        <v>1770</v>
      </c>
      <c r="H1448" s="7"/>
      <c r="I1448" s="10">
        <v>44761</v>
      </c>
      <c r="J1448" s="7" t="s">
        <v>13</v>
      </c>
      <c r="K1448" s="7" t="s">
        <v>14</v>
      </c>
      <c r="L1448" s="7" t="s">
        <v>88</v>
      </c>
      <c r="M1448" s="7" t="s">
        <v>16</v>
      </c>
    </row>
    <row r="1449" spans="1:13" x14ac:dyDescent="0.3">
      <c r="A1449" s="7" t="str">
        <f>HYPERLINK("https://hsdes.intel.com/resource/14013162780","14013162780")</f>
        <v>14013162780</v>
      </c>
      <c r="B1449" s="7" t="s">
        <v>2624</v>
      </c>
      <c r="C1449" s="7" t="s">
        <v>1420</v>
      </c>
      <c r="D1449" s="7" t="s">
        <v>2625</v>
      </c>
      <c r="E1449" s="7" t="s">
        <v>11</v>
      </c>
      <c r="F1449" s="7"/>
      <c r="G1449" s="7" t="s">
        <v>1770</v>
      </c>
      <c r="H1449" s="7"/>
      <c r="I1449" s="10">
        <v>44761</v>
      </c>
      <c r="J1449" s="7" t="s">
        <v>13</v>
      </c>
      <c r="K1449" s="7" t="s">
        <v>14</v>
      </c>
      <c r="L1449" s="7" t="s">
        <v>88</v>
      </c>
      <c r="M1449" s="7" t="s">
        <v>16</v>
      </c>
    </row>
    <row r="1450" spans="1:13" x14ac:dyDescent="0.3">
      <c r="A1450" s="7" t="str">
        <f>HYPERLINK("https://hsdes.intel.com/resource/14013162786","14013162786")</f>
        <v>14013162786</v>
      </c>
      <c r="B1450" s="7" t="s">
        <v>2626</v>
      </c>
      <c r="C1450" s="7" t="s">
        <v>1420</v>
      </c>
      <c r="D1450" s="7" t="s">
        <v>2627</v>
      </c>
      <c r="E1450" s="7" t="s">
        <v>11</v>
      </c>
      <c r="F1450" s="7"/>
      <c r="G1450" s="7" t="s">
        <v>1770</v>
      </c>
      <c r="H1450" s="7"/>
      <c r="I1450" s="10">
        <v>44761</v>
      </c>
      <c r="J1450" s="7" t="s">
        <v>13</v>
      </c>
      <c r="K1450" s="7" t="s">
        <v>14</v>
      </c>
      <c r="L1450" s="7" t="s">
        <v>88</v>
      </c>
      <c r="M1450" s="7" t="s">
        <v>16</v>
      </c>
    </row>
    <row r="1451" spans="1:13" x14ac:dyDescent="0.3">
      <c r="A1451" s="7" t="str">
        <f>HYPERLINK("https://hsdes.intel.com/resource/14013162791","14013162791")</f>
        <v>14013162791</v>
      </c>
      <c r="B1451" s="7" t="s">
        <v>2628</v>
      </c>
      <c r="C1451" s="7" t="s">
        <v>1420</v>
      </c>
      <c r="D1451" s="7" t="s">
        <v>2629</v>
      </c>
      <c r="E1451" s="7" t="s">
        <v>11</v>
      </c>
      <c r="F1451" s="7"/>
      <c r="G1451" s="7" t="s">
        <v>1770</v>
      </c>
      <c r="H1451" s="7"/>
      <c r="I1451" s="10">
        <v>44761</v>
      </c>
      <c r="J1451" s="7" t="s">
        <v>13</v>
      </c>
      <c r="K1451" s="7" t="s">
        <v>14</v>
      </c>
      <c r="L1451" s="7" t="s">
        <v>88</v>
      </c>
      <c r="M1451" s="7" t="s">
        <v>16</v>
      </c>
    </row>
    <row r="1452" spans="1:13" x14ac:dyDescent="0.3">
      <c r="A1452" s="7" t="str">
        <f>HYPERLINK("https://hsdes.intel.com/resource/14013162806","14013162806")</f>
        <v>14013162806</v>
      </c>
      <c r="B1452" s="7" t="s">
        <v>2630</v>
      </c>
      <c r="C1452" s="7" t="s">
        <v>1420</v>
      </c>
      <c r="D1452" s="7" t="s">
        <v>2631</v>
      </c>
      <c r="E1452" s="7" t="s">
        <v>11</v>
      </c>
      <c r="F1452" s="7"/>
      <c r="G1452" s="7" t="s">
        <v>1770</v>
      </c>
      <c r="H1452" s="7"/>
      <c r="I1452" s="10">
        <v>44761</v>
      </c>
      <c r="J1452" s="7" t="s">
        <v>13</v>
      </c>
      <c r="K1452" s="7" t="s">
        <v>14</v>
      </c>
      <c r="L1452" s="7" t="s">
        <v>88</v>
      </c>
      <c r="M1452" s="7" t="s">
        <v>16</v>
      </c>
    </row>
    <row r="1453" spans="1:13" x14ac:dyDescent="0.3">
      <c r="A1453" s="7" t="str">
        <f>HYPERLINK("https://hsdes.intel.com/resource/14013162831","14013162831")</f>
        <v>14013162831</v>
      </c>
      <c r="B1453" s="7" t="s">
        <v>1133</v>
      </c>
      <c r="C1453" s="7" t="s">
        <v>1420</v>
      </c>
      <c r="D1453" s="7" t="s">
        <v>1134</v>
      </c>
      <c r="E1453" s="7"/>
      <c r="F1453" s="7"/>
      <c r="G1453" s="7" t="s">
        <v>833</v>
      </c>
      <c r="H1453" s="7"/>
      <c r="I1453" s="7"/>
      <c r="J1453" s="7" t="s">
        <v>192</v>
      </c>
      <c r="K1453" s="7" t="s">
        <v>19</v>
      </c>
      <c r="L1453" s="7" t="s">
        <v>20</v>
      </c>
      <c r="M1453" s="7" t="s">
        <v>21</v>
      </c>
    </row>
    <row r="1454" spans="1:13" x14ac:dyDescent="0.3">
      <c r="A1454" s="7" t="str">
        <f>HYPERLINK("https://hsdes.intel.com/resource/14013162835","14013162835")</f>
        <v>14013162835</v>
      </c>
      <c r="B1454" s="7" t="s">
        <v>1137</v>
      </c>
      <c r="C1454" s="7" t="s">
        <v>1420</v>
      </c>
      <c r="D1454" s="7" t="s">
        <v>1138</v>
      </c>
      <c r="E1454" s="7"/>
      <c r="F1454" s="7"/>
      <c r="G1454" s="7" t="s">
        <v>833</v>
      </c>
      <c r="H1454" s="7"/>
      <c r="I1454" s="7"/>
      <c r="J1454" s="7" t="s">
        <v>192</v>
      </c>
      <c r="K1454" s="7" t="s">
        <v>19</v>
      </c>
      <c r="L1454" s="7" t="s">
        <v>20</v>
      </c>
      <c r="M1454" s="7" t="s">
        <v>24</v>
      </c>
    </row>
    <row r="1455" spans="1:13" x14ac:dyDescent="0.3">
      <c r="A1455" s="7" t="str">
        <f>HYPERLINK("https://hsdes.intel.com/resource/14013162840","14013162840")</f>
        <v>14013162840</v>
      </c>
      <c r="B1455" s="7" t="s">
        <v>1140</v>
      </c>
      <c r="C1455" s="7" t="s">
        <v>1420</v>
      </c>
      <c r="D1455" s="7" t="s">
        <v>1141</v>
      </c>
      <c r="E1455" s="7"/>
      <c r="F1455" s="7"/>
      <c r="G1455" s="7" t="s">
        <v>833</v>
      </c>
      <c r="H1455" s="7"/>
      <c r="I1455" s="7"/>
      <c r="J1455" s="7" t="s">
        <v>192</v>
      </c>
      <c r="K1455" s="7" t="s">
        <v>19</v>
      </c>
      <c r="L1455" s="7" t="s">
        <v>20</v>
      </c>
      <c r="M1455" s="7" t="s">
        <v>24</v>
      </c>
    </row>
    <row r="1456" spans="1:13" x14ac:dyDescent="0.3">
      <c r="A1456" s="7" t="str">
        <f>HYPERLINK("https://hsdes.intel.com/resource/14013162849","14013162849")</f>
        <v>14013162849</v>
      </c>
      <c r="B1456" s="7" t="s">
        <v>1142</v>
      </c>
      <c r="C1456" s="7" t="s">
        <v>1420</v>
      </c>
      <c r="D1456" s="7" t="s">
        <v>1143</v>
      </c>
      <c r="E1456" s="7"/>
      <c r="F1456" s="7"/>
      <c r="G1456" s="7" t="s">
        <v>833</v>
      </c>
      <c r="H1456" s="7"/>
      <c r="I1456" s="7"/>
      <c r="J1456" s="7" t="s">
        <v>192</v>
      </c>
      <c r="K1456" s="7" t="s">
        <v>19</v>
      </c>
      <c r="L1456" s="7" t="s">
        <v>20</v>
      </c>
      <c r="M1456" s="7" t="s">
        <v>21</v>
      </c>
    </row>
    <row r="1457" spans="1:14" x14ac:dyDescent="0.3">
      <c r="A1457" s="7" t="str">
        <f>HYPERLINK("https://hsdes.intel.com/resource/14013162864","14013162864")</f>
        <v>14013162864</v>
      </c>
      <c r="B1457" s="7" t="s">
        <v>2632</v>
      </c>
      <c r="C1457" s="7" t="s">
        <v>1420</v>
      </c>
      <c r="D1457" s="7" t="s">
        <v>2633</v>
      </c>
      <c r="E1457" s="7" t="s">
        <v>1185</v>
      </c>
      <c r="F1457" s="7"/>
      <c r="G1457" s="7" t="s">
        <v>1605</v>
      </c>
      <c r="H1457" s="7"/>
      <c r="I1457" s="7"/>
      <c r="J1457" s="7" t="s">
        <v>13</v>
      </c>
      <c r="K1457" s="7" t="s">
        <v>45</v>
      </c>
      <c r="L1457" s="7" t="s">
        <v>581</v>
      </c>
      <c r="M1457" s="7" t="s">
        <v>16</v>
      </c>
    </row>
    <row r="1458" spans="1:14" x14ac:dyDescent="0.3">
      <c r="A1458" s="7" t="str">
        <f>HYPERLINK("https://hsdes.intel.com/resource/14013162900","14013162900")</f>
        <v>14013162900</v>
      </c>
      <c r="B1458" s="7" t="s">
        <v>1145</v>
      </c>
      <c r="C1458" s="7" t="s">
        <v>1420</v>
      </c>
      <c r="D1458" s="7" t="s">
        <v>1146</v>
      </c>
      <c r="E1458" s="7"/>
      <c r="F1458" s="7"/>
      <c r="G1458" s="7" t="s">
        <v>833</v>
      </c>
      <c r="H1458" s="7"/>
      <c r="I1458" s="7"/>
      <c r="J1458" s="7" t="s">
        <v>13</v>
      </c>
      <c r="K1458" s="7" t="s">
        <v>19</v>
      </c>
      <c r="L1458" s="7" t="s">
        <v>20</v>
      </c>
      <c r="M1458" s="7" t="s">
        <v>21</v>
      </c>
    </row>
    <row r="1459" spans="1:14" x14ac:dyDescent="0.3">
      <c r="A1459" s="7" t="str">
        <f>HYPERLINK("https://hsdes.intel.com/resource/14013162903","14013162903")</f>
        <v>14013162903</v>
      </c>
      <c r="B1459" s="7" t="s">
        <v>1147</v>
      </c>
      <c r="C1459" s="7" t="s">
        <v>1420</v>
      </c>
      <c r="D1459" s="7" t="s">
        <v>1148</v>
      </c>
      <c r="E1459" s="7"/>
      <c r="F1459" s="7"/>
      <c r="G1459" s="7" t="s">
        <v>833</v>
      </c>
      <c r="H1459" s="7"/>
      <c r="I1459" s="7"/>
      <c r="J1459" s="7" t="s">
        <v>13</v>
      </c>
      <c r="K1459" s="7" t="s">
        <v>19</v>
      </c>
      <c r="L1459" s="7" t="s">
        <v>20</v>
      </c>
      <c r="M1459" s="7" t="s">
        <v>21</v>
      </c>
    </row>
    <row r="1460" spans="1:14" x14ac:dyDescent="0.3">
      <c r="A1460" s="7" t="str">
        <f>HYPERLINK("https://hsdes.intel.com/resource/14013162907","14013162907")</f>
        <v>14013162907</v>
      </c>
      <c r="B1460" s="7" t="s">
        <v>1149</v>
      </c>
      <c r="C1460" s="7" t="s">
        <v>1420</v>
      </c>
      <c r="D1460" s="7" t="s">
        <v>1150</v>
      </c>
      <c r="E1460" s="7"/>
      <c r="F1460" s="7"/>
      <c r="G1460" s="7" t="s">
        <v>833</v>
      </c>
      <c r="H1460" s="7"/>
      <c r="I1460" s="7"/>
      <c r="J1460" s="7" t="s">
        <v>13</v>
      </c>
      <c r="K1460" s="7" t="s">
        <v>19</v>
      </c>
      <c r="L1460" s="7" t="s">
        <v>20</v>
      </c>
      <c r="M1460" s="7" t="s">
        <v>21</v>
      </c>
    </row>
    <row r="1461" spans="1:14" x14ac:dyDescent="0.3">
      <c r="A1461" s="7" t="str">
        <f>HYPERLINK("https://hsdes.intel.com/resource/14013162911","14013162911")</f>
        <v>14013162911</v>
      </c>
      <c r="B1461" s="7" t="s">
        <v>1151</v>
      </c>
      <c r="C1461" s="7" t="s">
        <v>1420</v>
      </c>
      <c r="D1461" s="7" t="s">
        <v>1152</v>
      </c>
      <c r="E1461" s="7"/>
      <c r="F1461" s="7"/>
      <c r="G1461" s="7" t="s">
        <v>833</v>
      </c>
      <c r="H1461" s="7"/>
      <c r="I1461" s="7"/>
      <c r="J1461" s="7" t="s">
        <v>13</v>
      </c>
      <c r="K1461" s="7" t="s">
        <v>19</v>
      </c>
      <c r="L1461" s="7" t="s">
        <v>20</v>
      </c>
      <c r="M1461" s="7" t="s">
        <v>21</v>
      </c>
    </row>
    <row r="1462" spans="1:14" x14ac:dyDescent="0.3">
      <c r="A1462" s="7" t="str">
        <f>HYPERLINK("https://hsdes.intel.com/resource/14013162916","14013162916")</f>
        <v>14013162916</v>
      </c>
      <c r="B1462" s="7" t="s">
        <v>1153</v>
      </c>
      <c r="C1462" s="7" t="s">
        <v>1420</v>
      </c>
      <c r="D1462" s="7" t="s">
        <v>1154</v>
      </c>
      <c r="E1462" s="7"/>
      <c r="F1462" s="7"/>
      <c r="G1462" s="7" t="s">
        <v>833</v>
      </c>
      <c r="H1462" s="7"/>
      <c r="I1462" s="7"/>
      <c r="J1462" s="7" t="s">
        <v>13</v>
      </c>
      <c r="K1462" s="7" t="s">
        <v>19</v>
      </c>
      <c r="L1462" s="7" t="s">
        <v>20</v>
      </c>
      <c r="M1462" s="7" t="s">
        <v>21</v>
      </c>
    </row>
    <row r="1463" spans="1:14" x14ac:dyDescent="0.3">
      <c r="A1463" s="7" t="str">
        <f>HYPERLINK("https://hsdes.intel.com/resource/14013162920","14013162920")</f>
        <v>14013162920</v>
      </c>
      <c r="B1463" s="7" t="s">
        <v>1155</v>
      </c>
      <c r="C1463" s="7" t="s">
        <v>1420</v>
      </c>
      <c r="D1463" s="7" t="s">
        <v>1156</v>
      </c>
      <c r="E1463" s="7"/>
      <c r="F1463" s="7"/>
      <c r="G1463" s="7" t="s">
        <v>833</v>
      </c>
      <c r="H1463" s="7"/>
      <c r="I1463" s="7"/>
      <c r="J1463" s="7" t="s">
        <v>13</v>
      </c>
      <c r="K1463" s="7" t="s">
        <v>19</v>
      </c>
      <c r="L1463" s="7" t="s">
        <v>20</v>
      </c>
      <c r="M1463" s="7" t="s">
        <v>21</v>
      </c>
    </row>
    <row r="1464" spans="1:14" x14ac:dyDescent="0.3">
      <c r="A1464" s="7" t="str">
        <f>HYPERLINK("https://hsdes.intel.com/resource/14013162925","14013162925")</f>
        <v>14013162925</v>
      </c>
      <c r="B1464" s="7" t="s">
        <v>2634</v>
      </c>
      <c r="C1464" s="7" t="s">
        <v>1420</v>
      </c>
      <c r="D1464" s="7" t="s">
        <v>2635</v>
      </c>
      <c r="E1464" s="7" t="s">
        <v>11</v>
      </c>
      <c r="F1464" s="7"/>
      <c r="G1464" s="7" t="s">
        <v>2449</v>
      </c>
      <c r="H1464" s="7"/>
      <c r="I1464" s="10">
        <v>44757</v>
      </c>
      <c r="J1464" s="7" t="s">
        <v>13</v>
      </c>
      <c r="K1464" s="7" t="s">
        <v>19</v>
      </c>
      <c r="L1464" s="7" t="s">
        <v>20</v>
      </c>
      <c r="M1464" s="7" t="s">
        <v>21</v>
      </c>
    </row>
    <row r="1465" spans="1:14" x14ac:dyDescent="0.3">
      <c r="A1465" s="7" t="str">
        <f>HYPERLINK("https://hsdes.intel.com/resource/14013162937","14013162937")</f>
        <v>14013162937</v>
      </c>
      <c r="B1465" s="7" t="s">
        <v>2636</v>
      </c>
      <c r="C1465" s="7" t="s">
        <v>1420</v>
      </c>
      <c r="D1465" s="7" t="s">
        <v>2637</v>
      </c>
      <c r="E1465" s="7" t="s">
        <v>11</v>
      </c>
      <c r="F1465" s="7"/>
      <c r="G1465" s="7" t="s">
        <v>2449</v>
      </c>
      <c r="H1465" s="7"/>
      <c r="I1465" s="10">
        <v>44757</v>
      </c>
      <c r="J1465" s="7" t="s">
        <v>13</v>
      </c>
      <c r="K1465" s="7" t="s">
        <v>19</v>
      </c>
      <c r="L1465" s="7" t="s">
        <v>20</v>
      </c>
      <c r="M1465" s="7" t="s">
        <v>21</v>
      </c>
    </row>
    <row r="1466" spans="1:14" x14ac:dyDescent="0.3">
      <c r="A1466" s="7" t="str">
        <f>HYPERLINK("https://hsdes.intel.com/resource/14013162948","14013162948")</f>
        <v>14013162948</v>
      </c>
      <c r="B1466" s="7" t="s">
        <v>2638</v>
      </c>
      <c r="C1466" s="7" t="s">
        <v>1420</v>
      </c>
      <c r="D1466" s="7" t="s">
        <v>2639</v>
      </c>
      <c r="E1466" s="7" t="s">
        <v>11</v>
      </c>
      <c r="F1466" s="7"/>
      <c r="G1466" s="7" t="s">
        <v>2449</v>
      </c>
      <c r="H1466" s="7"/>
      <c r="I1466" s="10">
        <v>44757</v>
      </c>
      <c r="J1466" s="7" t="s">
        <v>13</v>
      </c>
      <c r="K1466" s="7" t="s">
        <v>19</v>
      </c>
      <c r="L1466" s="7" t="s">
        <v>20</v>
      </c>
      <c r="M1466" s="7" t="s">
        <v>21</v>
      </c>
    </row>
    <row r="1467" spans="1:14" x14ac:dyDescent="0.3">
      <c r="A1467" s="7" t="str">
        <f>HYPERLINK("https://hsdes.intel.com/resource/14013162960","14013162960")</f>
        <v>14013162960</v>
      </c>
      <c r="B1467" s="7" t="s">
        <v>2640</v>
      </c>
      <c r="C1467" s="7" t="s">
        <v>1420</v>
      </c>
      <c r="D1467" s="7" t="s">
        <v>2641</v>
      </c>
      <c r="E1467" s="7" t="s">
        <v>11</v>
      </c>
      <c r="F1467" s="7"/>
      <c r="G1467" s="7" t="s">
        <v>2449</v>
      </c>
      <c r="H1467" s="7"/>
      <c r="I1467" s="10">
        <v>44757</v>
      </c>
      <c r="J1467" s="7" t="s">
        <v>13</v>
      </c>
      <c r="K1467" s="7" t="s">
        <v>19</v>
      </c>
      <c r="L1467" s="7" t="s">
        <v>20</v>
      </c>
      <c r="M1467" s="7" t="s">
        <v>21</v>
      </c>
    </row>
    <row r="1468" spans="1:14" x14ac:dyDescent="0.3">
      <c r="A1468" s="7" t="str">
        <f>HYPERLINK("https://hsdes.intel.com/resource/14013162967","14013162967")</f>
        <v>14013162967</v>
      </c>
      <c r="B1468" s="7" t="s">
        <v>2642</v>
      </c>
      <c r="C1468" s="7" t="s">
        <v>1420</v>
      </c>
      <c r="D1468" s="7" t="s">
        <v>2643</v>
      </c>
      <c r="E1468" s="7" t="s">
        <v>11</v>
      </c>
      <c r="F1468" s="7"/>
      <c r="G1468" s="7" t="s">
        <v>2449</v>
      </c>
      <c r="H1468" s="7"/>
      <c r="I1468" s="10">
        <v>44757</v>
      </c>
      <c r="J1468" s="7" t="s">
        <v>13</v>
      </c>
      <c r="K1468" s="7" t="s">
        <v>19</v>
      </c>
      <c r="L1468" s="7" t="s">
        <v>20</v>
      </c>
      <c r="M1468" s="7" t="s">
        <v>21</v>
      </c>
    </row>
    <row r="1469" spans="1:14" x14ac:dyDescent="0.3">
      <c r="A1469" s="7" t="str">
        <f>HYPERLINK("https://hsdes.intel.com/resource/14013162974","14013162974")</f>
        <v>14013162974</v>
      </c>
      <c r="B1469" s="7" t="s">
        <v>2644</v>
      </c>
      <c r="C1469" s="7" t="s">
        <v>1420</v>
      </c>
      <c r="D1469" s="7" t="s">
        <v>2645</v>
      </c>
      <c r="E1469" s="7" t="s">
        <v>11</v>
      </c>
      <c r="F1469" s="7"/>
      <c r="G1469" s="7" t="s">
        <v>2449</v>
      </c>
      <c r="H1469" s="7"/>
      <c r="I1469" s="10">
        <v>44757</v>
      </c>
      <c r="J1469" s="7" t="s">
        <v>13</v>
      </c>
      <c r="K1469" s="7" t="s">
        <v>19</v>
      </c>
      <c r="L1469" s="7" t="s">
        <v>20</v>
      </c>
      <c r="M1469" s="7" t="s">
        <v>21</v>
      </c>
    </row>
    <row r="1470" spans="1:14" x14ac:dyDescent="0.3">
      <c r="A1470" s="7" t="str">
        <f>HYPERLINK("https://hsdes.intel.com/resource/14013162987","14013162987")</f>
        <v>14013162987</v>
      </c>
      <c r="B1470" s="7" t="s">
        <v>2646</v>
      </c>
      <c r="C1470" s="7" t="s">
        <v>1420</v>
      </c>
      <c r="D1470" s="7" t="s">
        <v>2647</v>
      </c>
      <c r="E1470" s="7" t="s">
        <v>11</v>
      </c>
      <c r="F1470" s="7"/>
      <c r="G1470" s="7" t="s">
        <v>1447</v>
      </c>
      <c r="H1470" s="7"/>
      <c r="I1470" s="10">
        <v>44755</v>
      </c>
      <c r="J1470" s="7" t="s">
        <v>13</v>
      </c>
      <c r="K1470" s="7" t="s">
        <v>439</v>
      </c>
      <c r="L1470" s="7" t="s">
        <v>158</v>
      </c>
      <c r="M1470" s="7" t="s">
        <v>16</v>
      </c>
    </row>
    <row r="1471" spans="1:14" x14ac:dyDescent="0.3">
      <c r="A1471" s="7" t="str">
        <f>HYPERLINK("https://hsdes.intel.com/resource/14013163001","14013163001")</f>
        <v>14013163001</v>
      </c>
      <c r="B1471" s="7" t="s">
        <v>2648</v>
      </c>
      <c r="C1471" s="7" t="s">
        <v>1420</v>
      </c>
      <c r="D1471" s="7" t="s">
        <v>2649</v>
      </c>
      <c r="E1471" s="7" t="s">
        <v>32</v>
      </c>
      <c r="F1471" s="7" t="s">
        <v>2650</v>
      </c>
      <c r="G1471" s="7" t="s">
        <v>1475</v>
      </c>
      <c r="H1471" s="7" t="s">
        <v>369</v>
      </c>
      <c r="I1471" s="7"/>
      <c r="J1471" s="7" t="s">
        <v>13</v>
      </c>
      <c r="K1471" s="7" t="s">
        <v>2651</v>
      </c>
      <c r="L1471" s="7" t="s">
        <v>29</v>
      </c>
      <c r="M1471" s="7" t="s">
        <v>16</v>
      </c>
      <c r="N1471" s="9" t="s">
        <v>3630</v>
      </c>
    </row>
    <row r="1472" spans="1:14" x14ac:dyDescent="0.3">
      <c r="A1472" s="7" t="str">
        <f>HYPERLINK("https://hsdes.intel.com/resource/14013163003","14013163003")</f>
        <v>14013163003</v>
      </c>
      <c r="B1472" s="7" t="s">
        <v>2652</v>
      </c>
      <c r="C1472" s="7" t="s">
        <v>1420</v>
      </c>
      <c r="D1472" s="7" t="s">
        <v>2653</v>
      </c>
      <c r="E1472" s="7" t="s">
        <v>11</v>
      </c>
      <c r="F1472" s="7" t="s">
        <v>3646</v>
      </c>
      <c r="G1472" s="7" t="s">
        <v>2449</v>
      </c>
      <c r="H1472" s="7" t="s">
        <v>2449</v>
      </c>
      <c r="I1472" s="10">
        <v>44769</v>
      </c>
      <c r="J1472" s="7" t="s">
        <v>13</v>
      </c>
      <c r="K1472" s="7" t="s">
        <v>296</v>
      </c>
      <c r="L1472" s="7" t="s">
        <v>297</v>
      </c>
      <c r="M1472" s="7" t="s">
        <v>24</v>
      </c>
    </row>
    <row r="1473" spans="1:13" x14ac:dyDescent="0.3">
      <c r="A1473" s="7" t="str">
        <f>HYPERLINK("https://hsdes.intel.com/resource/14013163089","14013163089")</f>
        <v>14013163089</v>
      </c>
      <c r="B1473" s="7" t="s">
        <v>2654</v>
      </c>
      <c r="C1473" s="7" t="s">
        <v>1420</v>
      </c>
      <c r="D1473" s="7" t="s">
        <v>2655</v>
      </c>
      <c r="E1473" s="7" t="s">
        <v>11</v>
      </c>
      <c r="F1473" s="7"/>
      <c r="G1473" s="7" t="s">
        <v>12</v>
      </c>
      <c r="H1473" s="7"/>
      <c r="I1473" s="10">
        <v>44764</v>
      </c>
      <c r="J1473" s="7" t="s">
        <v>13</v>
      </c>
      <c r="K1473" s="7" t="s">
        <v>553</v>
      </c>
      <c r="L1473" s="7" t="s">
        <v>581</v>
      </c>
      <c r="M1473" s="7" t="s">
        <v>16</v>
      </c>
    </row>
    <row r="1474" spans="1:13" ht="15" x14ac:dyDescent="0.35">
      <c r="A1474" s="7" t="str">
        <f>HYPERLINK("https://hsdes.intel.com/resource/14013163095","14013163095")</f>
        <v>14013163095</v>
      </c>
      <c r="B1474" s="7" t="s">
        <v>2656</v>
      </c>
      <c r="C1474" s="7" t="s">
        <v>1420</v>
      </c>
      <c r="D1474" s="7" t="s">
        <v>2657</v>
      </c>
      <c r="E1474" s="7" t="s">
        <v>87</v>
      </c>
      <c r="F1474" s="26" t="s">
        <v>1618</v>
      </c>
      <c r="G1474" s="7" t="s">
        <v>1605</v>
      </c>
      <c r="H1474" s="7"/>
      <c r="I1474" s="10">
        <v>44762</v>
      </c>
      <c r="J1474" s="7" t="s">
        <v>13</v>
      </c>
      <c r="K1474" s="7" t="s">
        <v>67</v>
      </c>
      <c r="L1474" s="7" t="s">
        <v>68</v>
      </c>
      <c r="M1474" s="7" t="s">
        <v>21</v>
      </c>
    </row>
    <row r="1475" spans="1:13" x14ac:dyDescent="0.3">
      <c r="A1475" s="7" t="str">
        <f>HYPERLINK("https://hsdes.intel.com/resource/14013163114","14013163114")</f>
        <v>14013163114</v>
      </c>
      <c r="B1475" s="7" t="s">
        <v>2658</v>
      </c>
      <c r="C1475" s="7" t="s">
        <v>1420</v>
      </c>
      <c r="D1475" s="7" t="s">
        <v>2659</v>
      </c>
      <c r="E1475" s="7" t="s">
        <v>11</v>
      </c>
      <c r="F1475" s="7" t="s">
        <v>2660</v>
      </c>
      <c r="G1475" s="7" t="s">
        <v>2449</v>
      </c>
      <c r="H1475" s="7"/>
      <c r="I1475" s="10">
        <v>44757</v>
      </c>
      <c r="J1475" s="7" t="s">
        <v>13</v>
      </c>
      <c r="K1475" s="7" t="s">
        <v>19</v>
      </c>
      <c r="L1475" s="7" t="s">
        <v>20</v>
      </c>
      <c r="M1475" s="7" t="s">
        <v>21</v>
      </c>
    </row>
    <row r="1476" spans="1:13" x14ac:dyDescent="0.3">
      <c r="A1476" s="7" t="str">
        <f>HYPERLINK("https://hsdes.intel.com/resource/14013163118","14013163118")</f>
        <v>14013163118</v>
      </c>
      <c r="B1476" s="7" t="s">
        <v>2661</v>
      </c>
      <c r="C1476" s="7" t="s">
        <v>1420</v>
      </c>
      <c r="D1476" s="7" t="s">
        <v>2662</v>
      </c>
      <c r="E1476" s="7" t="s">
        <v>32</v>
      </c>
      <c r="F1476" s="7" t="s">
        <v>2663</v>
      </c>
      <c r="G1476" s="7" t="s">
        <v>2449</v>
      </c>
      <c r="H1476" s="7" t="s">
        <v>2449</v>
      </c>
      <c r="I1476" s="10">
        <v>44760</v>
      </c>
      <c r="J1476" s="7" t="s">
        <v>13</v>
      </c>
      <c r="K1476" s="7" t="s">
        <v>19</v>
      </c>
      <c r="L1476" s="7" t="s">
        <v>20</v>
      </c>
      <c r="M1476" s="7" t="s">
        <v>24</v>
      </c>
    </row>
    <row r="1477" spans="1:13" x14ac:dyDescent="0.3">
      <c r="A1477" s="7" t="str">
        <f>HYPERLINK("https://hsdes.intel.com/resource/14013163171","14013163171")</f>
        <v>14013163171</v>
      </c>
      <c r="B1477" s="43" t="s">
        <v>2664</v>
      </c>
      <c r="C1477" s="7" t="s">
        <v>1420</v>
      </c>
      <c r="D1477" s="7" t="s">
        <v>2665</v>
      </c>
      <c r="E1477" s="7" t="s">
        <v>32</v>
      </c>
      <c r="F1477" s="15" t="s">
        <v>2666</v>
      </c>
      <c r="G1477" s="7" t="s">
        <v>354</v>
      </c>
      <c r="H1477" s="7" t="s">
        <v>354</v>
      </c>
      <c r="I1477" s="10">
        <v>44764</v>
      </c>
      <c r="J1477" s="7" t="s">
        <v>3619</v>
      </c>
      <c r="K1477" s="7" t="s">
        <v>296</v>
      </c>
      <c r="L1477" s="7" t="s">
        <v>297</v>
      </c>
      <c r="M1477" s="7" t="s">
        <v>21</v>
      </c>
    </row>
    <row r="1478" spans="1:13" x14ac:dyDescent="0.3">
      <c r="A1478" s="7" t="str">
        <f>HYPERLINK("https://hsdes.intel.com/resource/14013163195","14013163195")</f>
        <v>14013163195</v>
      </c>
      <c r="B1478" s="7" t="s">
        <v>2667</v>
      </c>
      <c r="C1478" s="7" t="s">
        <v>1420</v>
      </c>
      <c r="D1478" s="7" t="s">
        <v>2668</v>
      </c>
      <c r="E1478" s="7" t="s">
        <v>11</v>
      </c>
      <c r="F1478" s="7" t="s">
        <v>2669</v>
      </c>
      <c r="G1478" s="7" t="s">
        <v>2449</v>
      </c>
      <c r="H1478" s="7"/>
      <c r="I1478" s="10">
        <v>44760</v>
      </c>
      <c r="J1478" s="7" t="s">
        <v>13</v>
      </c>
      <c r="K1478" s="7" t="s">
        <v>19</v>
      </c>
      <c r="L1478" s="7" t="s">
        <v>20</v>
      </c>
      <c r="M1478" s="7" t="s">
        <v>21</v>
      </c>
    </row>
    <row r="1479" spans="1:13" x14ac:dyDescent="0.3">
      <c r="A1479" s="7" t="str">
        <f>HYPERLINK("https://hsdes.intel.com/resource/14013163205","14013163205")</f>
        <v>14013163205</v>
      </c>
      <c r="B1479" s="7" t="s">
        <v>2670</v>
      </c>
      <c r="C1479" s="7" t="s">
        <v>1420</v>
      </c>
      <c r="D1479" s="7" t="s">
        <v>2671</v>
      </c>
      <c r="E1479" s="7" t="s">
        <v>11</v>
      </c>
      <c r="F1479" s="7"/>
      <c r="G1479" s="7" t="s">
        <v>354</v>
      </c>
      <c r="H1479" s="7"/>
      <c r="I1479" s="10">
        <v>44762</v>
      </c>
      <c r="J1479" s="7" t="s">
        <v>13</v>
      </c>
      <c r="K1479" s="7" t="s">
        <v>296</v>
      </c>
      <c r="L1479" s="7" t="s">
        <v>297</v>
      </c>
      <c r="M1479" s="7" t="s">
        <v>21</v>
      </c>
    </row>
    <row r="1480" spans="1:13" x14ac:dyDescent="0.3">
      <c r="A1480" s="7" t="str">
        <f>HYPERLINK("https://hsdes.intel.com/resource/14013163208","14013163208")</f>
        <v>14013163208</v>
      </c>
      <c r="B1480" s="7" t="s">
        <v>2672</v>
      </c>
      <c r="C1480" s="7" t="s">
        <v>1420</v>
      </c>
      <c r="D1480" s="7" t="s">
        <v>2673</v>
      </c>
      <c r="E1480" s="7" t="s">
        <v>11</v>
      </c>
      <c r="F1480" s="7"/>
      <c r="G1480" s="7" t="s">
        <v>354</v>
      </c>
      <c r="H1480" s="7"/>
      <c r="I1480" s="10">
        <v>44762</v>
      </c>
      <c r="J1480" s="7" t="s">
        <v>13</v>
      </c>
      <c r="K1480" s="7" t="s">
        <v>296</v>
      </c>
      <c r="L1480" s="7" t="s">
        <v>297</v>
      </c>
      <c r="M1480" s="7" t="s">
        <v>21</v>
      </c>
    </row>
    <row r="1481" spans="1:13" x14ac:dyDescent="0.3">
      <c r="A1481" s="7" t="str">
        <f>HYPERLINK("https://hsdes.intel.com/resource/14013163220","14013163220")</f>
        <v>14013163220</v>
      </c>
      <c r="B1481" s="7" t="s">
        <v>2674</v>
      </c>
      <c r="C1481" s="7" t="s">
        <v>1420</v>
      </c>
      <c r="D1481" s="7" t="s">
        <v>2675</v>
      </c>
      <c r="E1481" s="7" t="s">
        <v>11</v>
      </c>
      <c r="F1481" s="7"/>
      <c r="G1481" s="7" t="s">
        <v>1482</v>
      </c>
      <c r="H1481" s="7"/>
      <c r="I1481" s="10">
        <v>44754</v>
      </c>
      <c r="J1481" s="7" t="s">
        <v>13</v>
      </c>
      <c r="K1481" s="7" t="s">
        <v>523</v>
      </c>
      <c r="L1481" s="7" t="s">
        <v>660</v>
      </c>
      <c r="M1481" s="7" t="s">
        <v>16</v>
      </c>
    </row>
    <row r="1482" spans="1:13" x14ac:dyDescent="0.3">
      <c r="A1482" s="7" t="str">
        <f>HYPERLINK("https://hsdes.intel.com/resource/14013163239","14013163239")</f>
        <v>14013163239</v>
      </c>
      <c r="B1482" s="7" t="s">
        <v>2676</v>
      </c>
      <c r="C1482" s="7" t="s">
        <v>1420</v>
      </c>
      <c r="D1482" s="7" t="s">
        <v>2677</v>
      </c>
      <c r="E1482" s="7" t="s">
        <v>11</v>
      </c>
      <c r="F1482" s="7"/>
      <c r="G1482" s="7" t="s">
        <v>2449</v>
      </c>
      <c r="H1482" s="7"/>
      <c r="I1482" s="10">
        <v>44760</v>
      </c>
      <c r="J1482" s="7" t="s">
        <v>13</v>
      </c>
      <c r="K1482" s="7" t="s">
        <v>19</v>
      </c>
      <c r="L1482" s="7" t="s">
        <v>20</v>
      </c>
      <c r="M1482" s="7" t="s">
        <v>16</v>
      </c>
    </row>
    <row r="1483" spans="1:13" x14ac:dyDescent="0.3">
      <c r="A1483" s="7" t="str">
        <f>HYPERLINK("https://hsdes.intel.com/resource/14013163245","14013163245")</f>
        <v>14013163245</v>
      </c>
      <c r="B1483" s="7" t="s">
        <v>2678</v>
      </c>
      <c r="C1483" s="7" t="s">
        <v>1420</v>
      </c>
      <c r="D1483" s="7" t="s">
        <v>2679</v>
      </c>
      <c r="E1483" s="7" t="s">
        <v>11</v>
      </c>
      <c r="F1483" s="7"/>
      <c r="G1483" s="7" t="s">
        <v>2449</v>
      </c>
      <c r="H1483" s="7" t="s">
        <v>2449</v>
      </c>
      <c r="I1483" s="10">
        <v>44769</v>
      </c>
      <c r="J1483" s="7" t="s">
        <v>13</v>
      </c>
      <c r="K1483" s="7" t="s">
        <v>19</v>
      </c>
      <c r="L1483" s="7" t="s">
        <v>20</v>
      </c>
      <c r="M1483" s="7" t="s">
        <v>21</v>
      </c>
    </row>
    <row r="1484" spans="1:13" x14ac:dyDescent="0.3">
      <c r="A1484" s="7" t="str">
        <f>HYPERLINK("https://hsdes.intel.com/resource/14013163258","14013163258")</f>
        <v>14013163258</v>
      </c>
      <c r="B1484" s="7" t="s">
        <v>2681</v>
      </c>
      <c r="C1484" s="7" t="s">
        <v>1420</v>
      </c>
      <c r="D1484" s="7" t="s">
        <v>2682</v>
      </c>
      <c r="E1484" s="7" t="s">
        <v>11</v>
      </c>
      <c r="F1484" s="7"/>
      <c r="G1484" s="7" t="s">
        <v>2449</v>
      </c>
      <c r="H1484" s="7" t="s">
        <v>2449</v>
      </c>
      <c r="I1484" s="10">
        <v>44769</v>
      </c>
      <c r="J1484" s="7" t="s">
        <v>13</v>
      </c>
      <c r="K1484" s="7" t="s">
        <v>19</v>
      </c>
      <c r="L1484" s="7" t="s">
        <v>20</v>
      </c>
      <c r="M1484" s="7" t="s">
        <v>24</v>
      </c>
    </row>
    <row r="1485" spans="1:13" x14ac:dyDescent="0.3">
      <c r="A1485" s="7" t="str">
        <f>HYPERLINK("https://hsdes.intel.com/resource/14013163267","14013163267")</f>
        <v>14013163267</v>
      </c>
      <c r="B1485" s="7" t="s">
        <v>2683</v>
      </c>
      <c r="C1485" s="7" t="s">
        <v>1420</v>
      </c>
      <c r="D1485" s="7" t="s">
        <v>2684</v>
      </c>
      <c r="E1485" s="7" t="s">
        <v>11</v>
      </c>
      <c r="F1485" s="7"/>
      <c r="G1485" s="7" t="s">
        <v>2449</v>
      </c>
      <c r="H1485" s="7"/>
      <c r="I1485" s="10">
        <v>44760</v>
      </c>
      <c r="J1485" s="7" t="s">
        <v>13</v>
      </c>
      <c r="K1485" s="7" t="s">
        <v>19</v>
      </c>
      <c r="L1485" s="7" t="s">
        <v>20</v>
      </c>
      <c r="M1485" s="7" t="s">
        <v>21</v>
      </c>
    </row>
    <row r="1486" spans="1:13" x14ac:dyDescent="0.3">
      <c r="A1486" s="7" t="str">
        <f>HYPERLINK("https://hsdes.intel.com/resource/14013163275","14013163275")</f>
        <v>14013163275</v>
      </c>
      <c r="B1486" s="7" t="s">
        <v>2685</v>
      </c>
      <c r="C1486" s="7" t="s">
        <v>1420</v>
      </c>
      <c r="D1486" s="7" t="s">
        <v>2686</v>
      </c>
      <c r="E1486" s="7" t="s">
        <v>11</v>
      </c>
      <c r="F1486" s="7"/>
      <c r="G1486" s="7" t="s">
        <v>2449</v>
      </c>
      <c r="H1486" s="7"/>
      <c r="I1486" s="10">
        <v>44760</v>
      </c>
      <c r="J1486" s="7" t="s">
        <v>192</v>
      </c>
      <c r="K1486" s="7" t="s">
        <v>19</v>
      </c>
      <c r="L1486" s="7" t="s">
        <v>20</v>
      </c>
      <c r="M1486" s="7" t="s">
        <v>16</v>
      </c>
    </row>
    <row r="1487" spans="1:13" x14ac:dyDescent="0.3">
      <c r="A1487" s="7" t="str">
        <f>HYPERLINK("https://hsdes.intel.com/resource/14013163296","14013163296")</f>
        <v>14013163296</v>
      </c>
      <c r="B1487" s="7" t="s">
        <v>2687</v>
      </c>
      <c r="C1487" s="7" t="s">
        <v>1420</v>
      </c>
      <c r="D1487" s="7" t="s">
        <v>2688</v>
      </c>
      <c r="E1487" s="7" t="s">
        <v>11</v>
      </c>
      <c r="F1487" s="7" t="s">
        <v>2509</v>
      </c>
      <c r="G1487" s="7" t="s">
        <v>2449</v>
      </c>
      <c r="H1487" s="7" t="s">
        <v>2449</v>
      </c>
      <c r="I1487" s="10">
        <v>44769</v>
      </c>
      <c r="J1487" s="7" t="s">
        <v>13</v>
      </c>
      <c r="K1487" s="7" t="s">
        <v>14</v>
      </c>
      <c r="L1487" s="7" t="s">
        <v>20</v>
      </c>
      <c r="M1487" s="7" t="s">
        <v>24</v>
      </c>
    </row>
    <row r="1488" spans="1:13" x14ac:dyDescent="0.3">
      <c r="A1488" s="7" t="str">
        <f>HYPERLINK("https://hsdes.intel.com/resource/14013163306","14013163306")</f>
        <v>14013163306</v>
      </c>
      <c r="B1488" s="7" t="s">
        <v>2689</v>
      </c>
      <c r="C1488" s="7" t="s">
        <v>1420</v>
      </c>
      <c r="D1488" s="7" t="s">
        <v>2690</v>
      </c>
      <c r="E1488" s="7" t="s">
        <v>32</v>
      </c>
      <c r="F1488" s="7" t="s">
        <v>2680</v>
      </c>
      <c r="G1488" s="7" t="s">
        <v>2449</v>
      </c>
      <c r="H1488" s="7" t="s">
        <v>2449</v>
      </c>
      <c r="I1488" s="10">
        <v>44761</v>
      </c>
      <c r="J1488" s="7" t="s">
        <v>13</v>
      </c>
      <c r="K1488" s="7" t="s">
        <v>19</v>
      </c>
      <c r="L1488" s="7" t="s">
        <v>20</v>
      </c>
      <c r="M1488" s="7" t="s">
        <v>21</v>
      </c>
    </row>
    <row r="1489" spans="1:13" x14ac:dyDescent="0.3">
      <c r="A1489" s="7" t="str">
        <f>HYPERLINK("https://hsdes.intel.com/resource/14013163319","14013163319")</f>
        <v>14013163319</v>
      </c>
      <c r="B1489" s="7" t="s">
        <v>2691</v>
      </c>
      <c r="C1489" s="7" t="s">
        <v>1420</v>
      </c>
      <c r="D1489" s="7" t="s">
        <v>2692</v>
      </c>
      <c r="E1489" s="7" t="s">
        <v>32</v>
      </c>
      <c r="F1489" s="7" t="s">
        <v>2680</v>
      </c>
      <c r="G1489" s="7" t="s">
        <v>2449</v>
      </c>
      <c r="H1489" s="7" t="s">
        <v>2449</v>
      </c>
      <c r="I1489" s="10">
        <v>44761</v>
      </c>
      <c r="J1489" s="7" t="s">
        <v>13</v>
      </c>
      <c r="K1489" s="7" t="s">
        <v>19</v>
      </c>
      <c r="L1489" s="7" t="s">
        <v>20</v>
      </c>
      <c r="M1489" s="7" t="s">
        <v>21</v>
      </c>
    </row>
    <row r="1490" spans="1:13" x14ac:dyDescent="0.3">
      <c r="A1490" s="7" t="str">
        <f>HYPERLINK("https://hsdes.intel.com/resource/14013163353","14013163353")</f>
        <v>14013163353</v>
      </c>
      <c r="B1490" s="7" t="s">
        <v>2693</v>
      </c>
      <c r="C1490" s="7" t="s">
        <v>1420</v>
      </c>
      <c r="D1490" s="7" t="s">
        <v>2694</v>
      </c>
      <c r="E1490" s="7" t="s">
        <v>37</v>
      </c>
      <c r="F1490" s="7" t="s">
        <v>2456</v>
      </c>
      <c r="G1490" s="7" t="s">
        <v>2449</v>
      </c>
      <c r="H1490" s="7" t="s">
        <v>2449</v>
      </c>
      <c r="I1490" s="10">
        <v>44761</v>
      </c>
      <c r="J1490" s="7" t="s">
        <v>13</v>
      </c>
      <c r="K1490" s="7" t="s">
        <v>19</v>
      </c>
      <c r="L1490" s="7" t="s">
        <v>20</v>
      </c>
      <c r="M1490" s="7" t="s">
        <v>24</v>
      </c>
    </row>
    <row r="1491" spans="1:13" x14ac:dyDescent="0.3">
      <c r="A1491" s="7" t="str">
        <f>HYPERLINK("https://hsdes.intel.com/resource/14013163363","14013163363")</f>
        <v>14013163363</v>
      </c>
      <c r="B1491" s="7" t="s">
        <v>2695</v>
      </c>
      <c r="C1491" s="7" t="s">
        <v>1420</v>
      </c>
      <c r="D1491" s="7" t="s">
        <v>2696</v>
      </c>
      <c r="E1491" s="7" t="s">
        <v>32</v>
      </c>
      <c r="F1491" s="7" t="s">
        <v>2680</v>
      </c>
      <c r="G1491" s="7" t="s">
        <v>2449</v>
      </c>
      <c r="H1491" s="7" t="s">
        <v>2449</v>
      </c>
      <c r="I1491" s="10">
        <v>44761</v>
      </c>
      <c r="J1491" s="7" t="s">
        <v>13</v>
      </c>
      <c r="K1491" s="7" t="s">
        <v>19</v>
      </c>
      <c r="L1491" s="7" t="s">
        <v>20</v>
      </c>
      <c r="M1491" s="7" t="s">
        <v>21</v>
      </c>
    </row>
    <row r="1492" spans="1:13" x14ac:dyDescent="0.3">
      <c r="A1492" s="7" t="str">
        <f>HYPERLINK("https://hsdes.intel.com/resource/14013163375","14013163375")</f>
        <v>14013163375</v>
      </c>
      <c r="B1492" s="7" t="s">
        <v>2697</v>
      </c>
      <c r="C1492" s="7" t="s">
        <v>1420</v>
      </c>
      <c r="D1492" s="7" t="s">
        <v>2698</v>
      </c>
      <c r="E1492" s="7" t="s">
        <v>32</v>
      </c>
      <c r="F1492" s="7" t="s">
        <v>2680</v>
      </c>
      <c r="G1492" s="7" t="s">
        <v>2449</v>
      </c>
      <c r="H1492" s="7" t="s">
        <v>2449</v>
      </c>
      <c r="I1492" s="10">
        <v>44761</v>
      </c>
      <c r="J1492" s="7" t="s">
        <v>13</v>
      </c>
      <c r="K1492" s="7" t="s">
        <v>19</v>
      </c>
      <c r="L1492" s="7" t="s">
        <v>20</v>
      </c>
      <c r="M1492" s="7" t="s">
        <v>21</v>
      </c>
    </row>
    <row r="1493" spans="1:13" x14ac:dyDescent="0.3">
      <c r="A1493" s="7" t="str">
        <f>HYPERLINK("https://hsdes.intel.com/resource/14013163383","14013163383")</f>
        <v>14013163383</v>
      </c>
      <c r="B1493" s="7" t="s">
        <v>2699</v>
      </c>
      <c r="C1493" s="7" t="s">
        <v>1420</v>
      </c>
      <c r="D1493" s="7" t="s">
        <v>2700</v>
      </c>
      <c r="E1493" s="7" t="s">
        <v>37</v>
      </c>
      <c r="F1493" s="7" t="s">
        <v>352</v>
      </c>
      <c r="G1493" s="7" t="s">
        <v>2449</v>
      </c>
      <c r="H1493" s="7" t="s">
        <v>2449</v>
      </c>
      <c r="I1493" s="10">
        <v>44761</v>
      </c>
      <c r="J1493" s="7" t="s">
        <v>13</v>
      </c>
      <c r="K1493" s="7" t="s">
        <v>19</v>
      </c>
      <c r="L1493" s="7" t="s">
        <v>20</v>
      </c>
      <c r="M1493" s="7" t="s">
        <v>24</v>
      </c>
    </row>
    <row r="1494" spans="1:13" x14ac:dyDescent="0.3">
      <c r="A1494" s="7" t="str">
        <f>HYPERLINK("https://hsdes.intel.com/resource/14013163398","14013163398")</f>
        <v>14013163398</v>
      </c>
      <c r="B1494" s="7" t="s">
        <v>2701</v>
      </c>
      <c r="C1494" s="7" t="s">
        <v>1420</v>
      </c>
      <c r="D1494" s="7" t="s">
        <v>2702</v>
      </c>
      <c r="E1494" s="7" t="s">
        <v>37</v>
      </c>
      <c r="F1494" s="7" t="s">
        <v>3625</v>
      </c>
      <c r="G1494" s="7" t="s">
        <v>2449</v>
      </c>
      <c r="H1494" s="7" t="s">
        <v>2449</v>
      </c>
      <c r="I1494" s="10">
        <v>44761</v>
      </c>
      <c r="J1494" s="7" t="s">
        <v>13</v>
      </c>
      <c r="K1494" s="7" t="s">
        <v>19</v>
      </c>
      <c r="L1494" s="7" t="s">
        <v>20</v>
      </c>
      <c r="M1494" s="7" t="s">
        <v>24</v>
      </c>
    </row>
    <row r="1495" spans="1:13" x14ac:dyDescent="0.3">
      <c r="A1495" s="7" t="str">
        <f>HYPERLINK("https://hsdes.intel.com/resource/14013163408","14013163408")</f>
        <v>14013163408</v>
      </c>
      <c r="B1495" s="7" t="s">
        <v>2703</v>
      </c>
      <c r="C1495" s="7" t="s">
        <v>1420</v>
      </c>
      <c r="D1495" s="7" t="s">
        <v>2704</v>
      </c>
      <c r="E1495" s="7" t="s">
        <v>32</v>
      </c>
      <c r="F1495" s="7" t="s">
        <v>2680</v>
      </c>
      <c r="G1495" s="7" t="s">
        <v>2449</v>
      </c>
      <c r="H1495" s="7" t="s">
        <v>2449</v>
      </c>
      <c r="I1495" s="10">
        <v>44761</v>
      </c>
      <c r="J1495" s="7" t="s">
        <v>13</v>
      </c>
      <c r="K1495" s="7" t="s">
        <v>19</v>
      </c>
      <c r="L1495" s="7" t="s">
        <v>20</v>
      </c>
      <c r="M1495" s="7" t="s">
        <v>21</v>
      </c>
    </row>
    <row r="1496" spans="1:13" x14ac:dyDescent="0.3">
      <c r="A1496" s="7" t="str">
        <f>HYPERLINK("https://hsdes.intel.com/resource/14013163421","14013163421")</f>
        <v>14013163421</v>
      </c>
      <c r="B1496" s="7" t="s">
        <v>2705</v>
      </c>
      <c r="C1496" s="7" t="s">
        <v>1420</v>
      </c>
      <c r="D1496" s="7" t="s">
        <v>2706</v>
      </c>
      <c r="E1496" s="7" t="s">
        <v>32</v>
      </c>
      <c r="F1496" s="7" t="s">
        <v>2680</v>
      </c>
      <c r="G1496" s="7" t="s">
        <v>2449</v>
      </c>
      <c r="H1496" s="7" t="s">
        <v>2449</v>
      </c>
      <c r="I1496" s="10">
        <v>44761</v>
      </c>
      <c r="J1496" s="7" t="s">
        <v>13</v>
      </c>
      <c r="K1496" s="7" t="s">
        <v>19</v>
      </c>
      <c r="L1496" s="7" t="s">
        <v>20</v>
      </c>
      <c r="M1496" s="7" t="s">
        <v>21</v>
      </c>
    </row>
    <row r="1497" spans="1:13" x14ac:dyDescent="0.3">
      <c r="A1497" s="7" t="str">
        <f>HYPERLINK("https://hsdes.intel.com/resource/14013163423","14013163423")</f>
        <v>14013163423</v>
      </c>
      <c r="B1497" s="7" t="s">
        <v>2707</v>
      </c>
      <c r="C1497" s="7" t="s">
        <v>1420</v>
      </c>
      <c r="D1497" s="7" t="s">
        <v>2708</v>
      </c>
      <c r="E1497" s="7" t="s">
        <v>37</v>
      </c>
      <c r="F1497" s="7" t="s">
        <v>2456</v>
      </c>
      <c r="G1497" s="7" t="s">
        <v>2449</v>
      </c>
      <c r="H1497" s="7" t="s">
        <v>2449</v>
      </c>
      <c r="I1497" s="10">
        <v>44761</v>
      </c>
      <c r="J1497" s="7" t="s">
        <v>13</v>
      </c>
      <c r="K1497" s="7" t="s">
        <v>19</v>
      </c>
      <c r="L1497" s="7" t="s">
        <v>20</v>
      </c>
      <c r="M1497" s="7" t="s">
        <v>24</v>
      </c>
    </row>
    <row r="1498" spans="1:13" x14ac:dyDescent="0.3">
      <c r="A1498" s="7" t="str">
        <f>HYPERLINK("https://hsdes.intel.com/resource/14013163440","14013163440")</f>
        <v>14013163440</v>
      </c>
      <c r="B1498" s="7" t="s">
        <v>2709</v>
      </c>
      <c r="C1498" s="7" t="s">
        <v>1420</v>
      </c>
      <c r="D1498" s="7" t="s">
        <v>2710</v>
      </c>
      <c r="E1498" s="7" t="s">
        <v>37</v>
      </c>
      <c r="F1498" s="7" t="s">
        <v>2456</v>
      </c>
      <c r="G1498" s="7" t="s">
        <v>2449</v>
      </c>
      <c r="H1498" s="7" t="s">
        <v>2449</v>
      </c>
      <c r="I1498" s="10">
        <v>44761</v>
      </c>
      <c r="J1498" s="7" t="s">
        <v>13</v>
      </c>
      <c r="K1498" s="7" t="s">
        <v>19</v>
      </c>
      <c r="L1498" s="7" t="s">
        <v>20</v>
      </c>
      <c r="M1498" s="7" t="s">
        <v>24</v>
      </c>
    </row>
    <row r="1499" spans="1:13" x14ac:dyDescent="0.3">
      <c r="A1499" s="7" t="str">
        <f>HYPERLINK("https://hsdes.intel.com/resource/14013163456","14013163456")</f>
        <v>14013163456</v>
      </c>
      <c r="B1499" s="7" t="s">
        <v>2711</v>
      </c>
      <c r="C1499" s="7" t="s">
        <v>1420</v>
      </c>
      <c r="D1499" s="7" t="s">
        <v>2712</v>
      </c>
      <c r="E1499" s="7" t="s">
        <v>32</v>
      </c>
      <c r="F1499" s="7" t="s">
        <v>2680</v>
      </c>
      <c r="G1499" s="7" t="s">
        <v>2449</v>
      </c>
      <c r="H1499" s="7" t="s">
        <v>2449</v>
      </c>
      <c r="I1499" s="10">
        <v>44761</v>
      </c>
      <c r="J1499" s="7" t="s">
        <v>13</v>
      </c>
      <c r="K1499" s="7" t="s">
        <v>19</v>
      </c>
      <c r="L1499" s="7" t="s">
        <v>20</v>
      </c>
      <c r="M1499" s="7" t="s">
        <v>24</v>
      </c>
    </row>
    <row r="1500" spans="1:13" x14ac:dyDescent="0.3">
      <c r="A1500" s="7" t="str">
        <f>HYPERLINK("https://hsdes.intel.com/resource/14013163459","14013163459")</f>
        <v>14013163459</v>
      </c>
      <c r="B1500" s="7" t="s">
        <v>2713</v>
      </c>
      <c r="C1500" s="7" t="s">
        <v>1420</v>
      </c>
      <c r="D1500" s="7" t="s">
        <v>2714</v>
      </c>
      <c r="E1500" s="7" t="s">
        <v>11</v>
      </c>
      <c r="F1500" s="7"/>
      <c r="G1500" s="7" t="s">
        <v>2449</v>
      </c>
      <c r="H1500" s="7"/>
      <c r="I1500" s="10">
        <v>44760</v>
      </c>
      <c r="J1500" s="7" t="s">
        <v>13</v>
      </c>
      <c r="K1500" s="7" t="s">
        <v>19</v>
      </c>
      <c r="L1500" s="7" t="s">
        <v>20</v>
      </c>
      <c r="M1500" s="7" t="s">
        <v>16</v>
      </c>
    </row>
    <row r="1501" spans="1:13" x14ac:dyDescent="0.3">
      <c r="A1501" s="7" t="str">
        <f>HYPERLINK("https://hsdes.intel.com/resource/14013163478","14013163478")</f>
        <v>14013163478</v>
      </c>
      <c r="B1501" s="43" t="s">
        <v>2715</v>
      </c>
      <c r="C1501" s="7" t="s">
        <v>1420</v>
      </c>
      <c r="D1501" s="7" t="s">
        <v>2716</v>
      </c>
      <c r="E1501" s="7" t="s">
        <v>11</v>
      </c>
      <c r="F1501" s="7"/>
      <c r="G1501" s="7" t="s">
        <v>354</v>
      </c>
      <c r="H1501" s="7" t="s">
        <v>354</v>
      </c>
      <c r="I1501" s="10">
        <v>44770</v>
      </c>
      <c r="J1501" s="7" t="s">
        <v>192</v>
      </c>
      <c r="K1501" s="7" t="s">
        <v>296</v>
      </c>
      <c r="L1501" s="7" t="s">
        <v>297</v>
      </c>
      <c r="M1501" s="7" t="s">
        <v>21</v>
      </c>
    </row>
    <row r="1502" spans="1:13" x14ac:dyDescent="0.3">
      <c r="A1502" s="7" t="str">
        <f>HYPERLINK("https://hsdes.intel.com/resource/14013163540","14013163540")</f>
        <v>14013163540</v>
      </c>
      <c r="B1502" s="7" t="s">
        <v>1345</v>
      </c>
      <c r="C1502" s="7" t="s">
        <v>1420</v>
      </c>
      <c r="D1502" s="7" t="s">
        <v>1346</v>
      </c>
      <c r="E1502" s="7"/>
      <c r="F1502" s="7"/>
      <c r="G1502" s="7" t="s">
        <v>2717</v>
      </c>
      <c r="H1502" s="7"/>
      <c r="I1502" s="7"/>
      <c r="J1502" s="7" t="s">
        <v>13</v>
      </c>
      <c r="K1502" s="7" t="s">
        <v>14</v>
      </c>
      <c r="L1502" s="7" t="s">
        <v>88</v>
      </c>
      <c r="M1502" s="7" t="s">
        <v>24</v>
      </c>
    </row>
    <row r="1503" spans="1:13" x14ac:dyDescent="0.3">
      <c r="A1503" s="7" t="str">
        <f>HYPERLINK("https://hsdes.intel.com/resource/14013163653","14013163653")</f>
        <v>14013163653</v>
      </c>
      <c r="B1503" s="7" t="s">
        <v>2718</v>
      </c>
      <c r="C1503" s="7" t="s">
        <v>1420</v>
      </c>
      <c r="D1503" s="7" t="s">
        <v>2719</v>
      </c>
      <c r="E1503" s="7" t="s">
        <v>11</v>
      </c>
      <c r="F1503" s="7"/>
      <c r="G1503" s="7" t="s">
        <v>2449</v>
      </c>
      <c r="H1503" s="7"/>
      <c r="I1503" s="10">
        <v>44758</v>
      </c>
      <c r="J1503" s="7" t="s">
        <v>13</v>
      </c>
      <c r="K1503" s="7" t="s">
        <v>19</v>
      </c>
      <c r="L1503" s="7" t="s">
        <v>20</v>
      </c>
      <c r="M1503" s="7" t="s">
        <v>24</v>
      </c>
    </row>
    <row r="1504" spans="1:13" x14ac:dyDescent="0.3">
      <c r="A1504" s="7" t="str">
        <f>HYPERLINK("https://hsdes.intel.com/resource/14013163665","14013163665")</f>
        <v>14013163665</v>
      </c>
      <c r="B1504" s="7" t="s">
        <v>2720</v>
      </c>
      <c r="C1504" s="7" t="s">
        <v>1420</v>
      </c>
      <c r="D1504" s="7" t="s">
        <v>2721</v>
      </c>
      <c r="E1504" s="7" t="s">
        <v>11</v>
      </c>
      <c r="F1504" s="7"/>
      <c r="G1504" s="7" t="s">
        <v>2449</v>
      </c>
      <c r="H1504" s="7"/>
      <c r="I1504" s="10">
        <v>44758</v>
      </c>
      <c r="J1504" s="7" t="s">
        <v>13</v>
      </c>
      <c r="K1504" s="7" t="s">
        <v>19</v>
      </c>
      <c r="L1504" s="7" t="s">
        <v>20</v>
      </c>
      <c r="M1504" s="7" t="s">
        <v>24</v>
      </c>
    </row>
    <row r="1505" spans="1:13" x14ac:dyDescent="0.3">
      <c r="A1505" s="7" t="str">
        <f>HYPERLINK("https://hsdes.intel.com/resource/14013163784","14013163784")</f>
        <v>14013163784</v>
      </c>
      <c r="B1505" s="7" t="s">
        <v>2722</v>
      </c>
      <c r="C1505" s="7" t="s">
        <v>1420</v>
      </c>
      <c r="D1505" s="7" t="s">
        <v>2723</v>
      </c>
      <c r="E1505" s="7" t="s">
        <v>11</v>
      </c>
      <c r="F1505" s="7"/>
      <c r="G1505" s="7" t="s">
        <v>1770</v>
      </c>
      <c r="H1505" s="7"/>
      <c r="I1505" s="10">
        <v>44761</v>
      </c>
      <c r="J1505" s="7" t="s">
        <v>13</v>
      </c>
      <c r="K1505" s="7" t="s">
        <v>14</v>
      </c>
      <c r="L1505" s="7" t="s">
        <v>88</v>
      </c>
      <c r="M1505" s="7" t="s">
        <v>24</v>
      </c>
    </row>
    <row r="1506" spans="1:13" x14ac:dyDescent="0.3">
      <c r="A1506" s="7" t="str">
        <f>HYPERLINK("https://hsdes.intel.com/resource/14013163924","14013163924")</f>
        <v>14013163924</v>
      </c>
      <c r="B1506" s="7" t="s">
        <v>2724</v>
      </c>
      <c r="C1506" s="7" t="s">
        <v>1420</v>
      </c>
      <c r="D1506" s="7" t="s">
        <v>2725</v>
      </c>
      <c r="E1506" s="7" t="s">
        <v>11</v>
      </c>
      <c r="F1506" s="7" t="s">
        <v>2726</v>
      </c>
      <c r="G1506" s="7" t="s">
        <v>2449</v>
      </c>
      <c r="H1506" s="7"/>
      <c r="I1506" s="10">
        <v>44760</v>
      </c>
      <c r="J1506" s="7" t="s">
        <v>13</v>
      </c>
      <c r="K1506" s="7" t="s">
        <v>19</v>
      </c>
      <c r="L1506" s="7" t="s">
        <v>20</v>
      </c>
      <c r="M1506" s="7" t="s">
        <v>16</v>
      </c>
    </row>
    <row r="1507" spans="1:13" x14ac:dyDescent="0.3">
      <c r="A1507" s="7" t="str">
        <f>HYPERLINK("https://hsdes.intel.com/resource/14013163959","14013163959")</f>
        <v>14013163959</v>
      </c>
      <c r="B1507" s="7" t="s">
        <v>2727</v>
      </c>
      <c r="C1507" s="7" t="s">
        <v>1420</v>
      </c>
      <c r="D1507" s="7" t="s">
        <v>2728</v>
      </c>
      <c r="E1507" s="7" t="s">
        <v>11</v>
      </c>
      <c r="F1507" s="7"/>
      <c r="G1507" s="7" t="s">
        <v>2449</v>
      </c>
      <c r="H1507" s="7"/>
      <c r="I1507" s="10">
        <v>44758</v>
      </c>
      <c r="J1507" s="7" t="s">
        <v>13</v>
      </c>
      <c r="K1507" s="7" t="s">
        <v>19</v>
      </c>
      <c r="L1507" s="7" t="s">
        <v>20</v>
      </c>
      <c r="M1507" s="7" t="s">
        <v>24</v>
      </c>
    </row>
    <row r="1508" spans="1:13" x14ac:dyDescent="0.3">
      <c r="A1508" s="7" t="str">
        <f>HYPERLINK("https://hsdes.intel.com/resource/14013163970","14013163970")</f>
        <v>14013163970</v>
      </c>
      <c r="B1508" s="7" t="s">
        <v>1348</v>
      </c>
      <c r="C1508" s="7" t="s">
        <v>1420</v>
      </c>
      <c r="D1508" s="7" t="s">
        <v>1349</v>
      </c>
      <c r="E1508" s="7"/>
      <c r="F1508" s="7"/>
      <c r="G1508" s="7" t="s">
        <v>833</v>
      </c>
      <c r="H1508" s="7"/>
      <c r="I1508" s="7"/>
      <c r="J1508" s="7" t="s">
        <v>13</v>
      </c>
      <c r="K1508" s="7" t="s">
        <v>553</v>
      </c>
      <c r="L1508" s="7" t="s">
        <v>88</v>
      </c>
      <c r="M1508" s="7" t="s">
        <v>24</v>
      </c>
    </row>
    <row r="1509" spans="1:13" x14ac:dyDescent="0.3">
      <c r="A1509" s="7" t="str">
        <f>HYPERLINK("https://hsdes.intel.com/resource/14013164099","14013164099")</f>
        <v>14013164099</v>
      </c>
      <c r="B1509" s="7" t="s">
        <v>2729</v>
      </c>
      <c r="C1509" s="7" t="s">
        <v>1420</v>
      </c>
      <c r="D1509" s="7" t="s">
        <v>2730</v>
      </c>
      <c r="E1509" s="7" t="s">
        <v>11</v>
      </c>
      <c r="F1509" s="7"/>
      <c r="G1509" s="7" t="s">
        <v>1429</v>
      </c>
      <c r="H1509" s="7"/>
      <c r="I1509" s="10">
        <v>44755</v>
      </c>
      <c r="J1509" s="7" t="s">
        <v>2731</v>
      </c>
      <c r="K1509" s="7" t="s">
        <v>553</v>
      </c>
      <c r="L1509" s="7" t="s">
        <v>544</v>
      </c>
      <c r="M1509" s="7" t="s">
        <v>21</v>
      </c>
    </row>
    <row r="1510" spans="1:13" ht="15" x14ac:dyDescent="0.35">
      <c r="A1510" s="7" t="str">
        <f>HYPERLINK("https://hsdes.intel.com/resource/14013164147","14013164147")</f>
        <v>14013164147</v>
      </c>
      <c r="B1510" s="7" t="s">
        <v>2732</v>
      </c>
      <c r="C1510" s="7" t="s">
        <v>1420</v>
      </c>
      <c r="D1510" s="7" t="s">
        <v>2733</v>
      </c>
      <c r="E1510" s="7" t="s">
        <v>87</v>
      </c>
      <c r="F1510" s="26" t="s">
        <v>1618</v>
      </c>
      <c r="G1510" s="7" t="s">
        <v>1605</v>
      </c>
      <c r="H1510" s="7"/>
      <c r="I1510" s="10">
        <v>44762</v>
      </c>
      <c r="J1510" s="7" t="s">
        <v>13</v>
      </c>
      <c r="K1510" s="7" t="s">
        <v>67</v>
      </c>
      <c r="L1510" s="7" t="s">
        <v>68</v>
      </c>
      <c r="M1510" s="7" t="s">
        <v>16</v>
      </c>
    </row>
    <row r="1511" spans="1:13" x14ac:dyDescent="0.3">
      <c r="A1511" s="7" t="str">
        <f>HYPERLINK("https://hsdes.intel.com/resource/14013164150","14013164150")</f>
        <v>14013164150</v>
      </c>
      <c r="B1511" s="7" t="s">
        <v>2734</v>
      </c>
      <c r="C1511" s="7" t="s">
        <v>1420</v>
      </c>
      <c r="D1511" s="7" t="s">
        <v>2735</v>
      </c>
      <c r="E1511" s="7" t="s">
        <v>32</v>
      </c>
      <c r="F1511" s="7" t="s">
        <v>2736</v>
      </c>
      <c r="G1511" s="7" t="s">
        <v>1770</v>
      </c>
      <c r="H1511" s="7" t="s">
        <v>343</v>
      </c>
      <c r="I1511" s="7"/>
      <c r="J1511" s="7" t="s">
        <v>13</v>
      </c>
      <c r="K1511" s="7" t="s">
        <v>296</v>
      </c>
      <c r="L1511" s="7" t="s">
        <v>297</v>
      </c>
      <c r="M1511" s="7" t="s">
        <v>21</v>
      </c>
    </row>
    <row r="1512" spans="1:13" x14ac:dyDescent="0.3">
      <c r="A1512" s="7" t="str">
        <f>HYPERLINK("https://hsdes.intel.com/resource/14013164188","14013164188")</f>
        <v>14013164188</v>
      </c>
      <c r="B1512" s="7" t="s">
        <v>2737</v>
      </c>
      <c r="C1512" s="7" t="s">
        <v>1420</v>
      </c>
      <c r="D1512" s="7" t="s">
        <v>2738</v>
      </c>
      <c r="E1512" s="7" t="s">
        <v>11</v>
      </c>
      <c r="F1512" s="7"/>
      <c r="G1512" s="7" t="s">
        <v>2438</v>
      </c>
      <c r="H1512" s="7"/>
      <c r="I1512" s="10">
        <v>44757</v>
      </c>
      <c r="J1512" s="7" t="s">
        <v>13</v>
      </c>
      <c r="K1512" s="7" t="s">
        <v>1759</v>
      </c>
      <c r="L1512" s="7" t="s">
        <v>88</v>
      </c>
      <c r="M1512" s="7" t="s">
        <v>16</v>
      </c>
    </row>
    <row r="1513" spans="1:13" x14ac:dyDescent="0.3">
      <c r="A1513" s="7" t="str">
        <f>HYPERLINK("https://hsdes.intel.com/resource/14013164376","14013164376")</f>
        <v>14013164376</v>
      </c>
      <c r="B1513" s="43" t="s">
        <v>2739</v>
      </c>
      <c r="C1513" s="7" t="s">
        <v>1420</v>
      </c>
      <c r="D1513" s="7" t="s">
        <v>2740</v>
      </c>
      <c r="E1513" s="7" t="s">
        <v>470</v>
      </c>
      <c r="F1513" s="33" t="s">
        <v>3637</v>
      </c>
      <c r="G1513" s="7" t="s">
        <v>354</v>
      </c>
      <c r="H1513" s="7" t="s">
        <v>354</v>
      </c>
      <c r="I1513" s="10">
        <v>44770</v>
      </c>
      <c r="J1513" s="7" t="s">
        <v>3619</v>
      </c>
      <c r="K1513" s="7" t="s">
        <v>19</v>
      </c>
      <c r="L1513" s="7" t="s">
        <v>20</v>
      </c>
      <c r="M1513" s="7" t="s">
        <v>16</v>
      </c>
    </row>
    <row r="1514" spans="1:13" x14ac:dyDescent="0.3">
      <c r="A1514" s="7" t="str">
        <f>HYPERLINK("https://hsdes.intel.com/resource/14013164736","14013164736")</f>
        <v>14013164736</v>
      </c>
      <c r="B1514" s="7" t="s">
        <v>2741</v>
      </c>
      <c r="C1514" s="7" t="s">
        <v>1420</v>
      </c>
      <c r="D1514" s="7" t="s">
        <v>2742</v>
      </c>
      <c r="E1514" s="7" t="s">
        <v>11</v>
      </c>
      <c r="F1514" s="7" t="s">
        <v>651</v>
      </c>
      <c r="G1514" s="7" t="s">
        <v>843</v>
      </c>
      <c r="H1514" s="7"/>
      <c r="I1514" s="10">
        <v>44755</v>
      </c>
      <c r="J1514" s="7" t="s">
        <v>13</v>
      </c>
      <c r="K1514" s="7" t="s">
        <v>296</v>
      </c>
      <c r="L1514" s="7" t="s">
        <v>297</v>
      </c>
      <c r="M1514" s="7" t="s">
        <v>16</v>
      </c>
    </row>
    <row r="1515" spans="1:13" x14ac:dyDescent="0.3">
      <c r="A1515" s="7" t="str">
        <f>HYPERLINK("https://hsdes.intel.com/resource/14013164757","14013164757")</f>
        <v>14013164757</v>
      </c>
      <c r="B1515" s="7" t="s">
        <v>2743</v>
      </c>
      <c r="C1515" s="7" t="s">
        <v>1420</v>
      </c>
      <c r="D1515" s="7" t="s">
        <v>2744</v>
      </c>
      <c r="E1515" s="7" t="s">
        <v>838</v>
      </c>
      <c r="F1515" s="7" t="s">
        <v>1873</v>
      </c>
      <c r="G1515" s="7" t="s">
        <v>345</v>
      </c>
      <c r="H1515" s="7"/>
      <c r="I1515" s="10">
        <v>44757</v>
      </c>
      <c r="J1515" s="7" t="s">
        <v>13</v>
      </c>
      <c r="K1515" s="7" t="s">
        <v>93</v>
      </c>
      <c r="L1515" s="7" t="s">
        <v>94</v>
      </c>
      <c r="M1515" s="7" t="s">
        <v>16</v>
      </c>
    </row>
    <row r="1516" spans="1:13" x14ac:dyDescent="0.3">
      <c r="A1516" s="7" t="str">
        <f>HYPERLINK("https://hsdes.intel.com/resource/14013164788","14013164788")</f>
        <v>14013164788</v>
      </c>
      <c r="B1516" s="7" t="s">
        <v>2745</v>
      </c>
      <c r="C1516" s="7" t="s">
        <v>1420</v>
      </c>
      <c r="D1516" s="7" t="s">
        <v>2746</v>
      </c>
      <c r="E1516" s="7" t="s">
        <v>11</v>
      </c>
      <c r="F1516" s="7"/>
      <c r="G1516" s="7" t="s">
        <v>2449</v>
      </c>
      <c r="H1516" s="7"/>
      <c r="I1516" s="10">
        <v>44755</v>
      </c>
      <c r="J1516" s="7" t="s">
        <v>13</v>
      </c>
      <c r="K1516" s="7" t="s">
        <v>67</v>
      </c>
      <c r="L1516" s="7" t="s">
        <v>68</v>
      </c>
      <c r="M1516" s="7" t="s">
        <v>16</v>
      </c>
    </row>
    <row r="1517" spans="1:13" x14ac:dyDescent="0.3">
      <c r="A1517" s="7" t="str">
        <f>HYPERLINK("https://hsdes.intel.com/resource/14013165131","14013165131")</f>
        <v>14013165131</v>
      </c>
      <c r="B1517" s="7" t="s">
        <v>2747</v>
      </c>
      <c r="C1517" s="7" t="s">
        <v>1420</v>
      </c>
      <c r="D1517" s="7" t="s">
        <v>2748</v>
      </c>
      <c r="E1517" s="7" t="s">
        <v>11</v>
      </c>
      <c r="F1517" s="7"/>
      <c r="G1517" s="7" t="s">
        <v>2449</v>
      </c>
      <c r="H1517" s="7" t="s">
        <v>2449</v>
      </c>
      <c r="I1517" s="10">
        <v>44768</v>
      </c>
      <c r="J1517" s="7" t="s">
        <v>13</v>
      </c>
      <c r="K1517" s="7" t="s">
        <v>19</v>
      </c>
      <c r="L1517" s="7" t="s">
        <v>20</v>
      </c>
      <c r="M1517" s="7" t="s">
        <v>16</v>
      </c>
    </row>
    <row r="1518" spans="1:13" x14ac:dyDescent="0.3">
      <c r="A1518" s="7" t="str">
        <f>HYPERLINK("https://hsdes.intel.com/resource/14013165152","14013165152")</f>
        <v>14013165152</v>
      </c>
      <c r="B1518" s="7" t="s">
        <v>867</v>
      </c>
      <c r="C1518" s="7" t="s">
        <v>1420</v>
      </c>
      <c r="D1518" s="7" t="s">
        <v>868</v>
      </c>
      <c r="E1518" s="7"/>
      <c r="F1518" s="7"/>
      <c r="G1518" s="7" t="s">
        <v>833</v>
      </c>
      <c r="H1518" s="7"/>
      <c r="I1518" s="7"/>
      <c r="J1518" s="7" t="s">
        <v>13</v>
      </c>
      <c r="K1518" s="7" t="s">
        <v>19</v>
      </c>
      <c r="L1518" s="7" t="s">
        <v>20</v>
      </c>
      <c r="M1518" s="7" t="s">
        <v>21</v>
      </c>
    </row>
    <row r="1519" spans="1:13" x14ac:dyDescent="0.3">
      <c r="A1519" s="7" t="str">
        <f>HYPERLINK("https://hsdes.intel.com/resource/14013165178","14013165178")</f>
        <v>14013165178</v>
      </c>
      <c r="B1519" s="7" t="s">
        <v>869</v>
      </c>
      <c r="C1519" s="7" t="s">
        <v>1420</v>
      </c>
      <c r="D1519" s="7" t="s">
        <v>870</v>
      </c>
      <c r="E1519" s="7"/>
      <c r="F1519" s="7"/>
      <c r="G1519" s="7" t="s">
        <v>833</v>
      </c>
      <c r="H1519" s="7"/>
      <c r="I1519" s="7"/>
      <c r="J1519" s="7" t="s">
        <v>13</v>
      </c>
      <c r="K1519" s="7" t="s">
        <v>19</v>
      </c>
      <c r="L1519" s="7" t="s">
        <v>20</v>
      </c>
      <c r="M1519" s="7" t="s">
        <v>21</v>
      </c>
    </row>
    <row r="1520" spans="1:13" x14ac:dyDescent="0.3">
      <c r="A1520" s="7" t="str">
        <f>HYPERLINK("https://hsdes.intel.com/resource/14013165184","14013165184")</f>
        <v>14013165184</v>
      </c>
      <c r="B1520" s="7" t="s">
        <v>871</v>
      </c>
      <c r="C1520" s="7" t="s">
        <v>1420</v>
      </c>
      <c r="D1520" s="7" t="s">
        <v>872</v>
      </c>
      <c r="E1520" s="7"/>
      <c r="F1520" s="7"/>
      <c r="G1520" s="7" t="s">
        <v>833</v>
      </c>
      <c r="H1520" s="7"/>
      <c r="I1520" s="7"/>
      <c r="J1520" s="7" t="s">
        <v>192</v>
      </c>
      <c r="K1520" s="7" t="s">
        <v>19</v>
      </c>
      <c r="L1520" s="7" t="s">
        <v>20</v>
      </c>
      <c r="M1520" s="7" t="s">
        <v>21</v>
      </c>
    </row>
    <row r="1521" spans="1:13" x14ac:dyDescent="0.3">
      <c r="A1521" s="7" t="str">
        <f>HYPERLINK("https://hsdes.intel.com/resource/14013165195","14013165195")</f>
        <v>14013165195</v>
      </c>
      <c r="B1521" s="7" t="s">
        <v>2749</v>
      </c>
      <c r="C1521" s="7" t="s">
        <v>1420</v>
      </c>
      <c r="D1521" s="7" t="s">
        <v>2750</v>
      </c>
      <c r="E1521" s="7" t="s">
        <v>342</v>
      </c>
      <c r="F1521" s="7"/>
      <c r="G1521" s="7" t="s">
        <v>1475</v>
      </c>
      <c r="H1521" s="7"/>
      <c r="I1521" s="7"/>
      <c r="J1521" s="7" t="s">
        <v>13</v>
      </c>
      <c r="K1521" s="7" t="s">
        <v>45</v>
      </c>
      <c r="L1521" s="7" t="s">
        <v>581</v>
      </c>
      <c r="M1521" s="7" t="s">
        <v>16</v>
      </c>
    </row>
    <row r="1522" spans="1:13" x14ac:dyDescent="0.3">
      <c r="A1522" s="7" t="str">
        <f>HYPERLINK("https://hsdes.intel.com/resource/14013165215","14013165215")</f>
        <v>14013165215</v>
      </c>
      <c r="B1522" s="7" t="s">
        <v>873</v>
      </c>
      <c r="C1522" s="7" t="s">
        <v>1420</v>
      </c>
      <c r="D1522" s="7" t="s">
        <v>874</v>
      </c>
      <c r="E1522" s="7"/>
      <c r="F1522" s="7"/>
      <c r="G1522" s="7" t="s">
        <v>833</v>
      </c>
      <c r="H1522" s="7"/>
      <c r="I1522" s="7"/>
      <c r="J1522" s="7" t="s">
        <v>13</v>
      </c>
      <c r="K1522" s="7" t="s">
        <v>19</v>
      </c>
      <c r="L1522" s="7" t="s">
        <v>20</v>
      </c>
      <c r="M1522" s="7" t="s">
        <v>21</v>
      </c>
    </row>
    <row r="1523" spans="1:13" x14ac:dyDescent="0.3">
      <c r="A1523" s="7" t="str">
        <f>HYPERLINK("https://hsdes.intel.com/resource/14013165220","14013165220")</f>
        <v>14013165220</v>
      </c>
      <c r="B1523" s="7" t="s">
        <v>875</v>
      </c>
      <c r="C1523" s="7" t="s">
        <v>1420</v>
      </c>
      <c r="D1523" s="7" t="s">
        <v>876</v>
      </c>
      <c r="E1523" s="7"/>
      <c r="F1523" s="7"/>
      <c r="G1523" s="7" t="s">
        <v>833</v>
      </c>
      <c r="H1523" s="7"/>
      <c r="I1523" s="7"/>
      <c r="J1523" s="7" t="s">
        <v>192</v>
      </c>
      <c r="K1523" s="7" t="s">
        <v>19</v>
      </c>
      <c r="L1523" s="7" t="s">
        <v>20</v>
      </c>
      <c r="M1523" s="7" t="s">
        <v>21</v>
      </c>
    </row>
    <row r="1524" spans="1:13" x14ac:dyDescent="0.3">
      <c r="A1524" s="7" t="str">
        <f>HYPERLINK("https://hsdes.intel.com/resource/14013165230","14013165230")</f>
        <v>14013165230</v>
      </c>
      <c r="B1524" s="7" t="s">
        <v>877</v>
      </c>
      <c r="C1524" s="7" t="s">
        <v>1420</v>
      </c>
      <c r="D1524" s="7" t="s">
        <v>878</v>
      </c>
      <c r="E1524" s="7"/>
      <c r="F1524" s="7"/>
      <c r="G1524" s="7" t="s">
        <v>833</v>
      </c>
      <c r="H1524" s="7"/>
      <c r="I1524" s="7"/>
      <c r="J1524" s="7" t="s">
        <v>13</v>
      </c>
      <c r="K1524" s="7" t="s">
        <v>19</v>
      </c>
      <c r="L1524" s="7" t="s">
        <v>20</v>
      </c>
      <c r="M1524" s="7" t="s">
        <v>21</v>
      </c>
    </row>
    <row r="1525" spans="1:13" x14ac:dyDescent="0.3">
      <c r="A1525" s="7" t="str">
        <f>HYPERLINK("https://hsdes.intel.com/resource/14013165239","14013165239")</f>
        <v>14013165239</v>
      </c>
      <c r="B1525" s="7" t="s">
        <v>879</v>
      </c>
      <c r="C1525" s="7" t="s">
        <v>1420</v>
      </c>
      <c r="D1525" s="7" t="s">
        <v>880</v>
      </c>
      <c r="E1525" s="7"/>
      <c r="F1525" s="7"/>
      <c r="G1525" s="7" t="s">
        <v>833</v>
      </c>
      <c r="H1525" s="7"/>
      <c r="I1525" s="7"/>
      <c r="J1525" s="7" t="s">
        <v>192</v>
      </c>
      <c r="K1525" s="7" t="s">
        <v>19</v>
      </c>
      <c r="L1525" s="7" t="s">
        <v>20</v>
      </c>
      <c r="M1525" s="7" t="s">
        <v>21</v>
      </c>
    </row>
    <row r="1526" spans="1:13" x14ac:dyDescent="0.3">
      <c r="A1526" s="7" t="str">
        <f>HYPERLINK("https://hsdes.intel.com/resource/14013165248","14013165248")</f>
        <v>14013165248</v>
      </c>
      <c r="B1526" s="7" t="s">
        <v>881</v>
      </c>
      <c r="C1526" s="7" t="s">
        <v>1420</v>
      </c>
      <c r="D1526" s="7" t="s">
        <v>882</v>
      </c>
      <c r="E1526" s="7"/>
      <c r="F1526" s="7"/>
      <c r="G1526" s="7" t="s">
        <v>833</v>
      </c>
      <c r="H1526" s="7"/>
      <c r="I1526" s="7"/>
      <c r="J1526" s="7" t="s">
        <v>13</v>
      </c>
      <c r="K1526" s="7" t="s">
        <v>19</v>
      </c>
      <c r="L1526" s="7" t="s">
        <v>20</v>
      </c>
      <c r="M1526" s="7" t="s">
        <v>21</v>
      </c>
    </row>
    <row r="1527" spans="1:13" x14ac:dyDescent="0.3">
      <c r="A1527" s="7" t="str">
        <f>HYPERLINK("https://hsdes.intel.com/resource/14013165251","14013165251")</f>
        <v>14013165251</v>
      </c>
      <c r="B1527" s="7" t="s">
        <v>883</v>
      </c>
      <c r="C1527" s="7" t="s">
        <v>1420</v>
      </c>
      <c r="D1527" s="7" t="s">
        <v>884</v>
      </c>
      <c r="E1527" s="7"/>
      <c r="F1527" s="7"/>
      <c r="G1527" s="7" t="s">
        <v>833</v>
      </c>
      <c r="H1527" s="7"/>
      <c r="I1527" s="7"/>
      <c r="J1527" s="7" t="s">
        <v>192</v>
      </c>
      <c r="K1527" s="7" t="s">
        <v>19</v>
      </c>
      <c r="L1527" s="7" t="s">
        <v>20</v>
      </c>
      <c r="M1527" s="7" t="s">
        <v>21</v>
      </c>
    </row>
    <row r="1528" spans="1:13" x14ac:dyDescent="0.3">
      <c r="A1528" s="7" t="str">
        <f>HYPERLINK("https://hsdes.intel.com/resource/14013165266","14013165266")</f>
        <v>14013165266</v>
      </c>
      <c r="B1528" s="7" t="s">
        <v>885</v>
      </c>
      <c r="C1528" s="7" t="s">
        <v>1420</v>
      </c>
      <c r="D1528" s="7" t="s">
        <v>886</v>
      </c>
      <c r="E1528" s="7"/>
      <c r="F1528" s="7"/>
      <c r="G1528" s="7" t="s">
        <v>833</v>
      </c>
      <c r="H1528" s="7"/>
      <c r="I1528" s="7"/>
      <c r="J1528" s="7" t="s">
        <v>13</v>
      </c>
      <c r="K1528" s="7" t="s">
        <v>19</v>
      </c>
      <c r="L1528" s="7" t="s">
        <v>20</v>
      </c>
      <c r="M1528" s="7" t="s">
        <v>21</v>
      </c>
    </row>
    <row r="1529" spans="1:13" x14ac:dyDescent="0.3">
      <c r="A1529" s="7" t="str">
        <f>HYPERLINK("https://hsdes.intel.com/resource/14013165268","14013165268")</f>
        <v>14013165268</v>
      </c>
      <c r="B1529" s="7" t="s">
        <v>887</v>
      </c>
      <c r="C1529" s="7" t="s">
        <v>1420</v>
      </c>
      <c r="D1529" s="7" t="s">
        <v>888</v>
      </c>
      <c r="E1529" s="7"/>
      <c r="F1529" s="7"/>
      <c r="G1529" s="7" t="s">
        <v>833</v>
      </c>
      <c r="H1529" s="7"/>
      <c r="I1529" s="7"/>
      <c r="J1529" s="7" t="s">
        <v>192</v>
      </c>
      <c r="K1529" s="7" t="s">
        <v>19</v>
      </c>
      <c r="L1529" s="7" t="s">
        <v>20</v>
      </c>
      <c r="M1529" s="7" t="s">
        <v>21</v>
      </c>
    </row>
    <row r="1530" spans="1:13" x14ac:dyDescent="0.3">
      <c r="A1530" s="7" t="str">
        <f>HYPERLINK("https://hsdes.intel.com/resource/14013165277","14013165277")</f>
        <v>14013165277</v>
      </c>
      <c r="B1530" s="7" t="s">
        <v>889</v>
      </c>
      <c r="C1530" s="7" t="s">
        <v>1420</v>
      </c>
      <c r="D1530" s="7" t="s">
        <v>890</v>
      </c>
      <c r="E1530" s="7"/>
      <c r="F1530" s="7"/>
      <c r="G1530" s="7" t="s">
        <v>833</v>
      </c>
      <c r="H1530" s="7"/>
      <c r="I1530" s="7"/>
      <c r="J1530" s="7" t="s">
        <v>13</v>
      </c>
      <c r="K1530" s="7" t="s">
        <v>19</v>
      </c>
      <c r="L1530" s="7" t="s">
        <v>20</v>
      </c>
      <c r="M1530" s="7" t="s">
        <v>21</v>
      </c>
    </row>
    <row r="1531" spans="1:13" x14ac:dyDescent="0.3">
      <c r="A1531" s="7" t="str">
        <f>HYPERLINK("https://hsdes.intel.com/resource/14013165279","14013165279")</f>
        <v>14013165279</v>
      </c>
      <c r="B1531" s="7" t="s">
        <v>891</v>
      </c>
      <c r="C1531" s="7" t="s">
        <v>1420</v>
      </c>
      <c r="D1531" s="7" t="s">
        <v>892</v>
      </c>
      <c r="E1531" s="7"/>
      <c r="F1531" s="7"/>
      <c r="G1531" s="7" t="s">
        <v>833</v>
      </c>
      <c r="H1531" s="7"/>
      <c r="I1531" s="7"/>
      <c r="J1531" s="7" t="s">
        <v>192</v>
      </c>
      <c r="K1531" s="7" t="s">
        <v>19</v>
      </c>
      <c r="L1531" s="7" t="s">
        <v>20</v>
      </c>
      <c r="M1531" s="7" t="s">
        <v>21</v>
      </c>
    </row>
    <row r="1532" spans="1:13" x14ac:dyDescent="0.3">
      <c r="A1532" s="7" t="str">
        <f>HYPERLINK("https://hsdes.intel.com/resource/14013165283","14013165283")</f>
        <v>14013165283</v>
      </c>
      <c r="B1532" s="7" t="s">
        <v>893</v>
      </c>
      <c r="C1532" s="7" t="s">
        <v>1420</v>
      </c>
      <c r="D1532" s="7" t="s">
        <v>894</v>
      </c>
      <c r="E1532" s="7"/>
      <c r="F1532" s="7"/>
      <c r="G1532" s="7" t="s">
        <v>833</v>
      </c>
      <c r="H1532" s="7"/>
      <c r="I1532" s="7"/>
      <c r="J1532" s="7" t="s">
        <v>13</v>
      </c>
      <c r="K1532" s="7" t="s">
        <v>19</v>
      </c>
      <c r="L1532" s="7" t="s">
        <v>20</v>
      </c>
      <c r="M1532" s="7" t="s">
        <v>21</v>
      </c>
    </row>
    <row r="1533" spans="1:13" x14ac:dyDescent="0.3">
      <c r="A1533" s="7" t="str">
        <f>HYPERLINK("https://hsdes.intel.com/resource/14013165285","14013165285")</f>
        <v>14013165285</v>
      </c>
      <c r="B1533" s="7" t="s">
        <v>895</v>
      </c>
      <c r="C1533" s="7" t="s">
        <v>1420</v>
      </c>
      <c r="D1533" s="7" t="s">
        <v>896</v>
      </c>
      <c r="E1533" s="7"/>
      <c r="F1533" s="7"/>
      <c r="G1533" s="7" t="s">
        <v>833</v>
      </c>
      <c r="H1533" s="7"/>
      <c r="I1533" s="7"/>
      <c r="J1533" s="7" t="s">
        <v>192</v>
      </c>
      <c r="K1533" s="7" t="s">
        <v>19</v>
      </c>
      <c r="L1533" s="7" t="s">
        <v>20</v>
      </c>
      <c r="M1533" s="7" t="s">
        <v>21</v>
      </c>
    </row>
    <row r="1534" spans="1:13" x14ac:dyDescent="0.3">
      <c r="A1534" s="7" t="str">
        <f>HYPERLINK("https://hsdes.intel.com/resource/14013165349","14013165349")</f>
        <v>14013165349</v>
      </c>
      <c r="B1534" s="7" t="s">
        <v>897</v>
      </c>
      <c r="C1534" s="7" t="s">
        <v>1420</v>
      </c>
      <c r="D1534" s="7" t="s">
        <v>898</v>
      </c>
      <c r="E1534" s="7"/>
      <c r="F1534" s="7"/>
      <c r="G1534" s="7" t="s">
        <v>833</v>
      </c>
      <c r="H1534" s="7"/>
      <c r="I1534" s="7"/>
      <c r="J1534" s="7" t="s">
        <v>192</v>
      </c>
      <c r="K1534" s="7" t="s">
        <v>19</v>
      </c>
      <c r="L1534" s="7" t="s">
        <v>20</v>
      </c>
      <c r="M1534" s="7" t="s">
        <v>24</v>
      </c>
    </row>
    <row r="1535" spans="1:13" x14ac:dyDescent="0.3">
      <c r="A1535" s="7" t="str">
        <f>HYPERLINK("https://hsdes.intel.com/resource/14013165361","14013165361")</f>
        <v>14013165361</v>
      </c>
      <c r="B1535" s="7" t="s">
        <v>900</v>
      </c>
      <c r="C1535" s="7" t="s">
        <v>1420</v>
      </c>
      <c r="D1535" s="7" t="s">
        <v>901</v>
      </c>
      <c r="E1535" s="7"/>
      <c r="F1535" s="7"/>
      <c r="G1535" s="7" t="s">
        <v>833</v>
      </c>
      <c r="H1535" s="7"/>
      <c r="I1535" s="7"/>
      <c r="J1535" s="7" t="s">
        <v>192</v>
      </c>
      <c r="K1535" s="7" t="s">
        <v>19</v>
      </c>
      <c r="L1535" s="7" t="s">
        <v>20</v>
      </c>
      <c r="M1535" s="7" t="s">
        <v>24</v>
      </c>
    </row>
    <row r="1536" spans="1:13" x14ac:dyDescent="0.3">
      <c r="A1536" s="7" t="str">
        <f>HYPERLINK("https://hsdes.intel.com/resource/14013165372","14013165372")</f>
        <v>14013165372</v>
      </c>
      <c r="B1536" s="7" t="s">
        <v>903</v>
      </c>
      <c r="C1536" s="7" t="s">
        <v>1420</v>
      </c>
      <c r="D1536" s="7" t="s">
        <v>904</v>
      </c>
      <c r="E1536" s="7"/>
      <c r="F1536" s="7"/>
      <c r="G1536" s="7" t="s">
        <v>833</v>
      </c>
      <c r="H1536" s="7"/>
      <c r="I1536" s="7"/>
      <c r="J1536" s="7" t="s">
        <v>192</v>
      </c>
      <c r="K1536" s="7" t="s">
        <v>19</v>
      </c>
      <c r="L1536" s="7" t="s">
        <v>20</v>
      </c>
      <c r="M1536" s="7" t="s">
        <v>24</v>
      </c>
    </row>
    <row r="1537" spans="1:13" x14ac:dyDescent="0.3">
      <c r="A1537" s="7" t="str">
        <f>HYPERLINK("https://hsdes.intel.com/resource/14013165375","14013165375")</f>
        <v>14013165375</v>
      </c>
      <c r="B1537" s="7" t="s">
        <v>905</v>
      </c>
      <c r="C1537" s="7" t="s">
        <v>1420</v>
      </c>
      <c r="D1537" s="7" t="s">
        <v>906</v>
      </c>
      <c r="E1537" s="7"/>
      <c r="F1537" s="7"/>
      <c r="G1537" s="7" t="s">
        <v>833</v>
      </c>
      <c r="H1537" s="7"/>
      <c r="I1537" s="7"/>
      <c r="J1537" s="7" t="s">
        <v>192</v>
      </c>
      <c r="K1537" s="7" t="s">
        <v>19</v>
      </c>
      <c r="L1537" s="7" t="s">
        <v>20</v>
      </c>
      <c r="M1537" s="7" t="s">
        <v>24</v>
      </c>
    </row>
    <row r="1538" spans="1:13" x14ac:dyDescent="0.3">
      <c r="A1538" s="7" t="str">
        <f>HYPERLINK("https://hsdes.intel.com/resource/14013165380","14013165380")</f>
        <v>14013165380</v>
      </c>
      <c r="B1538" s="7" t="s">
        <v>907</v>
      </c>
      <c r="C1538" s="7" t="s">
        <v>1420</v>
      </c>
      <c r="D1538" s="7" t="s">
        <v>908</v>
      </c>
      <c r="E1538" s="7"/>
      <c r="F1538" s="7"/>
      <c r="G1538" s="7" t="s">
        <v>833</v>
      </c>
      <c r="H1538" s="7"/>
      <c r="I1538" s="7"/>
      <c r="J1538" s="7" t="s">
        <v>192</v>
      </c>
      <c r="K1538" s="7" t="s">
        <v>19</v>
      </c>
      <c r="L1538" s="7" t="s">
        <v>20</v>
      </c>
      <c r="M1538" s="7" t="s">
        <v>21</v>
      </c>
    </row>
    <row r="1539" spans="1:13" x14ac:dyDescent="0.3">
      <c r="A1539" s="7" t="str">
        <f>HYPERLINK("https://hsdes.intel.com/resource/14013165383","14013165383")</f>
        <v>14013165383</v>
      </c>
      <c r="B1539" s="7" t="s">
        <v>909</v>
      </c>
      <c r="C1539" s="7" t="s">
        <v>1420</v>
      </c>
      <c r="D1539" s="7" t="s">
        <v>910</v>
      </c>
      <c r="E1539" s="7"/>
      <c r="F1539" s="7"/>
      <c r="G1539" s="7" t="s">
        <v>833</v>
      </c>
      <c r="H1539" s="7"/>
      <c r="I1539" s="7"/>
      <c r="J1539" s="7" t="s">
        <v>13</v>
      </c>
      <c r="K1539" s="7" t="s">
        <v>19</v>
      </c>
      <c r="L1539" s="7" t="s">
        <v>20</v>
      </c>
      <c r="M1539" s="7" t="s">
        <v>24</v>
      </c>
    </row>
    <row r="1540" spans="1:13" x14ac:dyDescent="0.3">
      <c r="A1540" s="7" t="str">
        <f>HYPERLINK("https://hsdes.intel.com/resource/14013165391","14013165391")</f>
        <v>14013165391</v>
      </c>
      <c r="B1540" s="7" t="s">
        <v>911</v>
      </c>
      <c r="C1540" s="7" t="s">
        <v>1420</v>
      </c>
      <c r="D1540" s="7" t="s">
        <v>912</v>
      </c>
      <c r="E1540" s="7"/>
      <c r="F1540" s="7"/>
      <c r="G1540" s="7" t="s">
        <v>833</v>
      </c>
      <c r="H1540" s="7"/>
      <c r="I1540" s="7"/>
      <c r="J1540" s="7" t="s">
        <v>13</v>
      </c>
      <c r="K1540" s="7" t="s">
        <v>19</v>
      </c>
      <c r="L1540" s="7" t="s">
        <v>20</v>
      </c>
      <c r="M1540" s="7" t="s">
        <v>24</v>
      </c>
    </row>
    <row r="1541" spans="1:13" x14ac:dyDescent="0.3">
      <c r="A1541" s="7" t="str">
        <f>HYPERLINK("https://hsdes.intel.com/resource/14013165397","14013165397")</f>
        <v>14013165397</v>
      </c>
      <c r="B1541" s="7" t="s">
        <v>913</v>
      </c>
      <c r="C1541" s="7" t="s">
        <v>1420</v>
      </c>
      <c r="D1541" s="7" t="s">
        <v>914</v>
      </c>
      <c r="E1541" s="7"/>
      <c r="F1541" s="7"/>
      <c r="G1541" s="7" t="s">
        <v>833</v>
      </c>
      <c r="H1541" s="7"/>
      <c r="I1541" s="7"/>
      <c r="J1541" s="7" t="s">
        <v>13</v>
      </c>
      <c r="K1541" s="7" t="s">
        <v>19</v>
      </c>
      <c r="L1541" s="7" t="s">
        <v>20</v>
      </c>
      <c r="M1541" s="7" t="s">
        <v>24</v>
      </c>
    </row>
    <row r="1542" spans="1:13" x14ac:dyDescent="0.3">
      <c r="A1542" s="7" t="str">
        <f>HYPERLINK("https://hsdes.intel.com/resource/14013165401","14013165401")</f>
        <v>14013165401</v>
      </c>
      <c r="B1542" s="7" t="s">
        <v>915</v>
      </c>
      <c r="C1542" s="7" t="s">
        <v>1420</v>
      </c>
      <c r="D1542" s="7" t="s">
        <v>916</v>
      </c>
      <c r="E1542" s="7"/>
      <c r="F1542" s="7"/>
      <c r="G1542" s="7" t="s">
        <v>833</v>
      </c>
      <c r="H1542" s="7"/>
      <c r="I1542" s="7"/>
      <c r="J1542" s="7" t="s">
        <v>13</v>
      </c>
      <c r="K1542" s="7" t="s">
        <v>19</v>
      </c>
      <c r="L1542" s="7" t="s">
        <v>20</v>
      </c>
      <c r="M1542" s="7" t="s">
        <v>24</v>
      </c>
    </row>
    <row r="1543" spans="1:13" x14ac:dyDescent="0.3">
      <c r="A1543" s="7" t="str">
        <f>HYPERLINK("https://hsdes.intel.com/resource/14013165406","14013165406")</f>
        <v>14013165406</v>
      </c>
      <c r="B1543" s="7" t="s">
        <v>917</v>
      </c>
      <c r="C1543" s="7" t="s">
        <v>1420</v>
      </c>
      <c r="D1543" s="7" t="s">
        <v>918</v>
      </c>
      <c r="E1543" s="7"/>
      <c r="F1543" s="7"/>
      <c r="G1543" s="7" t="s">
        <v>833</v>
      </c>
      <c r="H1543" s="7"/>
      <c r="I1543" s="7"/>
      <c r="J1543" s="7" t="s">
        <v>13</v>
      </c>
      <c r="K1543" s="7" t="s">
        <v>19</v>
      </c>
      <c r="L1543" s="7" t="s">
        <v>20</v>
      </c>
      <c r="M1543" s="7" t="s">
        <v>24</v>
      </c>
    </row>
    <row r="1544" spans="1:13" x14ac:dyDescent="0.3">
      <c r="A1544" s="7" t="str">
        <f>HYPERLINK("https://hsdes.intel.com/resource/14013165413","14013165413")</f>
        <v>14013165413</v>
      </c>
      <c r="B1544" s="7" t="s">
        <v>919</v>
      </c>
      <c r="C1544" s="7" t="s">
        <v>1420</v>
      </c>
      <c r="D1544" s="7" t="s">
        <v>920</v>
      </c>
      <c r="E1544" s="7"/>
      <c r="F1544" s="7"/>
      <c r="G1544" s="7" t="s">
        <v>833</v>
      </c>
      <c r="H1544" s="7"/>
      <c r="I1544" s="7"/>
      <c r="J1544" s="7" t="s">
        <v>13</v>
      </c>
      <c r="K1544" s="7" t="s">
        <v>19</v>
      </c>
      <c r="L1544" s="7" t="s">
        <v>20</v>
      </c>
      <c r="M1544" s="7" t="s">
        <v>24</v>
      </c>
    </row>
    <row r="1545" spans="1:13" x14ac:dyDescent="0.3">
      <c r="A1545" s="7" t="str">
        <f>HYPERLINK("https://hsdes.intel.com/resource/14013165418","14013165418")</f>
        <v>14013165418</v>
      </c>
      <c r="B1545" s="7" t="s">
        <v>921</v>
      </c>
      <c r="C1545" s="7" t="s">
        <v>1420</v>
      </c>
      <c r="D1545" s="7" t="s">
        <v>922</v>
      </c>
      <c r="E1545" s="7"/>
      <c r="F1545" s="7"/>
      <c r="G1545" s="7" t="s">
        <v>833</v>
      </c>
      <c r="H1545" s="7"/>
      <c r="I1545" s="7"/>
      <c r="J1545" s="7" t="s">
        <v>13</v>
      </c>
      <c r="K1545" s="7" t="s">
        <v>19</v>
      </c>
      <c r="L1545" s="7" t="s">
        <v>20</v>
      </c>
      <c r="M1545" s="7" t="s">
        <v>24</v>
      </c>
    </row>
    <row r="1546" spans="1:13" x14ac:dyDescent="0.3">
      <c r="A1546" s="7" t="str">
        <f>HYPERLINK("https://hsdes.intel.com/resource/14013165427","14013165427")</f>
        <v>14013165427</v>
      </c>
      <c r="B1546" s="7" t="s">
        <v>923</v>
      </c>
      <c r="C1546" s="7" t="s">
        <v>1420</v>
      </c>
      <c r="D1546" s="7" t="s">
        <v>924</v>
      </c>
      <c r="E1546" s="7"/>
      <c r="F1546" s="7"/>
      <c r="G1546" s="7" t="s">
        <v>833</v>
      </c>
      <c r="H1546" s="7"/>
      <c r="I1546" s="7"/>
      <c r="J1546" s="7" t="s">
        <v>13</v>
      </c>
      <c r="K1546" s="7" t="s">
        <v>19</v>
      </c>
      <c r="L1546" s="7" t="s">
        <v>20</v>
      </c>
      <c r="M1546" s="7" t="s">
        <v>24</v>
      </c>
    </row>
    <row r="1547" spans="1:13" x14ac:dyDescent="0.3">
      <c r="A1547" s="7" t="str">
        <f>HYPERLINK("https://hsdes.intel.com/resource/14013165430","14013165430")</f>
        <v>14013165430</v>
      </c>
      <c r="B1547" s="7" t="s">
        <v>925</v>
      </c>
      <c r="C1547" s="7" t="s">
        <v>1420</v>
      </c>
      <c r="D1547" s="7" t="s">
        <v>926</v>
      </c>
      <c r="E1547" s="7"/>
      <c r="F1547" s="7"/>
      <c r="G1547" s="7" t="s">
        <v>833</v>
      </c>
      <c r="H1547" s="7"/>
      <c r="I1547" s="7"/>
      <c r="J1547" s="7" t="s">
        <v>13</v>
      </c>
      <c r="K1547" s="7" t="s">
        <v>19</v>
      </c>
      <c r="L1547" s="7" t="s">
        <v>20</v>
      </c>
      <c r="M1547" s="7" t="s">
        <v>24</v>
      </c>
    </row>
    <row r="1548" spans="1:13" x14ac:dyDescent="0.3">
      <c r="A1548" s="7" t="str">
        <f>HYPERLINK("https://hsdes.intel.com/resource/14013165431","14013165431")</f>
        <v>14013165431</v>
      </c>
      <c r="B1548" s="7" t="s">
        <v>927</v>
      </c>
      <c r="C1548" s="7" t="s">
        <v>1420</v>
      </c>
      <c r="D1548" s="7" t="s">
        <v>928</v>
      </c>
      <c r="E1548" s="7"/>
      <c r="F1548" s="7"/>
      <c r="G1548" s="7" t="s">
        <v>833</v>
      </c>
      <c r="H1548" s="7"/>
      <c r="I1548" s="7"/>
      <c r="J1548" s="7" t="s">
        <v>13</v>
      </c>
      <c r="K1548" s="7" t="s">
        <v>19</v>
      </c>
      <c r="L1548" s="7" t="s">
        <v>20</v>
      </c>
      <c r="M1548" s="7" t="s">
        <v>24</v>
      </c>
    </row>
    <row r="1549" spans="1:13" x14ac:dyDescent="0.3">
      <c r="A1549" s="7" t="str">
        <f>HYPERLINK("https://hsdes.intel.com/resource/14013165436","14013165436")</f>
        <v>14013165436</v>
      </c>
      <c r="B1549" s="7" t="s">
        <v>929</v>
      </c>
      <c r="C1549" s="7" t="s">
        <v>1420</v>
      </c>
      <c r="D1549" s="7" t="s">
        <v>930</v>
      </c>
      <c r="E1549" s="7"/>
      <c r="F1549" s="7"/>
      <c r="G1549" s="7" t="s">
        <v>833</v>
      </c>
      <c r="H1549" s="7"/>
      <c r="I1549" s="7"/>
      <c r="J1549" s="7" t="s">
        <v>13</v>
      </c>
      <c r="K1549" s="7" t="s">
        <v>19</v>
      </c>
      <c r="L1549" s="7" t="s">
        <v>20</v>
      </c>
      <c r="M1549" s="7" t="s">
        <v>24</v>
      </c>
    </row>
    <row r="1550" spans="1:13" x14ac:dyDescent="0.3">
      <c r="A1550" s="7" t="str">
        <f>HYPERLINK("https://hsdes.intel.com/resource/14013165438","14013165438")</f>
        <v>14013165438</v>
      </c>
      <c r="B1550" s="7" t="s">
        <v>931</v>
      </c>
      <c r="C1550" s="7" t="s">
        <v>1420</v>
      </c>
      <c r="D1550" s="7" t="s">
        <v>932</v>
      </c>
      <c r="E1550" s="7"/>
      <c r="F1550" s="7"/>
      <c r="G1550" s="7" t="s">
        <v>833</v>
      </c>
      <c r="H1550" s="7"/>
      <c r="I1550" s="7"/>
      <c r="J1550" s="7" t="s">
        <v>13</v>
      </c>
      <c r="K1550" s="7" t="s">
        <v>19</v>
      </c>
      <c r="L1550" s="7" t="s">
        <v>20</v>
      </c>
      <c r="M1550" s="7" t="s">
        <v>24</v>
      </c>
    </row>
    <row r="1551" spans="1:13" x14ac:dyDescent="0.3">
      <c r="A1551" s="7" t="str">
        <f>HYPERLINK("https://hsdes.intel.com/resource/14013165440","14013165440")</f>
        <v>14013165440</v>
      </c>
      <c r="B1551" s="7" t="s">
        <v>933</v>
      </c>
      <c r="C1551" s="7" t="s">
        <v>1420</v>
      </c>
      <c r="D1551" s="7" t="s">
        <v>934</v>
      </c>
      <c r="E1551" s="7"/>
      <c r="F1551" s="7"/>
      <c r="G1551" s="7" t="s">
        <v>833</v>
      </c>
      <c r="H1551" s="7"/>
      <c r="I1551" s="7"/>
      <c r="J1551" s="7" t="s">
        <v>13</v>
      </c>
      <c r="K1551" s="7" t="s">
        <v>19</v>
      </c>
      <c r="L1551" s="7" t="s">
        <v>20</v>
      </c>
      <c r="M1551" s="7" t="s">
        <v>24</v>
      </c>
    </row>
    <row r="1552" spans="1:13" x14ac:dyDescent="0.3">
      <c r="A1552" s="7" t="str">
        <f>HYPERLINK("https://hsdes.intel.com/resource/14013165443","14013165443")</f>
        <v>14013165443</v>
      </c>
      <c r="B1552" s="7" t="s">
        <v>935</v>
      </c>
      <c r="C1552" s="7" t="s">
        <v>1420</v>
      </c>
      <c r="D1552" s="7" t="s">
        <v>936</v>
      </c>
      <c r="E1552" s="7"/>
      <c r="F1552" s="7"/>
      <c r="G1552" s="7" t="s">
        <v>833</v>
      </c>
      <c r="H1552" s="7"/>
      <c r="I1552" s="7"/>
      <c r="J1552" s="7" t="s">
        <v>13</v>
      </c>
      <c r="K1552" s="7" t="s">
        <v>19</v>
      </c>
      <c r="L1552" s="7" t="s">
        <v>20</v>
      </c>
      <c r="M1552" s="7" t="s">
        <v>24</v>
      </c>
    </row>
    <row r="1553" spans="1:14" x14ac:dyDescent="0.3">
      <c r="A1553" s="7" t="str">
        <f>HYPERLINK("https://hsdes.intel.com/resource/14013165445","14013165445")</f>
        <v>14013165445</v>
      </c>
      <c r="B1553" s="7" t="s">
        <v>937</v>
      </c>
      <c r="C1553" s="7" t="s">
        <v>1420</v>
      </c>
      <c r="D1553" s="7" t="s">
        <v>938</v>
      </c>
      <c r="E1553" s="7"/>
      <c r="F1553" s="7"/>
      <c r="G1553" s="7" t="s">
        <v>833</v>
      </c>
      <c r="H1553" s="7"/>
      <c r="I1553" s="7"/>
      <c r="J1553" s="7" t="s">
        <v>13</v>
      </c>
      <c r="K1553" s="7" t="s">
        <v>19</v>
      </c>
      <c r="L1553" s="7" t="s">
        <v>20</v>
      </c>
      <c r="M1553" s="7" t="s">
        <v>24</v>
      </c>
    </row>
    <row r="1554" spans="1:14" x14ac:dyDescent="0.3">
      <c r="A1554" s="7" t="str">
        <f>HYPERLINK("https://hsdes.intel.com/resource/14013165449","14013165449")</f>
        <v>14013165449</v>
      </c>
      <c r="B1554" s="7" t="s">
        <v>940</v>
      </c>
      <c r="C1554" s="7" t="s">
        <v>1420</v>
      </c>
      <c r="D1554" s="7" t="s">
        <v>941</v>
      </c>
      <c r="E1554" s="7"/>
      <c r="F1554" s="7"/>
      <c r="G1554" s="7" t="s">
        <v>833</v>
      </c>
      <c r="H1554" s="7"/>
      <c r="I1554" s="7"/>
      <c r="J1554" s="7" t="s">
        <v>13</v>
      </c>
      <c r="K1554" s="7" t="s">
        <v>19</v>
      </c>
      <c r="L1554" s="7" t="s">
        <v>20</v>
      </c>
      <c r="M1554" s="7" t="s">
        <v>24</v>
      </c>
    </row>
    <row r="1555" spans="1:14" x14ac:dyDescent="0.3">
      <c r="A1555" s="7" t="str">
        <f>HYPERLINK("https://hsdes.intel.com/resource/14013165473","14013165473")</f>
        <v>14013165473</v>
      </c>
      <c r="B1555" s="7" t="s">
        <v>942</v>
      </c>
      <c r="C1555" s="7" t="s">
        <v>1420</v>
      </c>
      <c r="D1555" s="7" t="s">
        <v>943</v>
      </c>
      <c r="E1555" s="7"/>
      <c r="F1555" s="7"/>
      <c r="G1555" s="7" t="s">
        <v>833</v>
      </c>
      <c r="H1555" s="7"/>
      <c r="I1555" s="7"/>
      <c r="J1555" s="7" t="s">
        <v>13</v>
      </c>
      <c r="K1555" s="7" t="s">
        <v>19</v>
      </c>
      <c r="L1555" s="7" t="s">
        <v>20</v>
      </c>
      <c r="M1555" s="7" t="s">
        <v>21</v>
      </c>
    </row>
    <row r="1556" spans="1:14" x14ac:dyDescent="0.3">
      <c r="A1556" s="7" t="str">
        <f>HYPERLINK("https://hsdes.intel.com/resource/14013165476","14013165476")</f>
        <v>14013165476</v>
      </c>
      <c r="B1556" s="7" t="s">
        <v>944</v>
      </c>
      <c r="C1556" s="7" t="s">
        <v>1420</v>
      </c>
      <c r="D1556" s="7" t="s">
        <v>945</v>
      </c>
      <c r="E1556" s="7"/>
      <c r="F1556" s="7"/>
      <c r="G1556" s="7" t="s">
        <v>833</v>
      </c>
      <c r="H1556" s="7"/>
      <c r="I1556" s="7"/>
      <c r="J1556" s="7" t="s">
        <v>13</v>
      </c>
      <c r="K1556" s="7" t="s">
        <v>19</v>
      </c>
      <c r="L1556" s="7" t="s">
        <v>20</v>
      </c>
      <c r="M1556" s="7" t="s">
        <v>21</v>
      </c>
    </row>
    <row r="1557" spans="1:14" x14ac:dyDescent="0.3">
      <c r="A1557" s="7" t="str">
        <f>HYPERLINK("https://hsdes.intel.com/resource/14013165480","14013165480")</f>
        <v>14013165480</v>
      </c>
      <c r="B1557" s="7" t="s">
        <v>2751</v>
      </c>
      <c r="C1557" s="7" t="s">
        <v>1420</v>
      </c>
      <c r="D1557" s="7" t="s">
        <v>2752</v>
      </c>
      <c r="E1557" s="7" t="s">
        <v>11</v>
      </c>
      <c r="F1557" s="7"/>
      <c r="G1557" s="7" t="s">
        <v>2449</v>
      </c>
      <c r="H1557" s="7"/>
      <c r="I1557" s="10">
        <v>44757</v>
      </c>
      <c r="J1557" s="7" t="s">
        <v>13</v>
      </c>
      <c r="K1557" s="7" t="s">
        <v>19</v>
      </c>
      <c r="L1557" s="7" t="s">
        <v>20</v>
      </c>
      <c r="M1557" s="7" t="s">
        <v>21</v>
      </c>
    </row>
    <row r="1558" spans="1:14" x14ac:dyDescent="0.3">
      <c r="A1558" s="7" t="str">
        <f>HYPERLINK("https://hsdes.intel.com/resource/14013165485","14013165485")</f>
        <v>14013165485</v>
      </c>
      <c r="B1558" s="7" t="s">
        <v>2753</v>
      </c>
      <c r="C1558" s="7" t="s">
        <v>1420</v>
      </c>
      <c r="D1558" s="7" t="s">
        <v>2754</v>
      </c>
      <c r="E1558" s="7" t="s">
        <v>37</v>
      </c>
      <c r="F1558" s="7"/>
      <c r="G1558" s="7" t="s">
        <v>2449</v>
      </c>
      <c r="H1558" s="7"/>
      <c r="I1558" s="7"/>
      <c r="J1558" s="7" t="s">
        <v>13</v>
      </c>
      <c r="K1558" s="7" t="s">
        <v>19</v>
      </c>
      <c r="L1558" s="7" t="s">
        <v>20</v>
      </c>
      <c r="M1558" s="7" t="s">
        <v>21</v>
      </c>
    </row>
    <row r="1559" spans="1:14" x14ac:dyDescent="0.3">
      <c r="A1559" s="7" t="str">
        <f>HYPERLINK("https://hsdes.intel.com/resource/14013165539","14013165539")</f>
        <v>14013165539</v>
      </c>
      <c r="B1559" s="7" t="s">
        <v>2755</v>
      </c>
      <c r="C1559" s="7" t="s">
        <v>1420</v>
      </c>
      <c r="D1559" s="7" t="s">
        <v>2756</v>
      </c>
      <c r="E1559" s="7" t="s">
        <v>11</v>
      </c>
      <c r="F1559" s="7"/>
      <c r="G1559" s="7" t="s">
        <v>1475</v>
      </c>
      <c r="H1559" s="7"/>
      <c r="I1559" s="7"/>
      <c r="J1559" s="7" t="s">
        <v>13</v>
      </c>
      <c r="K1559" s="7" t="s">
        <v>71</v>
      </c>
      <c r="L1559" s="7" t="s">
        <v>34</v>
      </c>
      <c r="M1559" s="7" t="s">
        <v>16</v>
      </c>
    </row>
    <row r="1560" spans="1:14" x14ac:dyDescent="0.3">
      <c r="A1560" s="7" t="str">
        <f>HYPERLINK("https://hsdes.intel.com/resource/14013165547","14013165547")</f>
        <v>14013165547</v>
      </c>
      <c r="B1560" s="7" t="s">
        <v>2757</v>
      </c>
      <c r="C1560" s="7" t="s">
        <v>1420</v>
      </c>
      <c r="D1560" s="7" t="s">
        <v>2758</v>
      </c>
      <c r="E1560" s="7" t="s">
        <v>32</v>
      </c>
      <c r="F1560" s="7" t="s">
        <v>3642</v>
      </c>
      <c r="G1560" s="7" t="s">
        <v>1475</v>
      </c>
      <c r="H1560" s="7" t="s">
        <v>369</v>
      </c>
      <c r="I1560" s="10">
        <v>44768</v>
      </c>
      <c r="J1560" s="7" t="s">
        <v>13</v>
      </c>
      <c r="K1560" s="7" t="s">
        <v>45</v>
      </c>
      <c r="L1560" s="7" t="s">
        <v>581</v>
      </c>
      <c r="M1560" s="7" t="s">
        <v>24</v>
      </c>
      <c r="N1560" s="9" t="s">
        <v>3629</v>
      </c>
    </row>
    <row r="1561" spans="1:14" x14ac:dyDescent="0.3">
      <c r="A1561" s="7" t="str">
        <f>HYPERLINK("https://hsdes.intel.com/resource/14013165558","14013165558")</f>
        <v>14013165558</v>
      </c>
      <c r="B1561" s="7" t="s">
        <v>2759</v>
      </c>
      <c r="C1561" s="7" t="s">
        <v>1420</v>
      </c>
      <c r="D1561" s="7" t="s">
        <v>2760</v>
      </c>
      <c r="E1561" s="7" t="s">
        <v>87</v>
      </c>
      <c r="F1561" s="7" t="s">
        <v>2761</v>
      </c>
      <c r="G1561" s="7" t="s">
        <v>1475</v>
      </c>
      <c r="H1561" s="7"/>
      <c r="I1561" s="7"/>
      <c r="J1561" s="7" t="s">
        <v>13</v>
      </c>
      <c r="K1561" s="7" t="s">
        <v>45</v>
      </c>
      <c r="L1561" s="7" t="s">
        <v>581</v>
      </c>
      <c r="M1561" s="7" t="s">
        <v>16</v>
      </c>
    </row>
    <row r="1562" spans="1:14" x14ac:dyDescent="0.3">
      <c r="A1562" s="7" t="str">
        <f>HYPERLINK("https://hsdes.intel.com/resource/14013165601","14013165601")</f>
        <v>14013165601</v>
      </c>
      <c r="B1562" s="7" t="s">
        <v>2762</v>
      </c>
      <c r="C1562" s="7" t="s">
        <v>1420</v>
      </c>
      <c r="D1562" s="7" t="s">
        <v>2763</v>
      </c>
      <c r="E1562" s="7" t="s">
        <v>11</v>
      </c>
      <c r="F1562" s="7"/>
      <c r="G1562" s="7" t="s">
        <v>1429</v>
      </c>
      <c r="H1562" s="7"/>
      <c r="I1562" s="10">
        <v>44754</v>
      </c>
      <c r="J1562" s="7" t="s">
        <v>13</v>
      </c>
      <c r="K1562" s="7" t="s">
        <v>553</v>
      </c>
      <c r="L1562" s="7" t="s">
        <v>544</v>
      </c>
      <c r="M1562" s="7" t="s">
        <v>16</v>
      </c>
    </row>
    <row r="1563" spans="1:14" x14ac:dyDescent="0.3">
      <c r="A1563" s="7" t="str">
        <f>HYPERLINK("https://hsdes.intel.com/resource/14013165602","14013165602")</f>
        <v>14013165602</v>
      </c>
      <c r="B1563" s="7" t="s">
        <v>2764</v>
      </c>
      <c r="C1563" s="7" t="s">
        <v>1420</v>
      </c>
      <c r="D1563" s="7" t="s">
        <v>2765</v>
      </c>
      <c r="E1563" s="7" t="s">
        <v>11</v>
      </c>
      <c r="F1563" s="7"/>
      <c r="G1563" s="7" t="s">
        <v>1475</v>
      </c>
      <c r="H1563" s="7" t="s">
        <v>369</v>
      </c>
      <c r="I1563" s="10">
        <v>44768</v>
      </c>
      <c r="J1563" s="7" t="s">
        <v>13</v>
      </c>
      <c r="K1563" s="7" t="s">
        <v>28</v>
      </c>
      <c r="L1563" s="7" t="s">
        <v>29</v>
      </c>
      <c r="M1563" s="7" t="s">
        <v>16</v>
      </c>
    </row>
    <row r="1564" spans="1:14" x14ac:dyDescent="0.3">
      <c r="A1564" s="7" t="str">
        <f>HYPERLINK("https://hsdes.intel.com/resource/14013165605","14013165605")</f>
        <v>14013165605</v>
      </c>
      <c r="B1564" s="7" t="s">
        <v>2766</v>
      </c>
      <c r="C1564" s="7" t="s">
        <v>1420</v>
      </c>
      <c r="D1564" s="7" t="s">
        <v>2767</v>
      </c>
      <c r="E1564" s="7" t="s">
        <v>87</v>
      </c>
      <c r="F1564" s="7" t="s">
        <v>2768</v>
      </c>
      <c r="G1564" s="7" t="s">
        <v>1605</v>
      </c>
      <c r="H1564" s="7"/>
      <c r="I1564" s="10">
        <v>44762</v>
      </c>
      <c r="J1564" s="7" t="s">
        <v>13</v>
      </c>
      <c r="K1564" s="7" t="s">
        <v>67</v>
      </c>
      <c r="L1564" s="7" t="s">
        <v>68</v>
      </c>
      <c r="M1564" s="7" t="s">
        <v>21</v>
      </c>
    </row>
    <row r="1565" spans="1:14" x14ac:dyDescent="0.3">
      <c r="A1565" s="7" t="str">
        <f>HYPERLINK("https://hsdes.intel.com/resource/14013165719","14013165719")</f>
        <v>14013165719</v>
      </c>
      <c r="B1565" s="7" t="s">
        <v>2769</v>
      </c>
      <c r="C1565" s="7" t="s">
        <v>1420</v>
      </c>
      <c r="D1565" s="7" t="s">
        <v>2770</v>
      </c>
      <c r="E1565" s="7" t="s">
        <v>11</v>
      </c>
      <c r="F1565" s="7"/>
      <c r="G1565" s="7" t="s">
        <v>1605</v>
      </c>
      <c r="H1565" s="7"/>
      <c r="I1565" s="10">
        <v>44758</v>
      </c>
      <c r="J1565" s="7" t="s">
        <v>13</v>
      </c>
      <c r="K1565" s="7" t="s">
        <v>67</v>
      </c>
      <c r="L1565" s="7" t="s">
        <v>68</v>
      </c>
      <c r="M1565" s="7" t="s">
        <v>24</v>
      </c>
    </row>
    <row r="1566" spans="1:14" x14ac:dyDescent="0.3">
      <c r="A1566" s="7" t="str">
        <f>HYPERLINK("https://hsdes.intel.com/resource/14013165731","14013165731")</f>
        <v>14013165731</v>
      </c>
      <c r="B1566" s="7" t="s">
        <v>2771</v>
      </c>
      <c r="C1566" s="7" t="s">
        <v>1420</v>
      </c>
      <c r="D1566" s="7" t="s">
        <v>2772</v>
      </c>
      <c r="E1566" s="7" t="s">
        <v>11</v>
      </c>
      <c r="F1566" s="7"/>
      <c r="G1566" s="7" t="s">
        <v>1605</v>
      </c>
      <c r="H1566" s="7"/>
      <c r="I1566" s="10">
        <v>44758</v>
      </c>
      <c r="J1566" s="7" t="s">
        <v>13</v>
      </c>
      <c r="K1566" s="7" t="s">
        <v>67</v>
      </c>
      <c r="L1566" s="7" t="s">
        <v>68</v>
      </c>
      <c r="M1566" s="7" t="s">
        <v>24</v>
      </c>
    </row>
    <row r="1567" spans="1:14" x14ac:dyDescent="0.3">
      <c r="A1567" s="7" t="str">
        <f>HYPERLINK("https://hsdes.intel.com/resource/14013165744","14013165744")</f>
        <v>14013165744</v>
      </c>
      <c r="B1567" s="7" t="s">
        <v>2773</v>
      </c>
      <c r="C1567" s="7" t="s">
        <v>1420</v>
      </c>
      <c r="D1567" s="7" t="s">
        <v>2774</v>
      </c>
      <c r="E1567" s="7" t="s">
        <v>87</v>
      </c>
      <c r="F1567" s="29" t="s">
        <v>2775</v>
      </c>
      <c r="G1567" s="7" t="s">
        <v>1605</v>
      </c>
      <c r="H1567" s="7"/>
      <c r="I1567" s="10">
        <v>44762</v>
      </c>
      <c r="J1567" s="7" t="s">
        <v>13</v>
      </c>
      <c r="K1567" s="7" t="s">
        <v>67</v>
      </c>
      <c r="L1567" s="7" t="s">
        <v>68</v>
      </c>
      <c r="M1567" s="7" t="s">
        <v>24</v>
      </c>
    </row>
    <row r="1568" spans="1:14" x14ac:dyDescent="0.3">
      <c r="A1568" s="7" t="str">
        <f>HYPERLINK("https://hsdes.intel.com/resource/14013165750","14013165750")</f>
        <v>14013165750</v>
      </c>
      <c r="B1568" s="7" t="s">
        <v>2776</v>
      </c>
      <c r="C1568" s="7" t="s">
        <v>1420</v>
      </c>
      <c r="D1568" s="7" t="s">
        <v>2777</v>
      </c>
      <c r="E1568" s="7" t="s">
        <v>342</v>
      </c>
      <c r="F1568" s="7"/>
      <c r="G1568" s="7" t="s">
        <v>1605</v>
      </c>
      <c r="H1568" s="7"/>
      <c r="I1568" s="10">
        <v>44758</v>
      </c>
      <c r="J1568" s="7" t="s">
        <v>13</v>
      </c>
      <c r="K1568" s="7" t="s">
        <v>67</v>
      </c>
      <c r="L1568" s="7" t="s">
        <v>68</v>
      </c>
      <c r="M1568" s="7" t="s">
        <v>24</v>
      </c>
    </row>
    <row r="1569" spans="1:13" x14ac:dyDescent="0.3">
      <c r="A1569" s="7" t="str">
        <f>HYPERLINK("https://hsdes.intel.com/resource/14013165754","14013165754")</f>
        <v>14013165754</v>
      </c>
      <c r="B1569" s="7" t="s">
        <v>2778</v>
      </c>
      <c r="C1569" s="7" t="s">
        <v>1420</v>
      </c>
      <c r="D1569" s="7" t="s">
        <v>2779</v>
      </c>
      <c r="E1569" s="7" t="s">
        <v>342</v>
      </c>
      <c r="F1569" s="7"/>
      <c r="G1569" s="7" t="s">
        <v>1605</v>
      </c>
      <c r="H1569" s="7"/>
      <c r="I1569" s="10">
        <v>44758</v>
      </c>
      <c r="J1569" s="7" t="s">
        <v>13</v>
      </c>
      <c r="K1569" s="7" t="s">
        <v>67</v>
      </c>
      <c r="L1569" s="7" t="s">
        <v>68</v>
      </c>
      <c r="M1569" s="7" t="s">
        <v>24</v>
      </c>
    </row>
    <row r="1570" spans="1:13" x14ac:dyDescent="0.3">
      <c r="A1570" s="7" t="str">
        <f>HYPERLINK("https://hsdes.intel.com/resource/14013165756","14013165756")</f>
        <v>14013165756</v>
      </c>
      <c r="B1570" s="7" t="s">
        <v>2780</v>
      </c>
      <c r="C1570" s="7" t="s">
        <v>1420</v>
      </c>
      <c r="D1570" s="7" t="s">
        <v>2781</v>
      </c>
      <c r="E1570" s="7" t="s">
        <v>342</v>
      </c>
      <c r="F1570" s="7"/>
      <c r="G1570" s="7" t="s">
        <v>1605</v>
      </c>
      <c r="H1570" s="7"/>
      <c r="I1570" s="10">
        <v>44758</v>
      </c>
      <c r="J1570" s="7" t="s">
        <v>13</v>
      </c>
      <c r="K1570" s="7" t="s">
        <v>67</v>
      </c>
      <c r="L1570" s="7" t="s">
        <v>68</v>
      </c>
      <c r="M1570" s="7" t="s">
        <v>24</v>
      </c>
    </row>
    <row r="1571" spans="1:13" x14ac:dyDescent="0.3">
      <c r="A1571" s="7" t="str">
        <f>HYPERLINK("https://hsdes.intel.com/resource/14013165758","14013165758")</f>
        <v>14013165758</v>
      </c>
      <c r="B1571" s="7" t="s">
        <v>2782</v>
      </c>
      <c r="C1571" s="7" t="s">
        <v>1420</v>
      </c>
      <c r="D1571" s="7" t="s">
        <v>2783</v>
      </c>
      <c r="E1571" s="7" t="s">
        <v>87</v>
      </c>
      <c r="F1571" s="29" t="s">
        <v>2775</v>
      </c>
      <c r="G1571" s="7" t="s">
        <v>1605</v>
      </c>
      <c r="H1571" s="7"/>
      <c r="I1571" s="10">
        <v>44762</v>
      </c>
      <c r="J1571" s="7" t="s">
        <v>13</v>
      </c>
      <c r="K1571" s="7" t="s">
        <v>67</v>
      </c>
      <c r="L1571" s="7" t="s">
        <v>68</v>
      </c>
      <c r="M1571" s="7" t="s">
        <v>21</v>
      </c>
    </row>
    <row r="1572" spans="1:13" x14ac:dyDescent="0.3">
      <c r="A1572" s="7" t="str">
        <f>HYPERLINK("https://hsdes.intel.com/resource/14013165760","14013165760")</f>
        <v>14013165760</v>
      </c>
      <c r="B1572" s="7" t="s">
        <v>2784</v>
      </c>
      <c r="C1572" s="7" t="s">
        <v>1420</v>
      </c>
      <c r="D1572" s="7" t="s">
        <v>2785</v>
      </c>
      <c r="E1572" s="7" t="s">
        <v>11</v>
      </c>
      <c r="F1572" s="7"/>
      <c r="G1572" s="7" t="s">
        <v>1605</v>
      </c>
      <c r="H1572" s="7"/>
      <c r="I1572" s="10">
        <v>44757</v>
      </c>
      <c r="J1572" s="7" t="s">
        <v>13</v>
      </c>
      <c r="K1572" s="7" t="s">
        <v>67</v>
      </c>
      <c r="L1572" s="7" t="s">
        <v>68</v>
      </c>
      <c r="M1572" s="7" t="s">
        <v>24</v>
      </c>
    </row>
    <row r="1573" spans="1:13" x14ac:dyDescent="0.3">
      <c r="A1573" s="7" t="str">
        <f>HYPERLINK("https://hsdes.intel.com/resource/14013165764","14013165764")</f>
        <v>14013165764</v>
      </c>
      <c r="B1573" s="7" t="s">
        <v>2786</v>
      </c>
      <c r="C1573" s="7" t="s">
        <v>1420</v>
      </c>
      <c r="D1573" s="7" t="s">
        <v>2787</v>
      </c>
      <c r="E1573" s="7" t="s">
        <v>11</v>
      </c>
      <c r="F1573" s="7"/>
      <c r="G1573" s="7" t="s">
        <v>1605</v>
      </c>
      <c r="H1573" s="7"/>
      <c r="I1573" s="10">
        <v>44757</v>
      </c>
      <c r="J1573" s="7" t="s">
        <v>13</v>
      </c>
      <c r="K1573" s="7" t="s">
        <v>67</v>
      </c>
      <c r="L1573" s="7" t="s">
        <v>68</v>
      </c>
      <c r="M1573" s="7" t="s">
        <v>24</v>
      </c>
    </row>
    <row r="1574" spans="1:13" x14ac:dyDescent="0.3">
      <c r="A1574" s="7" t="str">
        <f>HYPERLINK("https://hsdes.intel.com/resource/14013165921","14013165921")</f>
        <v>14013165921</v>
      </c>
      <c r="B1574" s="7" t="s">
        <v>2766</v>
      </c>
      <c r="C1574" s="7" t="s">
        <v>1420</v>
      </c>
      <c r="D1574" s="7" t="s">
        <v>2788</v>
      </c>
      <c r="E1574" s="7" t="s">
        <v>87</v>
      </c>
      <c r="F1574" s="7" t="s">
        <v>2768</v>
      </c>
      <c r="G1574" s="7" t="s">
        <v>1605</v>
      </c>
      <c r="H1574" s="7"/>
      <c r="I1574" s="10">
        <v>44762</v>
      </c>
      <c r="J1574" s="7" t="s">
        <v>13</v>
      </c>
      <c r="K1574" s="7" t="s">
        <v>67</v>
      </c>
      <c r="L1574" s="7" t="s">
        <v>68</v>
      </c>
      <c r="M1574" s="7" t="s">
        <v>21</v>
      </c>
    </row>
    <row r="1575" spans="1:13" x14ac:dyDescent="0.3">
      <c r="A1575" s="7" t="str">
        <f>HYPERLINK("https://hsdes.intel.com/resource/14013165924","14013165924")</f>
        <v>14013165924</v>
      </c>
      <c r="B1575" s="7" t="s">
        <v>2789</v>
      </c>
      <c r="C1575" s="7" t="s">
        <v>1420</v>
      </c>
      <c r="D1575" s="7" t="s">
        <v>2790</v>
      </c>
      <c r="E1575" s="7" t="s">
        <v>11</v>
      </c>
      <c r="F1575" s="7"/>
      <c r="G1575" s="7" t="s">
        <v>2791</v>
      </c>
      <c r="H1575" s="7"/>
      <c r="I1575" s="7"/>
      <c r="J1575" s="7" t="s">
        <v>13</v>
      </c>
      <c r="K1575" s="7" t="s">
        <v>296</v>
      </c>
      <c r="L1575" s="7" t="s">
        <v>297</v>
      </c>
      <c r="M1575" s="7" t="s">
        <v>16</v>
      </c>
    </row>
    <row r="1576" spans="1:13" x14ac:dyDescent="0.3">
      <c r="A1576" s="7" t="str">
        <f>HYPERLINK("https://hsdes.intel.com/resource/14013165927","14013165927")</f>
        <v>14013165927</v>
      </c>
      <c r="B1576" s="7" t="s">
        <v>2792</v>
      </c>
      <c r="C1576" s="7" t="s">
        <v>1420</v>
      </c>
      <c r="D1576" s="7" t="s">
        <v>2793</v>
      </c>
      <c r="E1576" s="7" t="s">
        <v>838</v>
      </c>
      <c r="F1576" s="7" t="s">
        <v>1873</v>
      </c>
      <c r="G1576" s="7" t="s">
        <v>345</v>
      </c>
      <c r="H1576" s="7"/>
      <c r="I1576" s="10">
        <v>44757</v>
      </c>
      <c r="J1576" s="7" t="s">
        <v>13</v>
      </c>
      <c r="K1576" s="7" t="s">
        <v>93</v>
      </c>
      <c r="L1576" s="7" t="s">
        <v>94</v>
      </c>
      <c r="M1576" s="7" t="s">
        <v>16</v>
      </c>
    </row>
    <row r="1577" spans="1:13" x14ac:dyDescent="0.3">
      <c r="A1577" s="7" t="str">
        <f>HYPERLINK("https://hsdes.intel.com/resource/14013165985","14013165985")</f>
        <v>14013165985</v>
      </c>
      <c r="B1577" s="7" t="s">
        <v>973</v>
      </c>
      <c r="C1577" s="7" t="s">
        <v>1420</v>
      </c>
      <c r="D1577" s="7" t="s">
        <v>974</v>
      </c>
      <c r="E1577" s="7"/>
      <c r="F1577" s="7"/>
      <c r="G1577" s="7" t="s">
        <v>833</v>
      </c>
      <c r="H1577" s="7"/>
      <c r="I1577" s="7"/>
      <c r="J1577" s="7" t="s">
        <v>13</v>
      </c>
      <c r="K1577" s="7" t="s">
        <v>639</v>
      </c>
      <c r="L1577" s="7" t="s">
        <v>110</v>
      </c>
      <c r="M1577" s="7" t="s">
        <v>16</v>
      </c>
    </row>
    <row r="1578" spans="1:13" x14ac:dyDescent="0.3">
      <c r="A1578" s="7" t="str">
        <f>HYPERLINK("https://hsdes.intel.com/resource/14013166044","14013166044")</f>
        <v>14013166044</v>
      </c>
      <c r="B1578" s="7" t="s">
        <v>976</v>
      </c>
      <c r="C1578" s="7" t="s">
        <v>1420</v>
      </c>
      <c r="D1578" s="7" t="s">
        <v>977</v>
      </c>
      <c r="E1578" s="7"/>
      <c r="F1578" s="7"/>
      <c r="G1578" s="7" t="s">
        <v>833</v>
      </c>
      <c r="H1578" s="7"/>
      <c r="I1578" s="7"/>
      <c r="J1578" s="7" t="s">
        <v>13</v>
      </c>
      <c r="K1578" s="7" t="s">
        <v>978</v>
      </c>
      <c r="L1578" s="7" t="s">
        <v>979</v>
      </c>
      <c r="M1578" s="7" t="s">
        <v>16</v>
      </c>
    </row>
    <row r="1579" spans="1:13" x14ac:dyDescent="0.3">
      <c r="A1579" s="7" t="str">
        <f>HYPERLINK("https://hsdes.intel.com/resource/14013166087","14013166087")</f>
        <v>14013166087</v>
      </c>
      <c r="B1579" s="7" t="s">
        <v>981</v>
      </c>
      <c r="C1579" s="7" t="s">
        <v>1420</v>
      </c>
      <c r="D1579" s="7" t="s">
        <v>982</v>
      </c>
      <c r="E1579" s="7"/>
      <c r="F1579" s="7"/>
      <c r="G1579" s="7" t="s">
        <v>833</v>
      </c>
      <c r="H1579" s="7"/>
      <c r="I1579" s="7"/>
      <c r="J1579" s="7" t="s">
        <v>13</v>
      </c>
      <c r="K1579" s="7" t="s">
        <v>978</v>
      </c>
      <c r="L1579" s="7" t="s">
        <v>979</v>
      </c>
      <c r="M1579" s="7" t="s">
        <v>16</v>
      </c>
    </row>
    <row r="1580" spans="1:13" x14ac:dyDescent="0.3">
      <c r="A1580" s="7" t="str">
        <f>HYPERLINK("https://hsdes.intel.com/resource/14013166219","14013166219")</f>
        <v>14013166219</v>
      </c>
      <c r="B1580" s="7" t="s">
        <v>984</v>
      </c>
      <c r="C1580" s="7" t="s">
        <v>1420</v>
      </c>
      <c r="D1580" s="7" t="s">
        <v>985</v>
      </c>
      <c r="E1580" s="7"/>
      <c r="F1580" s="7"/>
      <c r="G1580" s="7" t="s">
        <v>833</v>
      </c>
      <c r="H1580" s="7"/>
      <c r="I1580" s="7"/>
      <c r="J1580" s="7" t="s">
        <v>13</v>
      </c>
      <c r="K1580" s="7" t="s">
        <v>978</v>
      </c>
      <c r="L1580" s="7" t="s">
        <v>979</v>
      </c>
      <c r="M1580" s="7" t="s">
        <v>16</v>
      </c>
    </row>
    <row r="1581" spans="1:13" x14ac:dyDescent="0.3">
      <c r="A1581" s="7" t="str">
        <f>HYPERLINK("https://hsdes.intel.com/resource/14013166261","14013166261")</f>
        <v>14013166261</v>
      </c>
      <c r="B1581" s="7" t="s">
        <v>2794</v>
      </c>
      <c r="C1581" s="7" t="s">
        <v>1420</v>
      </c>
      <c r="D1581" s="7" t="s">
        <v>2795</v>
      </c>
      <c r="E1581" s="7" t="s">
        <v>11</v>
      </c>
      <c r="F1581" s="7" t="s">
        <v>651</v>
      </c>
      <c r="G1581" s="7" t="s">
        <v>843</v>
      </c>
      <c r="H1581" s="7"/>
      <c r="I1581" s="10">
        <v>44755</v>
      </c>
      <c r="J1581" s="7" t="s">
        <v>13</v>
      </c>
      <c r="K1581" s="7" t="s">
        <v>28</v>
      </c>
      <c r="L1581" s="7" t="s">
        <v>29</v>
      </c>
      <c r="M1581" s="7" t="s">
        <v>24</v>
      </c>
    </row>
    <row r="1582" spans="1:13" x14ac:dyDescent="0.3">
      <c r="A1582" s="7" t="str">
        <f>HYPERLINK("https://hsdes.intel.com/resource/14013166315","14013166315")</f>
        <v>14013166315</v>
      </c>
      <c r="B1582" s="7" t="s">
        <v>987</v>
      </c>
      <c r="C1582" s="7" t="s">
        <v>1420</v>
      </c>
      <c r="D1582" s="7" t="s">
        <v>988</v>
      </c>
      <c r="E1582" s="7"/>
      <c r="F1582" s="7"/>
      <c r="G1582" s="7" t="s">
        <v>833</v>
      </c>
      <c r="H1582" s="7"/>
      <c r="I1582" s="7"/>
      <c r="J1582" s="7" t="s">
        <v>13</v>
      </c>
      <c r="K1582" s="7" t="s">
        <v>978</v>
      </c>
      <c r="L1582" s="7" t="s">
        <v>979</v>
      </c>
      <c r="M1582" s="7" t="s">
        <v>16</v>
      </c>
    </row>
    <row r="1583" spans="1:13" x14ac:dyDescent="0.3">
      <c r="A1583" s="7" t="str">
        <f>HYPERLINK("https://hsdes.intel.com/resource/14013166440","14013166440")</f>
        <v>14013166440</v>
      </c>
      <c r="B1583" s="7" t="s">
        <v>990</v>
      </c>
      <c r="C1583" s="7" t="s">
        <v>1420</v>
      </c>
      <c r="D1583" s="7" t="s">
        <v>991</v>
      </c>
      <c r="E1583" s="7"/>
      <c r="F1583" s="7"/>
      <c r="G1583" s="7" t="s">
        <v>833</v>
      </c>
      <c r="H1583" s="7"/>
      <c r="I1583" s="7"/>
      <c r="J1583" s="7" t="s">
        <v>13</v>
      </c>
      <c r="K1583" s="7" t="s">
        <v>978</v>
      </c>
      <c r="L1583" s="7" t="s">
        <v>979</v>
      </c>
      <c r="M1583" s="7" t="s">
        <v>16</v>
      </c>
    </row>
    <row r="1584" spans="1:13" x14ac:dyDescent="0.3">
      <c r="A1584" s="7" t="str">
        <f>HYPERLINK("https://hsdes.intel.com/resource/14013166665","14013166665")</f>
        <v>14013166665</v>
      </c>
      <c r="B1584" s="7" t="s">
        <v>2796</v>
      </c>
      <c r="C1584" s="7" t="s">
        <v>1420</v>
      </c>
      <c r="D1584" s="7" t="s">
        <v>2797</v>
      </c>
      <c r="E1584" s="7" t="s">
        <v>11</v>
      </c>
      <c r="F1584" s="7"/>
      <c r="G1584" s="7" t="s">
        <v>1849</v>
      </c>
      <c r="H1584" s="7"/>
      <c r="I1584" s="10">
        <v>44755</v>
      </c>
      <c r="J1584" s="7" t="s">
        <v>13</v>
      </c>
      <c r="K1584" s="7" t="s">
        <v>14</v>
      </c>
      <c r="L1584" s="7" t="s">
        <v>88</v>
      </c>
      <c r="M1584" s="7" t="s">
        <v>16</v>
      </c>
    </row>
    <row r="1585" spans="1:13" x14ac:dyDescent="0.3">
      <c r="A1585" s="7" t="str">
        <f>HYPERLINK("https://hsdes.intel.com/resource/14013166714","14013166714")</f>
        <v>14013166714</v>
      </c>
      <c r="B1585" s="7" t="s">
        <v>993</v>
      </c>
      <c r="C1585" s="7" t="s">
        <v>1420</v>
      </c>
      <c r="D1585" s="7" t="s">
        <v>994</v>
      </c>
      <c r="E1585" s="7"/>
      <c r="F1585" s="7"/>
      <c r="G1585" s="7" t="s">
        <v>833</v>
      </c>
      <c r="H1585" s="7"/>
      <c r="I1585" s="7"/>
      <c r="J1585" s="7" t="s">
        <v>13</v>
      </c>
      <c r="K1585" s="7" t="s">
        <v>978</v>
      </c>
      <c r="L1585" s="7" t="s">
        <v>979</v>
      </c>
      <c r="M1585" s="7" t="s">
        <v>16</v>
      </c>
    </row>
    <row r="1586" spans="1:13" x14ac:dyDescent="0.3">
      <c r="A1586" s="7" t="str">
        <f>HYPERLINK("https://hsdes.intel.com/resource/14013166736","14013166736")</f>
        <v>14013166736</v>
      </c>
      <c r="B1586" s="7" t="s">
        <v>996</v>
      </c>
      <c r="C1586" s="7" t="s">
        <v>1420</v>
      </c>
      <c r="D1586" s="7" t="s">
        <v>997</v>
      </c>
      <c r="E1586" s="7"/>
      <c r="F1586" s="7"/>
      <c r="G1586" s="7" t="s">
        <v>833</v>
      </c>
      <c r="H1586" s="7"/>
      <c r="I1586" s="7"/>
      <c r="J1586" s="7" t="s">
        <v>13</v>
      </c>
      <c r="K1586" s="7" t="s">
        <v>978</v>
      </c>
      <c r="L1586" s="7" t="s">
        <v>979</v>
      </c>
      <c r="M1586" s="7" t="s">
        <v>16</v>
      </c>
    </row>
    <row r="1587" spans="1:13" x14ac:dyDescent="0.3">
      <c r="A1587" s="7" t="str">
        <f>HYPERLINK("https://hsdes.intel.com/resource/14013166741","14013166741")</f>
        <v>14013166741</v>
      </c>
      <c r="B1587" s="7" t="s">
        <v>999</v>
      </c>
      <c r="C1587" s="7" t="s">
        <v>1420</v>
      </c>
      <c r="D1587" s="7" t="s">
        <v>1000</v>
      </c>
      <c r="E1587" s="7"/>
      <c r="F1587" s="7"/>
      <c r="G1587" s="7" t="s">
        <v>833</v>
      </c>
      <c r="H1587" s="7"/>
      <c r="I1587" s="7"/>
      <c r="J1587" s="7" t="s">
        <v>13</v>
      </c>
      <c r="K1587" s="7" t="s">
        <v>978</v>
      </c>
      <c r="L1587" s="7" t="s">
        <v>979</v>
      </c>
      <c r="M1587" s="7" t="s">
        <v>16</v>
      </c>
    </row>
    <row r="1588" spans="1:13" x14ac:dyDescent="0.3">
      <c r="A1588" s="7" t="str">
        <f>HYPERLINK("https://hsdes.intel.com/resource/14013166744","14013166744")</f>
        <v>14013166744</v>
      </c>
      <c r="B1588" s="7" t="s">
        <v>1002</v>
      </c>
      <c r="C1588" s="7" t="s">
        <v>1420</v>
      </c>
      <c r="D1588" s="7" t="s">
        <v>1003</v>
      </c>
      <c r="E1588" s="7"/>
      <c r="F1588" s="7"/>
      <c r="G1588" s="7" t="s">
        <v>833</v>
      </c>
      <c r="H1588" s="7"/>
      <c r="I1588" s="7"/>
      <c r="J1588" s="7" t="s">
        <v>13</v>
      </c>
      <c r="K1588" s="7" t="s">
        <v>978</v>
      </c>
      <c r="L1588" s="7" t="s">
        <v>979</v>
      </c>
      <c r="M1588" s="7" t="s">
        <v>16</v>
      </c>
    </row>
    <row r="1589" spans="1:13" x14ac:dyDescent="0.3">
      <c r="A1589" s="7" t="str">
        <f>HYPERLINK("https://hsdes.intel.com/resource/14013166925","14013166925")</f>
        <v>14013166925</v>
      </c>
      <c r="B1589" s="7" t="s">
        <v>1005</v>
      </c>
      <c r="C1589" s="7" t="s">
        <v>1420</v>
      </c>
      <c r="D1589" s="7" t="s">
        <v>1006</v>
      </c>
      <c r="E1589" s="7"/>
      <c r="F1589" s="7"/>
      <c r="G1589" s="7" t="s">
        <v>833</v>
      </c>
      <c r="H1589" s="7"/>
      <c r="I1589" s="7"/>
      <c r="J1589" s="7" t="s">
        <v>13</v>
      </c>
      <c r="K1589" s="7" t="s">
        <v>639</v>
      </c>
      <c r="L1589" s="7" t="s">
        <v>110</v>
      </c>
      <c r="M1589" s="7" t="s">
        <v>24</v>
      </c>
    </row>
    <row r="1590" spans="1:13" x14ac:dyDescent="0.3">
      <c r="A1590" s="7" t="str">
        <f>HYPERLINK("https://hsdes.intel.com/resource/14013166930","14013166930")</f>
        <v>14013166930</v>
      </c>
      <c r="B1590" s="7" t="s">
        <v>1008</v>
      </c>
      <c r="C1590" s="7" t="s">
        <v>1420</v>
      </c>
      <c r="D1590" s="7" t="s">
        <v>1009</v>
      </c>
      <c r="E1590" s="7"/>
      <c r="F1590" s="7"/>
      <c r="G1590" s="7" t="s">
        <v>833</v>
      </c>
      <c r="H1590" s="7"/>
      <c r="I1590" s="7"/>
      <c r="J1590" s="7" t="s">
        <v>13</v>
      </c>
      <c r="K1590" s="7" t="s">
        <v>639</v>
      </c>
      <c r="L1590" s="7" t="s">
        <v>110</v>
      </c>
      <c r="M1590" s="7" t="s">
        <v>16</v>
      </c>
    </row>
    <row r="1591" spans="1:13" x14ac:dyDescent="0.3">
      <c r="A1591" s="7" t="str">
        <f>HYPERLINK("https://hsdes.intel.com/resource/14013166939","14013166939")</f>
        <v>14013166939</v>
      </c>
      <c r="B1591" s="7" t="s">
        <v>1011</v>
      </c>
      <c r="C1591" s="7" t="s">
        <v>1420</v>
      </c>
      <c r="D1591" s="7" t="s">
        <v>1012</v>
      </c>
      <c r="E1591" s="7"/>
      <c r="F1591" s="7"/>
      <c r="G1591" s="7" t="s">
        <v>833</v>
      </c>
      <c r="H1591" s="7"/>
      <c r="I1591" s="7"/>
      <c r="J1591" s="7" t="s">
        <v>13</v>
      </c>
      <c r="K1591" s="7" t="s">
        <v>639</v>
      </c>
      <c r="L1591" s="7" t="s">
        <v>110</v>
      </c>
      <c r="M1591" s="7" t="s">
        <v>16</v>
      </c>
    </row>
    <row r="1592" spans="1:13" x14ac:dyDescent="0.3">
      <c r="A1592" s="7" t="str">
        <f>HYPERLINK("https://hsdes.intel.com/resource/14013166943","14013166943")</f>
        <v>14013166943</v>
      </c>
      <c r="B1592" s="7" t="s">
        <v>1014</v>
      </c>
      <c r="C1592" s="7" t="s">
        <v>1420</v>
      </c>
      <c r="D1592" s="7" t="s">
        <v>1015</v>
      </c>
      <c r="E1592" s="7"/>
      <c r="F1592" s="7"/>
      <c r="G1592" s="7" t="s">
        <v>833</v>
      </c>
      <c r="H1592" s="7"/>
      <c r="I1592" s="7"/>
      <c r="J1592" s="7" t="s">
        <v>13</v>
      </c>
      <c r="K1592" s="7" t="s">
        <v>639</v>
      </c>
      <c r="L1592" s="7" t="s">
        <v>110</v>
      </c>
      <c r="M1592" s="7" t="s">
        <v>16</v>
      </c>
    </row>
    <row r="1593" spans="1:13" x14ac:dyDescent="0.3">
      <c r="A1593" s="7" t="str">
        <f>HYPERLINK("https://hsdes.intel.com/resource/14013166951","14013166951")</f>
        <v>14013166951</v>
      </c>
      <c r="B1593" s="7" t="s">
        <v>1017</v>
      </c>
      <c r="C1593" s="7" t="s">
        <v>1420</v>
      </c>
      <c r="D1593" s="7" t="s">
        <v>1018</v>
      </c>
      <c r="E1593" s="7"/>
      <c r="F1593" s="7"/>
      <c r="G1593" s="7" t="s">
        <v>833</v>
      </c>
      <c r="H1593" s="7"/>
      <c r="I1593" s="7"/>
      <c r="J1593" s="7" t="s">
        <v>13</v>
      </c>
      <c r="K1593" s="7" t="s">
        <v>45</v>
      </c>
      <c r="L1593" s="7" t="s">
        <v>110</v>
      </c>
      <c r="M1593" s="7" t="s">
        <v>16</v>
      </c>
    </row>
    <row r="1594" spans="1:13" x14ac:dyDescent="0.3">
      <c r="A1594" s="7" t="str">
        <f>HYPERLINK("https://hsdes.intel.com/resource/14013166957","14013166957")</f>
        <v>14013166957</v>
      </c>
      <c r="B1594" s="7" t="s">
        <v>1020</v>
      </c>
      <c r="C1594" s="7" t="s">
        <v>1420</v>
      </c>
      <c r="D1594" s="7" t="s">
        <v>1021</v>
      </c>
      <c r="E1594" s="7"/>
      <c r="F1594" s="7"/>
      <c r="G1594" s="7" t="s">
        <v>833</v>
      </c>
      <c r="H1594" s="7"/>
      <c r="I1594" s="7"/>
      <c r="J1594" s="7" t="s">
        <v>13</v>
      </c>
      <c r="K1594" s="7" t="s">
        <v>639</v>
      </c>
      <c r="L1594" s="7" t="s">
        <v>110</v>
      </c>
      <c r="M1594" s="7" t="s">
        <v>24</v>
      </c>
    </row>
    <row r="1595" spans="1:13" x14ac:dyDescent="0.3">
      <c r="A1595" s="7" t="str">
        <f>HYPERLINK("https://hsdes.intel.com/resource/14013166966","14013166966")</f>
        <v>14013166966</v>
      </c>
      <c r="B1595" s="7" t="s">
        <v>1023</v>
      </c>
      <c r="C1595" s="7" t="s">
        <v>1420</v>
      </c>
      <c r="D1595" s="7" t="s">
        <v>1024</v>
      </c>
      <c r="E1595" s="7"/>
      <c r="F1595" s="7"/>
      <c r="G1595" s="7" t="s">
        <v>833</v>
      </c>
      <c r="H1595" s="7"/>
      <c r="I1595" s="7"/>
      <c r="J1595" s="7" t="s">
        <v>13</v>
      </c>
      <c r="K1595" s="7" t="s">
        <v>639</v>
      </c>
      <c r="L1595" s="7" t="s">
        <v>110</v>
      </c>
      <c r="M1595" s="7" t="s">
        <v>16</v>
      </c>
    </row>
    <row r="1596" spans="1:13" x14ac:dyDescent="0.3">
      <c r="A1596" s="7" t="str">
        <f>HYPERLINK("https://hsdes.intel.com/resource/14013166973","14013166973")</f>
        <v>14013166973</v>
      </c>
      <c r="B1596" s="7" t="s">
        <v>1027</v>
      </c>
      <c r="C1596" s="7" t="s">
        <v>1420</v>
      </c>
      <c r="D1596" s="7" t="s">
        <v>1028</v>
      </c>
      <c r="E1596" s="7"/>
      <c r="F1596" s="7"/>
      <c r="G1596" s="7" t="s">
        <v>833</v>
      </c>
      <c r="H1596" s="7"/>
      <c r="I1596" s="7"/>
      <c r="J1596" s="7" t="s">
        <v>394</v>
      </c>
      <c r="K1596" s="7" t="s">
        <v>639</v>
      </c>
      <c r="L1596" s="7" t="s">
        <v>110</v>
      </c>
      <c r="M1596" s="7" t="s">
        <v>16</v>
      </c>
    </row>
    <row r="1597" spans="1:13" x14ac:dyDescent="0.3">
      <c r="A1597" s="7" t="str">
        <f>HYPERLINK("https://hsdes.intel.com/resource/14013166980","14013166980")</f>
        <v>14013166980</v>
      </c>
      <c r="B1597" s="7" t="s">
        <v>1031</v>
      </c>
      <c r="C1597" s="7" t="s">
        <v>1420</v>
      </c>
      <c r="D1597" s="7" t="s">
        <v>1032</v>
      </c>
      <c r="E1597" s="7"/>
      <c r="F1597" s="7"/>
      <c r="G1597" s="7" t="s">
        <v>833</v>
      </c>
      <c r="H1597" s="7"/>
      <c r="I1597" s="7"/>
      <c r="J1597" s="7" t="s">
        <v>13</v>
      </c>
      <c r="K1597" s="7" t="s">
        <v>639</v>
      </c>
      <c r="L1597" s="7" t="s">
        <v>110</v>
      </c>
      <c r="M1597" s="7" t="s">
        <v>16</v>
      </c>
    </row>
    <row r="1598" spans="1:13" x14ac:dyDescent="0.3">
      <c r="A1598" s="7" t="str">
        <f>HYPERLINK("https://hsdes.intel.com/resource/14013166986","14013166986")</f>
        <v>14013166986</v>
      </c>
      <c r="B1598" s="7" t="s">
        <v>1034</v>
      </c>
      <c r="C1598" s="7" t="s">
        <v>1420</v>
      </c>
      <c r="D1598" s="7" t="s">
        <v>1035</v>
      </c>
      <c r="E1598" s="7"/>
      <c r="F1598" s="7"/>
      <c r="G1598" s="7" t="s">
        <v>833</v>
      </c>
      <c r="H1598" s="7"/>
      <c r="I1598" s="7"/>
      <c r="J1598" s="7" t="s">
        <v>13</v>
      </c>
      <c r="K1598" s="7" t="s">
        <v>639</v>
      </c>
      <c r="L1598" s="7" t="s">
        <v>110</v>
      </c>
      <c r="M1598" s="7" t="s">
        <v>16</v>
      </c>
    </row>
    <row r="1599" spans="1:13" x14ac:dyDescent="0.3">
      <c r="A1599" s="7" t="str">
        <f>HYPERLINK("https://hsdes.intel.com/resource/14013166995","14013166995")</f>
        <v>14013166995</v>
      </c>
      <c r="B1599" s="7" t="s">
        <v>1037</v>
      </c>
      <c r="C1599" s="7" t="s">
        <v>1420</v>
      </c>
      <c r="D1599" s="7" t="s">
        <v>1038</v>
      </c>
      <c r="E1599" s="7"/>
      <c r="F1599" s="7"/>
      <c r="G1599" s="7" t="s">
        <v>833</v>
      </c>
      <c r="H1599" s="7"/>
      <c r="I1599" s="7"/>
      <c r="J1599" s="7" t="s">
        <v>13</v>
      </c>
      <c r="K1599" s="7" t="s">
        <v>639</v>
      </c>
      <c r="L1599" s="7" t="s">
        <v>110</v>
      </c>
      <c r="M1599" s="7" t="s">
        <v>16</v>
      </c>
    </row>
    <row r="1600" spans="1:13" x14ac:dyDescent="0.3">
      <c r="A1600" s="7" t="str">
        <f>HYPERLINK("https://hsdes.intel.com/resource/14013167008","14013167008")</f>
        <v>14013167008</v>
      </c>
      <c r="B1600" s="7" t="s">
        <v>1040</v>
      </c>
      <c r="C1600" s="7" t="s">
        <v>1420</v>
      </c>
      <c r="D1600" s="7" t="s">
        <v>1041</v>
      </c>
      <c r="E1600" s="7"/>
      <c r="F1600" s="7"/>
      <c r="G1600" s="7" t="s">
        <v>833</v>
      </c>
      <c r="H1600" s="7"/>
      <c r="I1600" s="7"/>
      <c r="J1600" s="7" t="s">
        <v>13</v>
      </c>
      <c r="K1600" s="7" t="s">
        <v>639</v>
      </c>
      <c r="L1600" s="7" t="s">
        <v>110</v>
      </c>
      <c r="M1600" s="7" t="s">
        <v>24</v>
      </c>
    </row>
    <row r="1601" spans="1:13" x14ac:dyDescent="0.3">
      <c r="A1601" s="7" t="str">
        <f>HYPERLINK("https://hsdes.intel.com/resource/14013167011","14013167011")</f>
        <v>14013167011</v>
      </c>
      <c r="B1601" s="7" t="s">
        <v>1043</v>
      </c>
      <c r="C1601" s="7" t="s">
        <v>1420</v>
      </c>
      <c r="D1601" s="7" t="s">
        <v>1044</v>
      </c>
      <c r="E1601" s="7"/>
      <c r="F1601" s="7"/>
      <c r="G1601" s="7" t="s">
        <v>833</v>
      </c>
      <c r="H1601" s="7"/>
      <c r="I1601" s="7"/>
      <c r="J1601" s="7" t="s">
        <v>13</v>
      </c>
      <c r="K1601" s="7" t="s">
        <v>639</v>
      </c>
      <c r="L1601" s="7" t="s">
        <v>110</v>
      </c>
      <c r="M1601" s="7" t="s">
        <v>16</v>
      </c>
    </row>
    <row r="1602" spans="1:13" x14ac:dyDescent="0.3">
      <c r="A1602" s="7" t="str">
        <f>HYPERLINK("https://hsdes.intel.com/resource/14013167043","14013167043")</f>
        <v>14013167043</v>
      </c>
      <c r="B1602" s="7" t="s">
        <v>1046</v>
      </c>
      <c r="C1602" s="7" t="s">
        <v>1420</v>
      </c>
      <c r="D1602" s="7" t="s">
        <v>1047</v>
      </c>
      <c r="E1602" s="7"/>
      <c r="F1602" s="7"/>
      <c r="G1602" s="7" t="s">
        <v>833</v>
      </c>
      <c r="H1602" s="7"/>
      <c r="I1602" s="7"/>
      <c r="J1602" s="7" t="s">
        <v>13</v>
      </c>
      <c r="K1602" s="7" t="s">
        <v>639</v>
      </c>
      <c r="L1602" s="7" t="s">
        <v>110</v>
      </c>
      <c r="M1602" s="7" t="s">
        <v>16</v>
      </c>
    </row>
    <row r="1603" spans="1:13" x14ac:dyDescent="0.3">
      <c r="A1603" s="7" t="str">
        <f>HYPERLINK("https://hsdes.intel.com/resource/14013167052","14013167052")</f>
        <v>14013167052</v>
      </c>
      <c r="B1603" s="7" t="s">
        <v>1049</v>
      </c>
      <c r="C1603" s="7" t="s">
        <v>1420</v>
      </c>
      <c r="D1603" s="7" t="s">
        <v>1050</v>
      </c>
      <c r="E1603" s="7"/>
      <c r="F1603" s="7"/>
      <c r="G1603" s="7" t="s">
        <v>833</v>
      </c>
      <c r="H1603" s="7"/>
      <c r="I1603" s="7"/>
      <c r="J1603" s="7" t="s">
        <v>13</v>
      </c>
      <c r="K1603" s="7" t="s">
        <v>639</v>
      </c>
      <c r="L1603" s="7" t="s">
        <v>110</v>
      </c>
      <c r="M1603" s="7" t="s">
        <v>16</v>
      </c>
    </row>
    <row r="1604" spans="1:13" x14ac:dyDescent="0.3">
      <c r="A1604" s="7" t="str">
        <f>HYPERLINK("https://hsdes.intel.com/resource/14013167054","14013167054")</f>
        <v>14013167054</v>
      </c>
      <c r="B1604" s="7" t="s">
        <v>1053</v>
      </c>
      <c r="C1604" s="7" t="s">
        <v>1420</v>
      </c>
      <c r="D1604" s="7" t="s">
        <v>1054</v>
      </c>
      <c r="E1604" s="7"/>
      <c r="F1604" s="7"/>
      <c r="G1604" s="7" t="s">
        <v>833</v>
      </c>
      <c r="H1604" s="7"/>
      <c r="I1604" s="7"/>
      <c r="J1604" s="7" t="s">
        <v>13</v>
      </c>
      <c r="K1604" s="7" t="s">
        <v>639</v>
      </c>
      <c r="L1604" s="7" t="s">
        <v>110</v>
      </c>
      <c r="M1604" s="7" t="s">
        <v>24</v>
      </c>
    </row>
    <row r="1605" spans="1:13" x14ac:dyDescent="0.3">
      <c r="A1605" s="7" t="str">
        <f>HYPERLINK("https://hsdes.intel.com/resource/14013167061","14013167061")</f>
        <v>14013167061</v>
      </c>
      <c r="B1605" s="7" t="s">
        <v>1057</v>
      </c>
      <c r="C1605" s="7" t="s">
        <v>1420</v>
      </c>
      <c r="D1605" s="7" t="s">
        <v>1058</v>
      </c>
      <c r="E1605" s="7"/>
      <c r="F1605" s="7"/>
      <c r="G1605" s="7" t="s">
        <v>833</v>
      </c>
      <c r="H1605" s="7"/>
      <c r="I1605" s="7"/>
      <c r="J1605" s="7" t="s">
        <v>13</v>
      </c>
      <c r="K1605" s="7" t="s">
        <v>639</v>
      </c>
      <c r="L1605" s="7" t="s">
        <v>110</v>
      </c>
      <c r="M1605" s="7" t="s">
        <v>16</v>
      </c>
    </row>
    <row r="1606" spans="1:13" x14ac:dyDescent="0.3">
      <c r="A1606" s="7" t="str">
        <f>HYPERLINK("https://hsdes.intel.com/resource/14013167069","14013167069")</f>
        <v>14013167069</v>
      </c>
      <c r="B1606" s="7" t="s">
        <v>1060</v>
      </c>
      <c r="C1606" s="7" t="s">
        <v>1420</v>
      </c>
      <c r="D1606" s="7" t="s">
        <v>1061</v>
      </c>
      <c r="E1606" s="7"/>
      <c r="F1606" s="7"/>
      <c r="G1606" s="7" t="s">
        <v>833</v>
      </c>
      <c r="H1606" s="7"/>
      <c r="I1606" s="7"/>
      <c r="J1606" s="7" t="s">
        <v>13</v>
      </c>
      <c r="K1606" s="7" t="s">
        <v>639</v>
      </c>
      <c r="L1606" s="7" t="s">
        <v>110</v>
      </c>
      <c r="M1606" s="7" t="s">
        <v>16</v>
      </c>
    </row>
    <row r="1607" spans="1:13" x14ac:dyDescent="0.3">
      <c r="A1607" s="7" t="str">
        <f>HYPERLINK("https://hsdes.intel.com/resource/14013167076","14013167076")</f>
        <v>14013167076</v>
      </c>
      <c r="B1607" s="7" t="s">
        <v>1063</v>
      </c>
      <c r="C1607" s="7" t="s">
        <v>1420</v>
      </c>
      <c r="D1607" s="7" t="s">
        <v>1064</v>
      </c>
      <c r="E1607" s="7"/>
      <c r="F1607" s="7"/>
      <c r="G1607" s="7" t="s">
        <v>833</v>
      </c>
      <c r="H1607" s="7"/>
      <c r="I1607" s="7"/>
      <c r="J1607" s="7" t="s">
        <v>394</v>
      </c>
      <c r="K1607" s="7" t="s">
        <v>639</v>
      </c>
      <c r="L1607" s="7" t="s">
        <v>110</v>
      </c>
      <c r="M1607" s="7" t="s">
        <v>24</v>
      </c>
    </row>
    <row r="1608" spans="1:13" x14ac:dyDescent="0.3">
      <c r="A1608" s="7" t="str">
        <f>HYPERLINK("https://hsdes.intel.com/resource/14013167092","14013167092")</f>
        <v>14013167092</v>
      </c>
      <c r="B1608" s="7" t="s">
        <v>1066</v>
      </c>
      <c r="C1608" s="7" t="s">
        <v>1420</v>
      </c>
      <c r="D1608" s="7" t="s">
        <v>1067</v>
      </c>
      <c r="E1608" s="7"/>
      <c r="F1608" s="7"/>
      <c r="G1608" s="7" t="s">
        <v>833</v>
      </c>
      <c r="H1608" s="7"/>
      <c r="I1608" s="7"/>
      <c r="J1608" s="7" t="s">
        <v>394</v>
      </c>
      <c r="K1608" s="7" t="s">
        <v>639</v>
      </c>
      <c r="L1608" s="7" t="s">
        <v>110</v>
      </c>
      <c r="M1608" s="7" t="s">
        <v>24</v>
      </c>
    </row>
    <row r="1609" spans="1:13" x14ac:dyDescent="0.3">
      <c r="A1609" s="7" t="str">
        <f>HYPERLINK("https://hsdes.intel.com/resource/14013167252","14013167252")</f>
        <v>14013167252</v>
      </c>
      <c r="B1609" s="7" t="s">
        <v>1069</v>
      </c>
      <c r="C1609" s="7" t="s">
        <v>1420</v>
      </c>
      <c r="D1609" s="7" t="s">
        <v>1070</v>
      </c>
      <c r="E1609" s="7"/>
      <c r="F1609" s="7"/>
      <c r="G1609" s="7" t="s">
        <v>833</v>
      </c>
      <c r="H1609" s="7"/>
      <c r="I1609" s="7"/>
      <c r="J1609" s="7" t="s">
        <v>13</v>
      </c>
      <c r="K1609" s="7" t="s">
        <v>639</v>
      </c>
      <c r="L1609" s="7" t="s">
        <v>110</v>
      </c>
      <c r="M1609" s="7" t="s">
        <v>16</v>
      </c>
    </row>
    <row r="1610" spans="1:13" x14ac:dyDescent="0.3">
      <c r="A1610" s="7" t="str">
        <f>HYPERLINK("https://hsdes.intel.com/resource/14013167326","14013167326")</f>
        <v>14013167326</v>
      </c>
      <c r="B1610" s="7" t="s">
        <v>1072</v>
      </c>
      <c r="C1610" s="7" t="s">
        <v>1420</v>
      </c>
      <c r="D1610" s="7" t="s">
        <v>1073</v>
      </c>
      <c r="E1610" s="7"/>
      <c r="F1610" s="7"/>
      <c r="G1610" s="7" t="s">
        <v>833</v>
      </c>
      <c r="H1610" s="7"/>
      <c r="I1610" s="7"/>
      <c r="J1610" s="7" t="s">
        <v>13</v>
      </c>
      <c r="K1610" s="7" t="s">
        <v>639</v>
      </c>
      <c r="L1610" s="7" t="s">
        <v>110</v>
      </c>
      <c r="M1610" s="7" t="s">
        <v>21</v>
      </c>
    </row>
    <row r="1611" spans="1:13" x14ac:dyDescent="0.3">
      <c r="A1611" s="7" t="str">
        <f>HYPERLINK("https://hsdes.intel.com/resource/14013167336","14013167336")</f>
        <v>14013167336</v>
      </c>
      <c r="B1611" s="7" t="s">
        <v>1076</v>
      </c>
      <c r="C1611" s="7" t="s">
        <v>1420</v>
      </c>
      <c r="D1611" s="7" t="s">
        <v>1077</v>
      </c>
      <c r="E1611" s="7"/>
      <c r="F1611" s="7"/>
      <c r="G1611" s="7" t="s">
        <v>833</v>
      </c>
      <c r="H1611" s="7"/>
      <c r="I1611" s="7"/>
      <c r="J1611" s="7" t="s">
        <v>13</v>
      </c>
      <c r="K1611" s="7" t="s">
        <v>639</v>
      </c>
      <c r="L1611" s="7" t="s">
        <v>110</v>
      </c>
      <c r="M1611" s="7" t="s">
        <v>21</v>
      </c>
    </row>
    <row r="1612" spans="1:13" x14ac:dyDescent="0.3">
      <c r="A1612" s="7" t="str">
        <f>HYPERLINK("https://hsdes.intel.com/resource/14013167355","14013167355")</f>
        <v>14013167355</v>
      </c>
      <c r="B1612" s="7" t="s">
        <v>1079</v>
      </c>
      <c r="C1612" s="7" t="s">
        <v>1420</v>
      </c>
      <c r="D1612" s="7" t="s">
        <v>1080</v>
      </c>
      <c r="E1612" s="7"/>
      <c r="F1612" s="7"/>
      <c r="G1612" s="7" t="s">
        <v>833</v>
      </c>
      <c r="H1612" s="7"/>
      <c r="I1612" s="7"/>
      <c r="J1612" s="7" t="s">
        <v>13</v>
      </c>
      <c r="K1612" s="7" t="s">
        <v>639</v>
      </c>
      <c r="L1612" s="7" t="s">
        <v>110</v>
      </c>
      <c r="M1612" s="7" t="s">
        <v>21</v>
      </c>
    </row>
    <row r="1613" spans="1:13" x14ac:dyDescent="0.3">
      <c r="A1613" s="7" t="str">
        <f>HYPERLINK("https://hsdes.intel.com/resource/14013167380","14013167380")</f>
        <v>14013167380</v>
      </c>
      <c r="B1613" s="7" t="s">
        <v>1082</v>
      </c>
      <c r="C1613" s="7" t="s">
        <v>1420</v>
      </c>
      <c r="D1613" s="7" t="s">
        <v>1083</v>
      </c>
      <c r="E1613" s="7"/>
      <c r="F1613" s="7"/>
      <c r="G1613" s="7" t="s">
        <v>833</v>
      </c>
      <c r="H1613" s="7"/>
      <c r="I1613" s="7"/>
      <c r="J1613" s="7" t="s">
        <v>13</v>
      </c>
      <c r="K1613" s="7" t="s">
        <v>639</v>
      </c>
      <c r="L1613" s="7" t="s">
        <v>110</v>
      </c>
      <c r="M1613" s="7" t="s">
        <v>21</v>
      </c>
    </row>
    <row r="1614" spans="1:13" x14ac:dyDescent="0.3">
      <c r="A1614" s="7" t="str">
        <f>HYPERLINK("https://hsdes.intel.com/resource/14013167401","14013167401")</f>
        <v>14013167401</v>
      </c>
      <c r="B1614" s="7" t="s">
        <v>1085</v>
      </c>
      <c r="C1614" s="7" t="s">
        <v>1420</v>
      </c>
      <c r="D1614" s="7" t="s">
        <v>1086</v>
      </c>
      <c r="E1614" s="7"/>
      <c r="F1614" s="7"/>
      <c r="G1614" s="7" t="s">
        <v>833</v>
      </c>
      <c r="H1614" s="7"/>
      <c r="I1614" s="7"/>
      <c r="J1614" s="7" t="s">
        <v>13</v>
      </c>
      <c r="K1614" s="7" t="s">
        <v>639</v>
      </c>
      <c r="L1614" s="7" t="s">
        <v>110</v>
      </c>
      <c r="M1614" s="7" t="s">
        <v>24</v>
      </c>
    </row>
    <row r="1615" spans="1:13" x14ac:dyDescent="0.3">
      <c r="A1615" s="7" t="str">
        <f>HYPERLINK("https://hsdes.intel.com/resource/14013167451","14013167451")</f>
        <v>14013167451</v>
      </c>
      <c r="B1615" s="7" t="s">
        <v>1088</v>
      </c>
      <c r="C1615" s="7" t="s">
        <v>1420</v>
      </c>
      <c r="D1615" s="7" t="s">
        <v>1089</v>
      </c>
      <c r="E1615" s="7"/>
      <c r="F1615" s="7"/>
      <c r="G1615" s="7" t="s">
        <v>833</v>
      </c>
      <c r="H1615" s="7"/>
      <c r="I1615" s="7"/>
      <c r="J1615" s="7" t="s">
        <v>13</v>
      </c>
      <c r="K1615" s="7" t="s">
        <v>639</v>
      </c>
      <c r="L1615" s="7" t="s">
        <v>110</v>
      </c>
      <c r="M1615" s="7" t="s">
        <v>21</v>
      </c>
    </row>
    <row r="1616" spans="1:13" x14ac:dyDescent="0.3">
      <c r="A1616" s="7" t="str">
        <f>HYPERLINK("https://hsdes.intel.com/resource/14013167486","14013167486")</f>
        <v>14013167486</v>
      </c>
      <c r="B1616" s="7" t="s">
        <v>1091</v>
      </c>
      <c r="C1616" s="7" t="s">
        <v>1420</v>
      </c>
      <c r="D1616" s="7" t="s">
        <v>1092</v>
      </c>
      <c r="E1616" s="7"/>
      <c r="F1616" s="7"/>
      <c r="G1616" s="7" t="s">
        <v>833</v>
      </c>
      <c r="H1616" s="7"/>
      <c r="I1616" s="7"/>
      <c r="J1616" s="7" t="s">
        <v>13</v>
      </c>
      <c r="K1616" s="7" t="s">
        <v>639</v>
      </c>
      <c r="L1616" s="7" t="s">
        <v>110</v>
      </c>
      <c r="M1616" s="7" t="s">
        <v>24</v>
      </c>
    </row>
    <row r="1617" spans="1:13" x14ac:dyDescent="0.3">
      <c r="A1617" s="7" t="str">
        <f>HYPERLINK("https://hsdes.intel.com/resource/14013167520","14013167520")</f>
        <v>14013167520</v>
      </c>
      <c r="B1617" s="7" t="s">
        <v>1094</v>
      </c>
      <c r="C1617" s="7" t="s">
        <v>1420</v>
      </c>
      <c r="D1617" s="7" t="s">
        <v>1095</v>
      </c>
      <c r="E1617" s="7"/>
      <c r="F1617" s="7"/>
      <c r="G1617" s="7" t="s">
        <v>833</v>
      </c>
      <c r="H1617" s="7"/>
      <c r="I1617" s="7"/>
      <c r="J1617" s="7" t="s">
        <v>13</v>
      </c>
      <c r="K1617" s="7" t="s">
        <v>639</v>
      </c>
      <c r="L1617" s="7" t="s">
        <v>110</v>
      </c>
      <c r="M1617" s="7" t="s">
        <v>24</v>
      </c>
    </row>
    <row r="1618" spans="1:13" x14ac:dyDescent="0.3">
      <c r="A1618" s="7" t="str">
        <f>HYPERLINK("https://hsdes.intel.com/resource/14013167540","14013167540")</f>
        <v>14013167540</v>
      </c>
      <c r="B1618" s="7" t="s">
        <v>1097</v>
      </c>
      <c r="C1618" s="7" t="s">
        <v>1420</v>
      </c>
      <c r="D1618" s="7" t="s">
        <v>1098</v>
      </c>
      <c r="E1618" s="7"/>
      <c r="F1618" s="7"/>
      <c r="G1618" s="7" t="s">
        <v>833</v>
      </c>
      <c r="H1618" s="7"/>
      <c r="I1618" s="7"/>
      <c r="J1618" s="7" t="s">
        <v>13</v>
      </c>
      <c r="K1618" s="7" t="s">
        <v>639</v>
      </c>
      <c r="L1618" s="7" t="s">
        <v>110</v>
      </c>
      <c r="M1618" s="7" t="s">
        <v>21</v>
      </c>
    </row>
    <row r="1619" spans="1:13" x14ac:dyDescent="0.3">
      <c r="A1619" s="7" t="str">
        <f>HYPERLINK("https://hsdes.intel.com/resource/14013167579","14013167579")</f>
        <v>14013167579</v>
      </c>
      <c r="B1619" s="7" t="s">
        <v>1100</v>
      </c>
      <c r="C1619" s="7" t="s">
        <v>1420</v>
      </c>
      <c r="D1619" s="7" t="s">
        <v>1101</v>
      </c>
      <c r="E1619" s="7"/>
      <c r="F1619" s="7"/>
      <c r="G1619" s="7" t="s">
        <v>833</v>
      </c>
      <c r="H1619" s="7"/>
      <c r="I1619" s="7"/>
      <c r="J1619" s="7" t="s">
        <v>13</v>
      </c>
      <c r="K1619" s="7" t="s">
        <v>639</v>
      </c>
      <c r="L1619" s="7" t="s">
        <v>110</v>
      </c>
      <c r="M1619" s="7" t="s">
        <v>21</v>
      </c>
    </row>
    <row r="1620" spans="1:13" x14ac:dyDescent="0.3">
      <c r="A1620" s="7" t="str">
        <f>HYPERLINK("https://hsdes.intel.com/resource/14013167586","14013167586")</f>
        <v>14013167586</v>
      </c>
      <c r="B1620" s="7" t="s">
        <v>1103</v>
      </c>
      <c r="C1620" s="7" t="s">
        <v>1420</v>
      </c>
      <c r="D1620" s="7" t="s">
        <v>1104</v>
      </c>
      <c r="E1620" s="7"/>
      <c r="F1620" s="7"/>
      <c r="G1620" s="7" t="s">
        <v>833</v>
      </c>
      <c r="H1620" s="7"/>
      <c r="I1620" s="7"/>
      <c r="J1620" s="7" t="s">
        <v>13</v>
      </c>
      <c r="K1620" s="7" t="s">
        <v>639</v>
      </c>
      <c r="L1620" s="7" t="s">
        <v>110</v>
      </c>
      <c r="M1620" s="7" t="s">
        <v>16</v>
      </c>
    </row>
    <row r="1621" spans="1:13" x14ac:dyDescent="0.3">
      <c r="A1621" s="7" t="str">
        <f>HYPERLINK("https://hsdes.intel.com/resource/14013167593","14013167593")</f>
        <v>14013167593</v>
      </c>
      <c r="B1621" s="7" t="s">
        <v>1106</v>
      </c>
      <c r="C1621" s="7" t="s">
        <v>1420</v>
      </c>
      <c r="D1621" s="7" t="s">
        <v>1107</v>
      </c>
      <c r="E1621" s="7"/>
      <c r="F1621" s="7"/>
      <c r="G1621" s="7" t="s">
        <v>833</v>
      </c>
      <c r="H1621" s="7"/>
      <c r="I1621" s="7"/>
      <c r="J1621" s="7" t="s">
        <v>394</v>
      </c>
      <c r="K1621" s="7" t="s">
        <v>639</v>
      </c>
      <c r="L1621" s="7" t="s">
        <v>110</v>
      </c>
      <c r="M1621" s="7" t="s">
        <v>24</v>
      </c>
    </row>
    <row r="1622" spans="1:13" x14ac:dyDescent="0.3">
      <c r="A1622" s="7" t="str">
        <f>HYPERLINK("https://hsdes.intel.com/resource/14013168133","14013168133")</f>
        <v>14013168133</v>
      </c>
      <c r="B1622" s="7" t="s">
        <v>2798</v>
      </c>
      <c r="C1622" s="7" t="s">
        <v>1420</v>
      </c>
      <c r="D1622" s="7" t="s">
        <v>2799</v>
      </c>
      <c r="E1622" s="7" t="s">
        <v>11</v>
      </c>
      <c r="F1622" s="7"/>
      <c r="G1622" s="7" t="s">
        <v>1523</v>
      </c>
      <c r="H1622" s="7"/>
      <c r="I1622" s="10">
        <v>44755</v>
      </c>
      <c r="J1622" s="7" t="s">
        <v>13</v>
      </c>
      <c r="K1622" s="7" t="s">
        <v>105</v>
      </c>
      <c r="L1622" s="7" t="s">
        <v>106</v>
      </c>
      <c r="M1622" s="7" t="s">
        <v>16</v>
      </c>
    </row>
    <row r="1623" spans="1:13" x14ac:dyDescent="0.3">
      <c r="A1623" s="7" t="str">
        <f>HYPERLINK("https://hsdes.intel.com/resource/14013168136","14013168136")</f>
        <v>14013168136</v>
      </c>
      <c r="B1623" s="7" t="s">
        <v>2800</v>
      </c>
      <c r="C1623" s="7" t="s">
        <v>1420</v>
      </c>
      <c r="D1623" s="7" t="s">
        <v>2801</v>
      </c>
      <c r="E1623" s="7" t="s">
        <v>11</v>
      </c>
      <c r="F1623" s="7"/>
      <c r="G1623" s="7" t="s">
        <v>1523</v>
      </c>
      <c r="H1623" s="7"/>
      <c r="I1623" s="10">
        <v>44755</v>
      </c>
      <c r="J1623" s="7" t="s">
        <v>13</v>
      </c>
      <c r="K1623" s="7" t="s">
        <v>105</v>
      </c>
      <c r="L1623" s="7" t="s">
        <v>106</v>
      </c>
      <c r="M1623" s="7" t="s">
        <v>16</v>
      </c>
    </row>
    <row r="1624" spans="1:13" x14ac:dyDescent="0.3">
      <c r="A1624" s="7" t="str">
        <f>HYPERLINK("https://hsdes.intel.com/resource/14013168332","14013168332")</f>
        <v>14013168332</v>
      </c>
      <c r="B1624" s="7" t="s">
        <v>2802</v>
      </c>
      <c r="C1624" s="7" t="s">
        <v>1420</v>
      </c>
      <c r="D1624" s="7" t="s">
        <v>2803</v>
      </c>
      <c r="E1624" s="7" t="s">
        <v>37</v>
      </c>
      <c r="F1624" s="7" t="s">
        <v>296</v>
      </c>
      <c r="G1624" s="7" t="s">
        <v>369</v>
      </c>
      <c r="H1624" s="7"/>
      <c r="I1624" s="7"/>
      <c r="J1624" s="7" t="s">
        <v>13</v>
      </c>
      <c r="K1624" s="7" t="s">
        <v>105</v>
      </c>
      <c r="L1624" s="7" t="s">
        <v>106</v>
      </c>
      <c r="M1624" s="7" t="s">
        <v>16</v>
      </c>
    </row>
    <row r="1625" spans="1:13" x14ac:dyDescent="0.3">
      <c r="A1625" s="7" t="str">
        <f>HYPERLINK("https://hsdes.intel.com/resource/14013168337","14013168337")</f>
        <v>14013168337</v>
      </c>
      <c r="B1625" s="7" t="s">
        <v>2804</v>
      </c>
      <c r="C1625" s="7" t="s">
        <v>1420</v>
      </c>
      <c r="D1625" s="7" t="s">
        <v>2805</v>
      </c>
      <c r="E1625" s="7" t="s">
        <v>11</v>
      </c>
      <c r="F1625" s="7"/>
      <c r="G1625" s="7" t="s">
        <v>1523</v>
      </c>
      <c r="H1625" s="7"/>
      <c r="I1625" s="10">
        <v>44755</v>
      </c>
      <c r="J1625" s="7" t="s">
        <v>13</v>
      </c>
      <c r="K1625" s="7" t="s">
        <v>105</v>
      </c>
      <c r="L1625" s="7" t="s">
        <v>106</v>
      </c>
      <c r="M1625" s="7" t="s">
        <v>16</v>
      </c>
    </row>
    <row r="1626" spans="1:13" x14ac:dyDescent="0.3">
      <c r="A1626" s="7" t="str">
        <f>HYPERLINK("https://hsdes.intel.com/resource/14013168343","14013168343")</f>
        <v>14013168343</v>
      </c>
      <c r="B1626" s="7" t="s">
        <v>2806</v>
      </c>
      <c r="C1626" s="7" t="s">
        <v>1420</v>
      </c>
      <c r="D1626" s="7" t="s">
        <v>2807</v>
      </c>
      <c r="E1626" s="7" t="s">
        <v>11</v>
      </c>
      <c r="F1626" s="7"/>
      <c r="G1626" s="7" t="s">
        <v>1523</v>
      </c>
      <c r="H1626" s="7"/>
      <c r="I1626" s="10">
        <v>44755</v>
      </c>
      <c r="J1626" s="7" t="s">
        <v>13</v>
      </c>
      <c r="K1626" s="7" t="s">
        <v>105</v>
      </c>
      <c r="L1626" s="7" t="s">
        <v>106</v>
      </c>
      <c r="M1626" s="7" t="s">
        <v>16</v>
      </c>
    </row>
    <row r="1627" spans="1:13" x14ac:dyDescent="0.3">
      <c r="A1627" s="7" t="str">
        <f>HYPERLINK("https://hsdes.intel.com/resource/14013168346","14013168346")</f>
        <v>14013168346</v>
      </c>
      <c r="B1627" s="7" t="s">
        <v>2808</v>
      </c>
      <c r="C1627" s="7" t="s">
        <v>1420</v>
      </c>
      <c r="D1627" s="7" t="s">
        <v>2809</v>
      </c>
      <c r="E1627" s="7" t="s">
        <v>11</v>
      </c>
      <c r="F1627" s="7" t="s">
        <v>2810</v>
      </c>
      <c r="G1627" s="7" t="s">
        <v>1523</v>
      </c>
      <c r="H1627" s="7"/>
      <c r="I1627" s="10">
        <v>44755</v>
      </c>
      <c r="J1627" s="7" t="s">
        <v>13</v>
      </c>
      <c r="K1627" s="7" t="s">
        <v>105</v>
      </c>
      <c r="L1627" s="7" t="s">
        <v>106</v>
      </c>
      <c r="M1627" s="7" t="s">
        <v>16</v>
      </c>
    </row>
    <row r="1628" spans="1:13" x14ac:dyDescent="0.3">
      <c r="A1628" s="7" t="str">
        <f>HYPERLINK("https://hsdes.intel.com/resource/14013168352","14013168352")</f>
        <v>14013168352</v>
      </c>
      <c r="B1628" s="7" t="s">
        <v>2811</v>
      </c>
      <c r="C1628" s="7" t="s">
        <v>1420</v>
      </c>
      <c r="D1628" s="7" t="s">
        <v>2812</v>
      </c>
      <c r="E1628" s="7" t="s">
        <v>11</v>
      </c>
      <c r="F1628" s="7"/>
      <c r="G1628" s="7" t="s">
        <v>1523</v>
      </c>
      <c r="H1628" s="7"/>
      <c r="I1628" s="10">
        <v>44755</v>
      </c>
      <c r="J1628" s="7" t="s">
        <v>13</v>
      </c>
      <c r="K1628" s="7" t="s">
        <v>105</v>
      </c>
      <c r="L1628" s="7" t="s">
        <v>106</v>
      </c>
      <c r="M1628" s="7" t="s">
        <v>16</v>
      </c>
    </row>
    <row r="1629" spans="1:13" x14ac:dyDescent="0.3">
      <c r="A1629" s="7" t="str">
        <f>HYPERLINK("https://hsdes.intel.com/resource/14013168358","14013168358")</f>
        <v>14013168358</v>
      </c>
      <c r="B1629" s="7" t="s">
        <v>2813</v>
      </c>
      <c r="C1629" s="7" t="s">
        <v>1420</v>
      </c>
      <c r="D1629" s="7" t="s">
        <v>2814</v>
      </c>
      <c r="E1629" s="7" t="s">
        <v>11</v>
      </c>
      <c r="F1629" s="7"/>
      <c r="G1629" s="7" t="s">
        <v>1523</v>
      </c>
      <c r="H1629" s="7"/>
      <c r="I1629" s="10">
        <v>44755</v>
      </c>
      <c r="J1629" s="7" t="s">
        <v>13</v>
      </c>
      <c r="K1629" s="7" t="s">
        <v>105</v>
      </c>
      <c r="L1629" s="7" t="s">
        <v>106</v>
      </c>
      <c r="M1629" s="7" t="s">
        <v>16</v>
      </c>
    </row>
    <row r="1630" spans="1:13" x14ac:dyDescent="0.3">
      <c r="A1630" s="7" t="str">
        <f>HYPERLINK("https://hsdes.intel.com/resource/14013168366","14013168366")</f>
        <v>14013168366</v>
      </c>
      <c r="B1630" s="7" t="s">
        <v>2815</v>
      </c>
      <c r="C1630" s="7" t="s">
        <v>1420</v>
      </c>
      <c r="D1630" s="7" t="s">
        <v>2816</v>
      </c>
      <c r="E1630" s="7" t="s">
        <v>11</v>
      </c>
      <c r="F1630" s="7" t="s">
        <v>296</v>
      </c>
      <c r="G1630" s="7" t="s">
        <v>1475</v>
      </c>
      <c r="H1630" s="7"/>
      <c r="I1630" s="7"/>
      <c r="J1630" s="7" t="s">
        <v>13</v>
      </c>
      <c r="K1630" s="7" t="s">
        <v>105</v>
      </c>
      <c r="L1630" s="7" t="s">
        <v>106</v>
      </c>
      <c r="M1630" s="7" t="s">
        <v>16</v>
      </c>
    </row>
    <row r="1631" spans="1:13" x14ac:dyDescent="0.3">
      <c r="A1631" s="7" t="str">
        <f>HYPERLINK("https://hsdes.intel.com/resource/14013168370","14013168370")</f>
        <v>14013168370</v>
      </c>
      <c r="B1631" s="7" t="s">
        <v>2817</v>
      </c>
      <c r="C1631" s="7" t="s">
        <v>1420</v>
      </c>
      <c r="D1631" s="7" t="s">
        <v>2818</v>
      </c>
      <c r="E1631" s="7" t="s">
        <v>37</v>
      </c>
      <c r="F1631" s="7" t="s">
        <v>296</v>
      </c>
      <c r="G1631" s="7" t="s">
        <v>369</v>
      </c>
      <c r="H1631" s="7"/>
      <c r="I1631" s="7"/>
      <c r="J1631" s="7" t="s">
        <v>394</v>
      </c>
      <c r="K1631" s="7" t="s">
        <v>105</v>
      </c>
      <c r="L1631" s="7" t="s">
        <v>106</v>
      </c>
      <c r="M1631" s="7" t="s">
        <v>16</v>
      </c>
    </row>
    <row r="1632" spans="1:13" x14ac:dyDescent="0.3">
      <c r="A1632" s="7" t="str">
        <f>HYPERLINK("https://hsdes.intel.com/resource/14013168420","14013168420")</f>
        <v>14013168420</v>
      </c>
      <c r="B1632" s="7" t="s">
        <v>2819</v>
      </c>
      <c r="C1632" s="7" t="s">
        <v>1420</v>
      </c>
      <c r="D1632" s="7" t="s">
        <v>2820</v>
      </c>
      <c r="E1632" s="7" t="s">
        <v>37</v>
      </c>
      <c r="F1632" s="7"/>
      <c r="G1632" s="7" t="s">
        <v>369</v>
      </c>
      <c r="H1632" s="7"/>
      <c r="I1632" s="7"/>
      <c r="J1632" s="7" t="s">
        <v>13</v>
      </c>
      <c r="K1632" s="7" t="s">
        <v>105</v>
      </c>
      <c r="L1632" s="7" t="s">
        <v>106</v>
      </c>
      <c r="M1632" s="7" t="s">
        <v>21</v>
      </c>
    </row>
    <row r="1633" spans="1:13" x14ac:dyDescent="0.3">
      <c r="A1633" s="7" t="str">
        <f>HYPERLINK("https://hsdes.intel.com/resource/14013168467","14013168467")</f>
        <v>14013168467</v>
      </c>
      <c r="B1633" s="7" t="s">
        <v>2821</v>
      </c>
      <c r="C1633" s="7" t="s">
        <v>1420</v>
      </c>
      <c r="D1633" s="7" t="s">
        <v>2822</v>
      </c>
      <c r="E1633" s="7" t="s">
        <v>37</v>
      </c>
      <c r="F1633" s="7"/>
      <c r="G1633" s="7" t="s">
        <v>1429</v>
      </c>
      <c r="H1633" s="7"/>
      <c r="I1633" s="10">
        <v>44755</v>
      </c>
      <c r="J1633" s="7" t="s">
        <v>13</v>
      </c>
      <c r="K1633" s="7" t="s">
        <v>105</v>
      </c>
      <c r="L1633" s="7" t="s">
        <v>544</v>
      </c>
      <c r="M1633" s="7" t="s">
        <v>16</v>
      </c>
    </row>
    <row r="1634" spans="1:13" x14ac:dyDescent="0.3">
      <c r="A1634" s="7" t="str">
        <f>HYPERLINK("https://hsdes.intel.com/resource/14013168473","14013168473")</f>
        <v>14013168473</v>
      </c>
      <c r="B1634" s="7" t="s">
        <v>2823</v>
      </c>
      <c r="C1634" s="7" t="s">
        <v>1420</v>
      </c>
      <c r="D1634" s="7" t="s">
        <v>2824</v>
      </c>
      <c r="E1634" s="7" t="s">
        <v>11</v>
      </c>
      <c r="F1634" s="7"/>
      <c r="G1634" s="7" t="s">
        <v>1523</v>
      </c>
      <c r="H1634" s="7"/>
      <c r="I1634" s="10">
        <v>44755</v>
      </c>
      <c r="J1634" s="7" t="s">
        <v>13</v>
      </c>
      <c r="K1634" s="7" t="s">
        <v>105</v>
      </c>
      <c r="L1634" s="7" t="s">
        <v>106</v>
      </c>
      <c r="M1634" s="7" t="s">
        <v>16</v>
      </c>
    </row>
    <row r="1635" spans="1:13" x14ac:dyDescent="0.3">
      <c r="A1635" s="7" t="str">
        <f>HYPERLINK("https://hsdes.intel.com/resource/14013168703","14013168703")</f>
        <v>14013168703</v>
      </c>
      <c r="B1635" s="7" t="s">
        <v>2825</v>
      </c>
      <c r="C1635" s="7" t="s">
        <v>1420</v>
      </c>
      <c r="D1635" s="7" t="s">
        <v>2826</v>
      </c>
      <c r="E1635" s="7" t="s">
        <v>11</v>
      </c>
      <c r="F1635" s="7" t="s">
        <v>1522</v>
      </c>
      <c r="G1635" s="7" t="s">
        <v>1523</v>
      </c>
      <c r="H1635" s="7"/>
      <c r="I1635" s="10">
        <v>44755</v>
      </c>
      <c r="J1635" s="7" t="s">
        <v>13</v>
      </c>
      <c r="K1635" s="7" t="s">
        <v>105</v>
      </c>
      <c r="L1635" s="7" t="s">
        <v>106</v>
      </c>
      <c r="M1635" s="7" t="s">
        <v>24</v>
      </c>
    </row>
    <row r="1636" spans="1:13" x14ac:dyDescent="0.3">
      <c r="A1636" s="7" t="str">
        <f>HYPERLINK("https://hsdes.intel.com/resource/14013168785","14013168785")</f>
        <v>14013168785</v>
      </c>
      <c r="B1636" s="7" t="s">
        <v>2827</v>
      </c>
      <c r="C1636" s="7" t="s">
        <v>1420</v>
      </c>
      <c r="D1636" s="7" t="s">
        <v>2828</v>
      </c>
      <c r="E1636" s="7" t="s">
        <v>11</v>
      </c>
      <c r="F1636" s="7"/>
      <c r="G1636" s="7" t="s">
        <v>1461</v>
      </c>
      <c r="H1636" s="7"/>
      <c r="I1636" s="10">
        <v>44757</v>
      </c>
      <c r="J1636" s="7" t="s">
        <v>13</v>
      </c>
      <c r="K1636" s="7" t="s">
        <v>105</v>
      </c>
      <c r="L1636" s="7" t="s">
        <v>106</v>
      </c>
      <c r="M1636" s="7" t="s">
        <v>16</v>
      </c>
    </row>
    <row r="1637" spans="1:13" x14ac:dyDescent="0.3">
      <c r="A1637" s="7" t="str">
        <f>HYPERLINK("https://hsdes.intel.com/resource/14013168804","14013168804")</f>
        <v>14013168804</v>
      </c>
      <c r="B1637" s="7" t="s">
        <v>2829</v>
      </c>
      <c r="C1637" s="7" t="s">
        <v>1420</v>
      </c>
      <c r="D1637" s="7" t="s">
        <v>2830</v>
      </c>
      <c r="E1637" s="7" t="s">
        <v>11</v>
      </c>
      <c r="F1637" s="7"/>
      <c r="G1637" s="7" t="s">
        <v>1770</v>
      </c>
      <c r="H1637" s="7"/>
      <c r="I1637" s="10">
        <v>44760</v>
      </c>
      <c r="J1637" s="7" t="s">
        <v>13</v>
      </c>
      <c r="K1637" s="7" t="s">
        <v>105</v>
      </c>
      <c r="L1637" s="7" t="s">
        <v>106</v>
      </c>
      <c r="M1637" s="7" t="s">
        <v>16</v>
      </c>
    </row>
    <row r="1638" spans="1:13" x14ac:dyDescent="0.3">
      <c r="A1638" s="7" t="str">
        <f>HYPERLINK("https://hsdes.intel.com/resource/14013168849","14013168849")</f>
        <v>14013168849</v>
      </c>
      <c r="B1638" s="7" t="s">
        <v>2831</v>
      </c>
      <c r="C1638" s="7" t="s">
        <v>1420</v>
      </c>
      <c r="D1638" s="7" t="s">
        <v>2832</v>
      </c>
      <c r="E1638" s="7" t="s">
        <v>11</v>
      </c>
      <c r="F1638" s="7" t="s">
        <v>2833</v>
      </c>
      <c r="G1638" s="7" t="s">
        <v>1770</v>
      </c>
      <c r="H1638" s="7"/>
      <c r="I1638" s="10">
        <v>44761</v>
      </c>
      <c r="J1638" s="7" t="s">
        <v>13</v>
      </c>
      <c r="K1638" s="7" t="s">
        <v>105</v>
      </c>
      <c r="L1638" s="7" t="s">
        <v>106</v>
      </c>
      <c r="M1638" s="7" t="s">
        <v>21</v>
      </c>
    </row>
    <row r="1639" spans="1:13" x14ac:dyDescent="0.3">
      <c r="A1639" s="7" t="str">
        <f>HYPERLINK("https://hsdes.intel.com/resource/14013168853","14013168853")</f>
        <v>14013168853</v>
      </c>
      <c r="B1639" s="7" t="s">
        <v>2834</v>
      </c>
      <c r="C1639" s="7" t="s">
        <v>1420</v>
      </c>
      <c r="D1639" s="7" t="s">
        <v>2835</v>
      </c>
      <c r="E1639" s="7" t="s">
        <v>11</v>
      </c>
      <c r="F1639" s="7"/>
      <c r="G1639" s="7" t="s">
        <v>1461</v>
      </c>
      <c r="H1639" s="7"/>
      <c r="I1639" s="10">
        <v>44757</v>
      </c>
      <c r="J1639" s="7" t="s">
        <v>13</v>
      </c>
      <c r="K1639" s="7" t="s">
        <v>105</v>
      </c>
      <c r="L1639" s="7" t="s">
        <v>106</v>
      </c>
      <c r="M1639" s="7" t="s">
        <v>16</v>
      </c>
    </row>
    <row r="1640" spans="1:13" x14ac:dyDescent="0.3">
      <c r="A1640" s="7" t="str">
        <f>HYPERLINK("https://hsdes.intel.com/resource/14013168857","14013168857")</f>
        <v>14013168857</v>
      </c>
      <c r="B1640" s="7" t="s">
        <v>2836</v>
      </c>
      <c r="C1640" s="7" t="s">
        <v>1420</v>
      </c>
      <c r="D1640" s="7" t="s">
        <v>2837</v>
      </c>
      <c r="E1640" s="7" t="s">
        <v>11</v>
      </c>
      <c r="F1640" s="7"/>
      <c r="G1640" s="7" t="s">
        <v>1770</v>
      </c>
      <c r="H1640" s="7"/>
      <c r="I1640" s="10">
        <v>44760</v>
      </c>
      <c r="J1640" s="7" t="s">
        <v>13</v>
      </c>
      <c r="K1640" s="7" t="s">
        <v>105</v>
      </c>
      <c r="L1640" s="7" t="s">
        <v>106</v>
      </c>
      <c r="M1640" s="7" t="s">
        <v>16</v>
      </c>
    </row>
    <row r="1641" spans="1:13" x14ac:dyDescent="0.3">
      <c r="A1641" s="7" t="str">
        <f>HYPERLINK("https://hsdes.intel.com/resource/14013168861","14013168861")</f>
        <v>14013168861</v>
      </c>
      <c r="B1641" s="7" t="s">
        <v>2838</v>
      </c>
      <c r="C1641" s="7" t="s">
        <v>1420</v>
      </c>
      <c r="D1641" s="7" t="s">
        <v>2839</v>
      </c>
      <c r="E1641" s="7" t="s">
        <v>11</v>
      </c>
      <c r="F1641" s="27"/>
      <c r="G1641" s="7" t="s">
        <v>1770</v>
      </c>
      <c r="H1641" s="7"/>
      <c r="I1641" s="10">
        <v>44764</v>
      </c>
      <c r="J1641" s="7" t="s">
        <v>13</v>
      </c>
      <c r="K1641" s="7" t="s">
        <v>105</v>
      </c>
      <c r="L1641" s="7" t="s">
        <v>106</v>
      </c>
      <c r="M1641" s="7" t="s">
        <v>16</v>
      </c>
    </row>
    <row r="1642" spans="1:13" x14ac:dyDescent="0.3">
      <c r="A1642" s="7" t="str">
        <f>HYPERLINK("https://hsdes.intel.com/resource/14013168995","14013168995")</f>
        <v>14013168995</v>
      </c>
      <c r="B1642" s="7" t="s">
        <v>1109</v>
      </c>
      <c r="C1642" s="7" t="s">
        <v>1420</v>
      </c>
      <c r="D1642" s="7" t="s">
        <v>1110</v>
      </c>
      <c r="E1642" s="7"/>
      <c r="F1642" s="7"/>
      <c r="G1642" s="7" t="s">
        <v>833</v>
      </c>
      <c r="H1642" s="7"/>
      <c r="I1642" s="7"/>
      <c r="J1642" s="7" t="s">
        <v>13</v>
      </c>
      <c r="K1642" s="7" t="s">
        <v>105</v>
      </c>
      <c r="L1642" s="7" t="s">
        <v>110</v>
      </c>
      <c r="M1642" s="7" t="s">
        <v>24</v>
      </c>
    </row>
    <row r="1643" spans="1:13" x14ac:dyDescent="0.3">
      <c r="A1643" s="7" t="str">
        <f>HYPERLINK("https://hsdes.intel.com/resource/14013169011","14013169011")</f>
        <v>14013169011</v>
      </c>
      <c r="B1643" s="7" t="s">
        <v>2840</v>
      </c>
      <c r="C1643" s="7" t="s">
        <v>1420</v>
      </c>
      <c r="D1643" s="7" t="s">
        <v>2841</v>
      </c>
      <c r="E1643" s="7" t="s">
        <v>11</v>
      </c>
      <c r="F1643" s="7"/>
      <c r="G1643" s="7" t="s">
        <v>1770</v>
      </c>
      <c r="H1643" s="7"/>
      <c r="I1643" s="10">
        <v>44760</v>
      </c>
      <c r="J1643" s="7" t="s">
        <v>13</v>
      </c>
      <c r="K1643" s="7" t="s">
        <v>105</v>
      </c>
      <c r="L1643" s="7" t="s">
        <v>106</v>
      </c>
      <c r="M1643" s="7" t="s">
        <v>16</v>
      </c>
    </row>
    <row r="1644" spans="1:13" x14ac:dyDescent="0.3">
      <c r="A1644" s="7" t="str">
        <f>HYPERLINK("https://hsdes.intel.com/resource/14013169014","14013169014")</f>
        <v>14013169014</v>
      </c>
      <c r="B1644" s="7" t="s">
        <v>2842</v>
      </c>
      <c r="C1644" s="7" t="s">
        <v>1420</v>
      </c>
      <c r="D1644" s="7" t="s">
        <v>2843</v>
      </c>
      <c r="E1644" s="7" t="s">
        <v>11</v>
      </c>
      <c r="F1644" s="7"/>
      <c r="G1644" s="7" t="s">
        <v>1770</v>
      </c>
      <c r="H1644" s="7"/>
      <c r="I1644" s="10">
        <v>44760</v>
      </c>
      <c r="J1644" s="7" t="s">
        <v>13</v>
      </c>
      <c r="K1644" s="7" t="s">
        <v>105</v>
      </c>
      <c r="L1644" s="7" t="s">
        <v>106</v>
      </c>
      <c r="M1644" s="7" t="s">
        <v>16</v>
      </c>
    </row>
    <row r="1645" spans="1:13" x14ac:dyDescent="0.3">
      <c r="A1645" s="7" t="str">
        <f>HYPERLINK("https://hsdes.intel.com/resource/14013169069","14013169069")</f>
        <v>14013169069</v>
      </c>
      <c r="B1645" s="7" t="s">
        <v>2844</v>
      </c>
      <c r="C1645" s="7" t="s">
        <v>1420</v>
      </c>
      <c r="D1645" s="7" t="s">
        <v>2845</v>
      </c>
      <c r="E1645" s="7" t="s">
        <v>11</v>
      </c>
      <c r="F1645" s="7"/>
      <c r="G1645" s="7" t="s">
        <v>1770</v>
      </c>
      <c r="H1645" s="7"/>
      <c r="I1645" s="10">
        <v>44763</v>
      </c>
      <c r="J1645" s="7" t="s">
        <v>13</v>
      </c>
      <c r="K1645" s="7" t="s">
        <v>105</v>
      </c>
      <c r="L1645" s="7" t="s">
        <v>106</v>
      </c>
      <c r="M1645" s="7" t="s">
        <v>21</v>
      </c>
    </row>
    <row r="1646" spans="1:13" x14ac:dyDescent="0.3">
      <c r="A1646" s="7" t="str">
        <f>HYPERLINK("https://hsdes.intel.com/resource/14013169083","14013169083")</f>
        <v>14013169083</v>
      </c>
      <c r="B1646" s="7" t="s">
        <v>2846</v>
      </c>
      <c r="C1646" s="7" t="s">
        <v>1420</v>
      </c>
      <c r="D1646" s="7" t="s">
        <v>2847</v>
      </c>
      <c r="E1646" s="7" t="s">
        <v>11</v>
      </c>
      <c r="F1646" s="7"/>
      <c r="G1646" s="7" t="s">
        <v>1770</v>
      </c>
      <c r="H1646" s="7"/>
      <c r="I1646" s="10">
        <v>44760</v>
      </c>
      <c r="J1646" s="7" t="s">
        <v>13</v>
      </c>
      <c r="K1646" s="7" t="s">
        <v>105</v>
      </c>
      <c r="L1646" s="7" t="s">
        <v>106</v>
      </c>
      <c r="M1646" s="7" t="s">
        <v>24</v>
      </c>
    </row>
    <row r="1647" spans="1:13" x14ac:dyDescent="0.3">
      <c r="A1647" s="7" t="str">
        <f>HYPERLINK("https://hsdes.intel.com/resource/14013169091","14013169091")</f>
        <v>14013169091</v>
      </c>
      <c r="B1647" s="7" t="s">
        <v>2848</v>
      </c>
      <c r="C1647" s="7" t="s">
        <v>1420</v>
      </c>
      <c r="D1647" s="7" t="s">
        <v>2849</v>
      </c>
      <c r="E1647" s="7" t="s">
        <v>11</v>
      </c>
      <c r="F1647" s="7"/>
      <c r="G1647" s="7" t="s">
        <v>1770</v>
      </c>
      <c r="H1647" s="7"/>
      <c r="I1647" s="10">
        <v>44760</v>
      </c>
      <c r="J1647" s="7" t="s">
        <v>13</v>
      </c>
      <c r="K1647" s="7" t="s">
        <v>105</v>
      </c>
      <c r="L1647" s="7" t="s">
        <v>106</v>
      </c>
      <c r="M1647" s="7" t="s">
        <v>24</v>
      </c>
    </row>
    <row r="1648" spans="1:13" x14ac:dyDescent="0.3">
      <c r="A1648" s="7" t="str">
        <f>HYPERLINK("https://hsdes.intel.com/resource/14013169094","14013169094")</f>
        <v>14013169094</v>
      </c>
      <c r="B1648" s="7" t="s">
        <v>2850</v>
      </c>
      <c r="C1648" s="7" t="s">
        <v>1420</v>
      </c>
      <c r="D1648" s="7" t="s">
        <v>2851</v>
      </c>
      <c r="E1648" s="7" t="s">
        <v>11</v>
      </c>
      <c r="F1648" s="7"/>
      <c r="G1648" s="7" t="s">
        <v>1770</v>
      </c>
      <c r="H1648" s="7"/>
      <c r="I1648" s="10">
        <v>44760</v>
      </c>
      <c r="J1648" s="7" t="s">
        <v>13</v>
      </c>
      <c r="K1648" s="7" t="s">
        <v>105</v>
      </c>
      <c r="L1648" s="7" t="s">
        <v>106</v>
      </c>
      <c r="M1648" s="7" t="s">
        <v>24</v>
      </c>
    </row>
    <row r="1649" spans="1:13" x14ac:dyDescent="0.3">
      <c r="A1649" s="7" t="str">
        <f>HYPERLINK("https://hsdes.intel.com/resource/14013169103","14013169103")</f>
        <v>14013169103</v>
      </c>
      <c r="B1649" s="7" t="s">
        <v>2852</v>
      </c>
      <c r="C1649" s="7" t="s">
        <v>1420</v>
      </c>
      <c r="D1649" s="7" t="s">
        <v>2853</v>
      </c>
      <c r="E1649" s="7" t="s">
        <v>11</v>
      </c>
      <c r="F1649" s="7"/>
      <c r="G1649" s="7" t="s">
        <v>1770</v>
      </c>
      <c r="H1649" s="7"/>
      <c r="I1649" s="10">
        <v>44760</v>
      </c>
      <c r="J1649" s="7" t="s">
        <v>13</v>
      </c>
      <c r="K1649" s="7" t="s">
        <v>105</v>
      </c>
      <c r="L1649" s="7" t="s">
        <v>106</v>
      </c>
      <c r="M1649" s="7" t="s">
        <v>24</v>
      </c>
    </row>
    <row r="1650" spans="1:13" x14ac:dyDescent="0.3">
      <c r="A1650" s="7" t="str">
        <f>HYPERLINK("https://hsdes.intel.com/resource/14013169135","14013169135")</f>
        <v>14013169135</v>
      </c>
      <c r="B1650" s="7" t="s">
        <v>2854</v>
      </c>
      <c r="C1650" s="7" t="s">
        <v>1420</v>
      </c>
      <c r="D1650" s="7" t="s">
        <v>2855</v>
      </c>
      <c r="E1650" s="7" t="s">
        <v>11</v>
      </c>
      <c r="F1650" s="7"/>
      <c r="G1650" s="7" t="s">
        <v>1429</v>
      </c>
      <c r="H1650" s="7"/>
      <c r="I1650" s="10">
        <v>44754</v>
      </c>
      <c r="J1650" s="7" t="s">
        <v>13</v>
      </c>
      <c r="K1650" s="7" t="s">
        <v>105</v>
      </c>
      <c r="L1650" s="7" t="s">
        <v>544</v>
      </c>
      <c r="M1650" s="7" t="s">
        <v>16</v>
      </c>
    </row>
    <row r="1651" spans="1:13" x14ac:dyDescent="0.3">
      <c r="A1651" s="7" t="str">
        <f>HYPERLINK("https://hsdes.intel.com/resource/14013172845","14013172845")</f>
        <v>14013172845</v>
      </c>
      <c r="B1651" s="7" t="s">
        <v>2856</v>
      </c>
      <c r="C1651" s="7" t="s">
        <v>1420</v>
      </c>
      <c r="D1651" s="7" t="s">
        <v>2857</v>
      </c>
      <c r="E1651" s="7" t="s">
        <v>11</v>
      </c>
      <c r="F1651" s="7" t="s">
        <v>651</v>
      </c>
      <c r="G1651" s="7" t="s">
        <v>843</v>
      </c>
      <c r="H1651" s="7"/>
      <c r="I1651" s="10">
        <v>44756</v>
      </c>
      <c r="J1651" s="7" t="s">
        <v>13</v>
      </c>
      <c r="K1651" s="7" t="s">
        <v>45</v>
      </c>
      <c r="L1651" s="7" t="s">
        <v>297</v>
      </c>
      <c r="M1651" s="7" t="s">
        <v>16</v>
      </c>
    </row>
    <row r="1652" spans="1:13" x14ac:dyDescent="0.3">
      <c r="A1652" s="7" t="str">
        <f>HYPERLINK("https://hsdes.intel.com/resource/14013172847","14013172847")</f>
        <v>14013172847</v>
      </c>
      <c r="B1652" s="7" t="s">
        <v>2858</v>
      </c>
      <c r="C1652" s="7" t="s">
        <v>1420</v>
      </c>
      <c r="D1652" s="7" t="s">
        <v>2859</v>
      </c>
      <c r="E1652" s="7" t="s">
        <v>11</v>
      </c>
      <c r="F1652" s="7" t="s">
        <v>651</v>
      </c>
      <c r="G1652" s="7" t="s">
        <v>843</v>
      </c>
      <c r="H1652" s="7"/>
      <c r="I1652" s="10">
        <v>44756</v>
      </c>
      <c r="J1652" s="7" t="s">
        <v>13</v>
      </c>
      <c r="K1652" s="7" t="s">
        <v>45</v>
      </c>
      <c r="L1652" s="7" t="s">
        <v>297</v>
      </c>
      <c r="M1652" s="7" t="s">
        <v>16</v>
      </c>
    </row>
    <row r="1653" spans="1:13" x14ac:dyDescent="0.3">
      <c r="A1653" s="7" t="str">
        <f>HYPERLINK("https://hsdes.intel.com/resource/14013172891","14013172891")</f>
        <v>14013172891</v>
      </c>
      <c r="B1653" s="7" t="s">
        <v>2860</v>
      </c>
      <c r="C1653" s="7" t="s">
        <v>1420</v>
      </c>
      <c r="D1653" s="7" t="s">
        <v>2861</v>
      </c>
      <c r="E1653" s="7" t="s">
        <v>11</v>
      </c>
      <c r="F1653" s="7"/>
      <c r="G1653" s="7" t="s">
        <v>1482</v>
      </c>
      <c r="H1653" s="7"/>
      <c r="I1653" s="10">
        <v>44755</v>
      </c>
      <c r="J1653" s="7" t="s">
        <v>13</v>
      </c>
      <c r="K1653" s="7" t="s">
        <v>45</v>
      </c>
      <c r="L1653" s="7" t="s">
        <v>15</v>
      </c>
      <c r="M1653" s="7" t="s">
        <v>16</v>
      </c>
    </row>
    <row r="1654" spans="1:13" x14ac:dyDescent="0.3">
      <c r="A1654" s="25" t="str">
        <f>HYPERLINK("https://hsdes.intel.com/resource/14013172892","14013172892")</f>
        <v>14013172892</v>
      </c>
      <c r="B1654" s="7" t="s">
        <v>2862</v>
      </c>
      <c r="C1654" s="7" t="s">
        <v>1420</v>
      </c>
      <c r="D1654" s="7" t="s">
        <v>2863</v>
      </c>
      <c r="E1654" s="7" t="s">
        <v>11</v>
      </c>
      <c r="F1654" s="7"/>
      <c r="G1654" s="7" t="s">
        <v>1770</v>
      </c>
      <c r="H1654" s="7"/>
      <c r="I1654" s="10">
        <v>44762</v>
      </c>
      <c r="J1654" s="7" t="s">
        <v>13</v>
      </c>
      <c r="K1654" s="7" t="s">
        <v>45</v>
      </c>
      <c r="L1654" s="7" t="s">
        <v>15</v>
      </c>
      <c r="M1654" s="7" t="s">
        <v>16</v>
      </c>
    </row>
    <row r="1655" spans="1:13" x14ac:dyDescent="0.3">
      <c r="A1655" s="7" t="str">
        <f>HYPERLINK("https://hsdes.intel.com/resource/14013172894","14013172894")</f>
        <v>14013172894</v>
      </c>
      <c r="B1655" s="7" t="s">
        <v>2864</v>
      </c>
      <c r="C1655" s="7" t="s">
        <v>1420</v>
      </c>
      <c r="D1655" s="7" t="s">
        <v>2865</v>
      </c>
      <c r="E1655" s="7" t="s">
        <v>11</v>
      </c>
      <c r="F1655" s="7"/>
      <c r="G1655" s="7" t="s">
        <v>1770</v>
      </c>
      <c r="H1655" s="7"/>
      <c r="I1655" s="10">
        <v>44762</v>
      </c>
      <c r="J1655" s="7" t="s">
        <v>13</v>
      </c>
      <c r="K1655" s="7" t="s">
        <v>45</v>
      </c>
      <c r="L1655" s="7" t="s">
        <v>15</v>
      </c>
      <c r="M1655" s="7" t="s">
        <v>16</v>
      </c>
    </row>
    <row r="1656" spans="1:13" x14ac:dyDescent="0.3">
      <c r="A1656" s="7" t="str">
        <f>HYPERLINK("https://hsdes.intel.com/resource/14013172897","14013172897")</f>
        <v>14013172897</v>
      </c>
      <c r="B1656" s="7" t="s">
        <v>2866</v>
      </c>
      <c r="C1656" s="7" t="s">
        <v>1420</v>
      </c>
      <c r="D1656" s="7" t="s">
        <v>2867</v>
      </c>
      <c r="E1656" s="7" t="s">
        <v>11</v>
      </c>
      <c r="F1656" s="7"/>
      <c r="G1656" s="7" t="s">
        <v>1482</v>
      </c>
      <c r="H1656" s="7"/>
      <c r="I1656" s="10">
        <v>44755</v>
      </c>
      <c r="J1656" s="7" t="s">
        <v>13</v>
      </c>
      <c r="K1656" s="7" t="s">
        <v>45</v>
      </c>
      <c r="L1656" s="7" t="s">
        <v>15</v>
      </c>
      <c r="M1656" s="7" t="s">
        <v>16</v>
      </c>
    </row>
    <row r="1657" spans="1:13" x14ac:dyDescent="0.3">
      <c r="A1657" s="7" t="str">
        <f>HYPERLINK("https://hsdes.intel.com/resource/14013172901","14013172901")</f>
        <v>14013172901</v>
      </c>
      <c r="B1657" s="7" t="s">
        <v>2868</v>
      </c>
      <c r="C1657" s="7" t="s">
        <v>1420</v>
      </c>
      <c r="D1657" s="7" t="s">
        <v>2869</v>
      </c>
      <c r="E1657" s="7" t="s">
        <v>11</v>
      </c>
      <c r="F1657" s="7"/>
      <c r="G1657" s="7" t="s">
        <v>1770</v>
      </c>
      <c r="H1657" s="7"/>
      <c r="I1657" s="10">
        <v>44762</v>
      </c>
      <c r="J1657" s="7" t="s">
        <v>13</v>
      </c>
      <c r="K1657" s="7" t="s">
        <v>45</v>
      </c>
      <c r="L1657" s="7" t="s">
        <v>15</v>
      </c>
      <c r="M1657" s="7" t="s">
        <v>16</v>
      </c>
    </row>
    <row r="1658" spans="1:13" x14ac:dyDescent="0.3">
      <c r="A1658" s="7" t="str">
        <f>HYPERLINK("https://hsdes.intel.com/resource/14013172919","14013172919")</f>
        <v>14013172919</v>
      </c>
      <c r="B1658" s="7" t="s">
        <v>2870</v>
      </c>
      <c r="C1658" s="7" t="s">
        <v>1420</v>
      </c>
      <c r="D1658" s="7" t="s">
        <v>2871</v>
      </c>
      <c r="E1658" s="7" t="s">
        <v>11</v>
      </c>
      <c r="F1658" s="7"/>
      <c r="G1658" s="7" t="s">
        <v>2449</v>
      </c>
      <c r="H1658" s="7"/>
      <c r="I1658" s="10">
        <v>44758</v>
      </c>
      <c r="J1658" s="7" t="s">
        <v>13</v>
      </c>
      <c r="K1658" s="7" t="s">
        <v>19</v>
      </c>
      <c r="L1658" s="7" t="s">
        <v>20</v>
      </c>
      <c r="M1658" s="7" t="s">
        <v>16</v>
      </c>
    </row>
    <row r="1659" spans="1:13" x14ac:dyDescent="0.3">
      <c r="A1659" s="7" t="str">
        <f>HYPERLINK("https://hsdes.intel.com/resource/14013172927","14013172927")</f>
        <v>14013172927</v>
      </c>
      <c r="B1659" s="7" t="s">
        <v>2872</v>
      </c>
      <c r="C1659" s="7" t="s">
        <v>1420</v>
      </c>
      <c r="D1659" s="7" t="s">
        <v>2873</v>
      </c>
      <c r="E1659" s="7" t="s">
        <v>11</v>
      </c>
      <c r="F1659" s="7"/>
      <c r="G1659" s="7" t="s">
        <v>2449</v>
      </c>
      <c r="H1659" s="7"/>
      <c r="I1659" s="10">
        <v>44758</v>
      </c>
      <c r="J1659" s="7" t="s">
        <v>13</v>
      </c>
      <c r="K1659" s="7" t="s">
        <v>19</v>
      </c>
      <c r="L1659" s="7" t="s">
        <v>20</v>
      </c>
      <c r="M1659" s="7" t="s">
        <v>16</v>
      </c>
    </row>
    <row r="1660" spans="1:13" x14ac:dyDescent="0.3">
      <c r="A1660" s="7" t="str">
        <f>HYPERLINK("https://hsdes.intel.com/resource/14013172936","14013172936")</f>
        <v>14013172936</v>
      </c>
      <c r="B1660" s="7" t="s">
        <v>2874</v>
      </c>
      <c r="C1660" s="7" t="s">
        <v>1420</v>
      </c>
      <c r="D1660" s="7" t="s">
        <v>2875</v>
      </c>
      <c r="E1660" s="7" t="s">
        <v>11</v>
      </c>
      <c r="F1660" s="7"/>
      <c r="G1660" s="7" t="s">
        <v>2449</v>
      </c>
      <c r="H1660" s="7"/>
      <c r="I1660" s="10">
        <v>44758</v>
      </c>
      <c r="J1660" s="7" t="s">
        <v>13</v>
      </c>
      <c r="K1660" s="7" t="s">
        <v>19</v>
      </c>
      <c r="L1660" s="7" t="s">
        <v>20</v>
      </c>
      <c r="M1660" s="7" t="s">
        <v>24</v>
      </c>
    </row>
    <row r="1661" spans="1:13" x14ac:dyDescent="0.3">
      <c r="A1661" s="7" t="str">
        <f>HYPERLINK("https://hsdes.intel.com/resource/14013172944","14013172944")</f>
        <v>14013172944</v>
      </c>
      <c r="B1661" s="7" t="s">
        <v>2876</v>
      </c>
      <c r="C1661" s="7" t="s">
        <v>1420</v>
      </c>
      <c r="D1661" s="7" t="s">
        <v>2877</v>
      </c>
      <c r="E1661" s="7" t="s">
        <v>11</v>
      </c>
      <c r="F1661" s="7"/>
      <c r="G1661" s="7" t="s">
        <v>2449</v>
      </c>
      <c r="H1661" s="7"/>
      <c r="I1661" s="10">
        <v>44758</v>
      </c>
      <c r="J1661" s="7" t="s">
        <v>13</v>
      </c>
      <c r="K1661" s="7" t="s">
        <v>19</v>
      </c>
      <c r="L1661" s="7" t="s">
        <v>20</v>
      </c>
      <c r="M1661" s="7" t="s">
        <v>21</v>
      </c>
    </row>
    <row r="1662" spans="1:13" x14ac:dyDescent="0.3">
      <c r="A1662" s="7" t="str">
        <f>HYPERLINK("https://hsdes.intel.com/resource/14013173003","14013173003")</f>
        <v>14013173003</v>
      </c>
      <c r="B1662" s="7" t="s">
        <v>2878</v>
      </c>
      <c r="C1662" s="7" t="s">
        <v>1420</v>
      </c>
      <c r="D1662" s="7" t="s">
        <v>2879</v>
      </c>
      <c r="E1662" s="7" t="s">
        <v>11</v>
      </c>
      <c r="F1662" s="7"/>
      <c r="G1662" s="7" t="s">
        <v>369</v>
      </c>
      <c r="H1662" s="7"/>
      <c r="I1662" s="10">
        <v>44762</v>
      </c>
      <c r="J1662" s="7" t="s">
        <v>13</v>
      </c>
      <c r="K1662" s="7" t="s">
        <v>19</v>
      </c>
      <c r="L1662" s="7" t="s">
        <v>20</v>
      </c>
      <c r="M1662" s="7" t="s">
        <v>24</v>
      </c>
    </row>
    <row r="1663" spans="1:13" x14ac:dyDescent="0.3">
      <c r="A1663" s="7" t="str">
        <f>HYPERLINK("https://hsdes.intel.com/resource/14013173005","14013173005")</f>
        <v>14013173005</v>
      </c>
      <c r="B1663" s="7" t="s">
        <v>2880</v>
      </c>
      <c r="C1663" s="7" t="s">
        <v>1420</v>
      </c>
      <c r="D1663" s="7" t="s">
        <v>2881</v>
      </c>
      <c r="E1663" s="7" t="s">
        <v>11</v>
      </c>
      <c r="F1663" s="7" t="s">
        <v>2882</v>
      </c>
      <c r="G1663" s="7" t="s">
        <v>369</v>
      </c>
      <c r="H1663" s="7"/>
      <c r="I1663" s="10">
        <v>44762</v>
      </c>
      <c r="J1663" s="7" t="s">
        <v>13</v>
      </c>
      <c r="K1663" s="7" t="s">
        <v>19</v>
      </c>
      <c r="L1663" s="7" t="s">
        <v>20</v>
      </c>
      <c r="M1663" s="7" t="s">
        <v>24</v>
      </c>
    </row>
    <row r="1664" spans="1:13" x14ac:dyDescent="0.3">
      <c r="A1664" s="7" t="str">
        <f>HYPERLINK("https://hsdes.intel.com/resource/14013173013","14013173013")</f>
        <v>14013173013</v>
      </c>
      <c r="B1664" s="7" t="s">
        <v>2883</v>
      </c>
      <c r="C1664" s="7" t="s">
        <v>1420</v>
      </c>
      <c r="D1664" s="7" t="s">
        <v>2884</v>
      </c>
      <c r="E1664" s="7" t="s">
        <v>11</v>
      </c>
      <c r="F1664" s="7"/>
      <c r="G1664" s="7" t="s">
        <v>2449</v>
      </c>
      <c r="H1664" s="7"/>
      <c r="I1664" s="10">
        <v>44760</v>
      </c>
      <c r="J1664" s="7" t="s">
        <v>13</v>
      </c>
      <c r="K1664" s="7" t="s">
        <v>19</v>
      </c>
      <c r="L1664" s="7" t="s">
        <v>20</v>
      </c>
      <c r="M1664" s="7" t="s">
        <v>21</v>
      </c>
    </row>
    <row r="1665" spans="1:13" x14ac:dyDescent="0.3">
      <c r="A1665" s="7" t="str">
        <f>HYPERLINK("https://hsdes.intel.com/resource/14013173089","14013173089")</f>
        <v>14013173089</v>
      </c>
      <c r="B1665" s="7" t="s">
        <v>2885</v>
      </c>
      <c r="C1665" s="7" t="s">
        <v>1420</v>
      </c>
      <c r="D1665" s="7" t="s">
        <v>2886</v>
      </c>
      <c r="E1665" s="7" t="s">
        <v>11</v>
      </c>
      <c r="F1665" s="7"/>
      <c r="G1665" s="7" t="s">
        <v>1482</v>
      </c>
      <c r="H1665" s="7"/>
      <c r="I1665" s="10">
        <v>44755</v>
      </c>
      <c r="J1665" s="7" t="s">
        <v>13</v>
      </c>
      <c r="K1665" s="7" t="s">
        <v>1515</v>
      </c>
      <c r="L1665" s="7" t="s">
        <v>15</v>
      </c>
      <c r="M1665" s="7" t="s">
        <v>16</v>
      </c>
    </row>
    <row r="1666" spans="1:13" x14ac:dyDescent="0.3">
      <c r="A1666" s="7" t="str">
        <f>HYPERLINK("https://hsdes.intel.com/resource/14013173102","14013173102")</f>
        <v>14013173102</v>
      </c>
      <c r="B1666" s="7" t="s">
        <v>2887</v>
      </c>
      <c r="C1666" s="7" t="s">
        <v>1420</v>
      </c>
      <c r="D1666" s="7" t="s">
        <v>2888</v>
      </c>
      <c r="E1666" s="7" t="s">
        <v>11</v>
      </c>
      <c r="F1666" s="7"/>
      <c r="G1666" s="7" t="s">
        <v>1770</v>
      </c>
      <c r="H1666" s="7"/>
      <c r="I1666" s="10">
        <v>44761</v>
      </c>
      <c r="J1666" s="7" t="s">
        <v>13</v>
      </c>
      <c r="K1666" s="7" t="s">
        <v>14</v>
      </c>
      <c r="L1666" s="7" t="s">
        <v>88</v>
      </c>
      <c r="M1666" s="7" t="s">
        <v>16</v>
      </c>
    </row>
    <row r="1667" spans="1:13" x14ac:dyDescent="0.3">
      <c r="A1667" s="7" t="str">
        <f>HYPERLINK("https://hsdes.intel.com/resource/14013173126","14013173126")</f>
        <v>14013173126</v>
      </c>
      <c r="B1667" s="7" t="s">
        <v>2889</v>
      </c>
      <c r="C1667" s="7" t="s">
        <v>1420</v>
      </c>
      <c r="D1667" s="7" t="s">
        <v>2890</v>
      </c>
      <c r="E1667" s="7" t="s">
        <v>11</v>
      </c>
      <c r="F1667" s="7"/>
      <c r="G1667" s="7" t="s">
        <v>1447</v>
      </c>
      <c r="H1667" s="7"/>
      <c r="I1667" s="10">
        <v>44754</v>
      </c>
      <c r="J1667" s="7" t="s">
        <v>13</v>
      </c>
      <c r="K1667" s="7" t="s">
        <v>439</v>
      </c>
      <c r="L1667" s="7" t="s">
        <v>158</v>
      </c>
      <c r="M1667" s="7" t="s">
        <v>16</v>
      </c>
    </row>
    <row r="1668" spans="1:13" x14ac:dyDescent="0.3">
      <c r="A1668" s="7" t="str">
        <f>HYPERLINK("https://hsdes.intel.com/resource/14013173157","14013173157")</f>
        <v>14013173157</v>
      </c>
      <c r="B1668" s="7" t="s">
        <v>2891</v>
      </c>
      <c r="C1668" s="7" t="s">
        <v>1420</v>
      </c>
      <c r="D1668" s="7" t="s">
        <v>2892</v>
      </c>
      <c r="E1668" s="7" t="s">
        <v>11</v>
      </c>
      <c r="F1668" s="7"/>
      <c r="G1668" s="7" t="s">
        <v>1770</v>
      </c>
      <c r="H1668" s="7"/>
      <c r="I1668" s="10">
        <v>44762</v>
      </c>
      <c r="J1668" s="7" t="s">
        <v>13</v>
      </c>
      <c r="K1668" s="7" t="s">
        <v>14</v>
      </c>
      <c r="L1668" s="7" t="s">
        <v>88</v>
      </c>
      <c r="M1668" s="7" t="s">
        <v>24</v>
      </c>
    </row>
    <row r="1669" spans="1:13" x14ac:dyDescent="0.3">
      <c r="A1669" s="7" t="str">
        <f>HYPERLINK("https://hsdes.intel.com/resource/14013173168","14013173168")</f>
        <v>14013173168</v>
      </c>
      <c r="B1669" s="7" t="s">
        <v>2893</v>
      </c>
      <c r="C1669" s="7" t="s">
        <v>1420</v>
      </c>
      <c r="D1669" s="7" t="s">
        <v>2894</v>
      </c>
      <c r="E1669" s="7" t="s">
        <v>11</v>
      </c>
      <c r="F1669" s="7"/>
      <c r="G1669" s="7" t="s">
        <v>1700</v>
      </c>
      <c r="H1669" s="7"/>
      <c r="I1669" s="10">
        <v>44755</v>
      </c>
      <c r="J1669" s="7" t="s">
        <v>13</v>
      </c>
      <c r="K1669" s="7" t="s">
        <v>1741</v>
      </c>
      <c r="L1669" s="7" t="s">
        <v>15</v>
      </c>
      <c r="M1669" s="7" t="s">
        <v>16</v>
      </c>
    </row>
    <row r="1670" spans="1:13" x14ac:dyDescent="0.3">
      <c r="A1670" s="7" t="str">
        <f>HYPERLINK("https://hsdes.intel.com/resource/14013173170","14013173170")</f>
        <v>14013173170</v>
      </c>
      <c r="B1670" s="7" t="s">
        <v>2895</v>
      </c>
      <c r="C1670" s="7" t="s">
        <v>1420</v>
      </c>
      <c r="D1670" s="7" t="s">
        <v>2896</v>
      </c>
      <c r="E1670" s="7" t="s">
        <v>11</v>
      </c>
      <c r="F1670" s="7"/>
      <c r="G1670" s="7" t="s">
        <v>1482</v>
      </c>
      <c r="H1670" s="7"/>
      <c r="I1670" s="10">
        <v>44755</v>
      </c>
      <c r="J1670" s="7" t="s">
        <v>13</v>
      </c>
      <c r="K1670" s="7" t="s">
        <v>2897</v>
      </c>
      <c r="L1670" s="7" t="s">
        <v>15</v>
      </c>
      <c r="M1670" s="7" t="s">
        <v>16</v>
      </c>
    </row>
    <row r="1671" spans="1:13" x14ac:dyDescent="0.3">
      <c r="A1671" s="7" t="str">
        <f>HYPERLINK("https://hsdes.intel.com/resource/14013173171","14013173171")</f>
        <v>14013173171</v>
      </c>
      <c r="B1671" s="7" t="s">
        <v>2898</v>
      </c>
      <c r="C1671" s="7" t="s">
        <v>1420</v>
      </c>
      <c r="D1671" s="7" t="s">
        <v>2899</v>
      </c>
      <c r="E1671" s="7" t="s">
        <v>11</v>
      </c>
      <c r="F1671" s="7"/>
      <c r="G1671" s="7" t="s">
        <v>1482</v>
      </c>
      <c r="H1671" s="7"/>
      <c r="I1671" s="10">
        <v>44755</v>
      </c>
      <c r="J1671" s="7" t="s">
        <v>13</v>
      </c>
      <c r="K1671" s="7" t="s">
        <v>45</v>
      </c>
      <c r="L1671" s="7" t="s">
        <v>15</v>
      </c>
      <c r="M1671" s="7" t="s">
        <v>16</v>
      </c>
    </row>
    <row r="1672" spans="1:13" x14ac:dyDescent="0.3">
      <c r="A1672" s="7" t="str">
        <f>HYPERLINK("https://hsdes.intel.com/resource/14013173233","14013173233")</f>
        <v>14013173233</v>
      </c>
      <c r="B1672" s="7" t="s">
        <v>1351</v>
      </c>
      <c r="C1672" s="7" t="s">
        <v>1420</v>
      </c>
      <c r="D1672" s="7" t="s">
        <v>1352</v>
      </c>
      <c r="E1672" s="7"/>
      <c r="F1672" s="7"/>
      <c r="G1672" s="7" t="s">
        <v>833</v>
      </c>
      <c r="H1672" s="7"/>
      <c r="I1672" s="7"/>
      <c r="J1672" s="7" t="s">
        <v>13</v>
      </c>
      <c r="K1672" s="7" t="s">
        <v>1353</v>
      </c>
      <c r="L1672" s="7" t="s">
        <v>15</v>
      </c>
      <c r="M1672" s="7" t="s">
        <v>16</v>
      </c>
    </row>
    <row r="1673" spans="1:13" x14ac:dyDescent="0.3">
      <c r="A1673" s="7" t="str">
        <f>HYPERLINK("https://hsdes.intel.com/resource/14013173241","14013173241")</f>
        <v>14013173241</v>
      </c>
      <c r="B1673" s="7" t="s">
        <v>2900</v>
      </c>
      <c r="C1673" s="7" t="s">
        <v>1420</v>
      </c>
      <c r="D1673" s="7" t="s">
        <v>2901</v>
      </c>
      <c r="E1673" s="7" t="s">
        <v>11</v>
      </c>
      <c r="F1673" s="7"/>
      <c r="G1673" s="7" t="s">
        <v>1447</v>
      </c>
      <c r="H1673" s="7"/>
      <c r="I1673" s="10">
        <v>44761</v>
      </c>
      <c r="J1673" s="7" t="s">
        <v>13</v>
      </c>
      <c r="K1673" s="7" t="s">
        <v>14</v>
      </c>
      <c r="L1673" s="7" t="s">
        <v>15</v>
      </c>
      <c r="M1673" s="7" t="s">
        <v>16</v>
      </c>
    </row>
    <row r="1674" spans="1:13" x14ac:dyDescent="0.3">
      <c r="A1674" s="7" t="str">
        <f>HYPERLINK("https://hsdes.intel.com/resource/14013173261","14013173261")</f>
        <v>14013173261</v>
      </c>
      <c r="B1674" s="7" t="s">
        <v>1355</v>
      </c>
      <c r="C1674" s="7" t="s">
        <v>1420</v>
      </c>
      <c r="D1674" s="7" t="s">
        <v>1356</v>
      </c>
      <c r="E1674" s="7"/>
      <c r="F1674" s="7"/>
      <c r="G1674" s="7" t="s">
        <v>833</v>
      </c>
      <c r="H1674" s="7"/>
      <c r="I1674" s="7"/>
      <c r="J1674" s="7" t="s">
        <v>13</v>
      </c>
      <c r="K1674" s="7" t="s">
        <v>523</v>
      </c>
      <c r="L1674" s="7" t="s">
        <v>660</v>
      </c>
      <c r="M1674" s="7" t="s">
        <v>16</v>
      </c>
    </row>
    <row r="1675" spans="1:13" x14ac:dyDescent="0.3">
      <c r="A1675" s="7" t="str">
        <f>HYPERLINK("https://hsdes.intel.com/resource/14013173264","14013173264")</f>
        <v>14013173264</v>
      </c>
      <c r="B1675" s="7" t="s">
        <v>1358</v>
      </c>
      <c r="C1675" s="7" t="s">
        <v>1420</v>
      </c>
      <c r="D1675" s="7" t="s">
        <v>1359</v>
      </c>
      <c r="E1675" s="7" t="s">
        <v>11</v>
      </c>
      <c r="F1675" s="7"/>
      <c r="G1675" s="7" t="s">
        <v>1447</v>
      </c>
      <c r="H1675" s="7"/>
      <c r="I1675" s="10">
        <v>44762</v>
      </c>
      <c r="J1675" s="7" t="s">
        <v>13</v>
      </c>
      <c r="K1675" s="7" t="s">
        <v>523</v>
      </c>
      <c r="L1675" s="7" t="s">
        <v>660</v>
      </c>
      <c r="M1675" s="7" t="s">
        <v>16</v>
      </c>
    </row>
    <row r="1676" spans="1:13" x14ac:dyDescent="0.3">
      <c r="A1676" s="7" t="str">
        <f>HYPERLINK("https://hsdes.intel.com/resource/14013173272","14013173272")</f>
        <v>14013173272</v>
      </c>
      <c r="B1676" s="7" t="s">
        <v>2902</v>
      </c>
      <c r="C1676" s="7" t="s">
        <v>1420</v>
      </c>
      <c r="D1676" s="7" t="s">
        <v>2903</v>
      </c>
      <c r="E1676" s="7" t="s">
        <v>11</v>
      </c>
      <c r="F1676" s="7"/>
      <c r="G1676" s="7" t="s">
        <v>1447</v>
      </c>
      <c r="H1676" s="7"/>
      <c r="I1676" s="10">
        <v>44762</v>
      </c>
      <c r="J1676" s="7" t="s">
        <v>13</v>
      </c>
      <c r="K1676" s="7" t="s">
        <v>523</v>
      </c>
      <c r="L1676" s="7" t="s">
        <v>660</v>
      </c>
      <c r="M1676" s="7" t="s">
        <v>16</v>
      </c>
    </row>
    <row r="1677" spans="1:13" x14ac:dyDescent="0.3">
      <c r="A1677" s="7" t="str">
        <f>HYPERLINK("https://hsdes.intel.com/resource/14013173276","14013173276")</f>
        <v>14013173276</v>
      </c>
      <c r="B1677" s="7" t="s">
        <v>2904</v>
      </c>
      <c r="C1677" s="7" t="s">
        <v>1420</v>
      </c>
      <c r="D1677" s="7" t="s">
        <v>2905</v>
      </c>
      <c r="E1677" s="7" t="s">
        <v>11</v>
      </c>
      <c r="F1677" s="7"/>
      <c r="G1677" s="7" t="s">
        <v>1700</v>
      </c>
      <c r="H1677" s="7"/>
      <c r="I1677" s="10">
        <v>44757</v>
      </c>
      <c r="J1677" s="7" t="s">
        <v>13</v>
      </c>
      <c r="K1677" s="7" t="s">
        <v>523</v>
      </c>
      <c r="L1677" s="7" t="s">
        <v>660</v>
      </c>
      <c r="M1677" s="7" t="s">
        <v>16</v>
      </c>
    </row>
    <row r="1678" spans="1:13" x14ac:dyDescent="0.3">
      <c r="A1678" s="7" t="str">
        <f>HYPERLINK("https://hsdes.intel.com/resource/14013173292","14013173292")</f>
        <v>14013173292</v>
      </c>
      <c r="B1678" s="7" t="s">
        <v>2906</v>
      </c>
      <c r="C1678" s="7" t="s">
        <v>1420</v>
      </c>
      <c r="D1678" s="7" t="s">
        <v>2907</v>
      </c>
      <c r="E1678" s="7" t="s">
        <v>11</v>
      </c>
      <c r="F1678" s="7"/>
      <c r="G1678" s="7" t="s">
        <v>1447</v>
      </c>
      <c r="H1678" s="7"/>
      <c r="I1678" s="10">
        <v>44757</v>
      </c>
      <c r="J1678" s="7" t="s">
        <v>13</v>
      </c>
      <c r="K1678" s="7" t="s">
        <v>523</v>
      </c>
      <c r="L1678" s="7" t="s">
        <v>660</v>
      </c>
      <c r="M1678" s="7" t="s">
        <v>16</v>
      </c>
    </row>
    <row r="1679" spans="1:13" x14ac:dyDescent="0.3">
      <c r="A1679" s="7" t="str">
        <f>HYPERLINK("https://hsdes.intel.com/resource/14013173302","14013173302")</f>
        <v>14013173302</v>
      </c>
      <c r="B1679" s="7" t="s">
        <v>1361</v>
      </c>
      <c r="C1679" s="7" t="s">
        <v>1420</v>
      </c>
      <c r="D1679" s="7" t="s">
        <v>1362</v>
      </c>
      <c r="E1679" s="7"/>
      <c r="F1679" s="7"/>
      <c r="G1679" s="7" t="s">
        <v>833</v>
      </c>
      <c r="H1679" s="7"/>
      <c r="I1679" s="7"/>
      <c r="J1679" s="7" t="s">
        <v>13</v>
      </c>
      <c r="K1679" s="7" t="s">
        <v>523</v>
      </c>
      <c r="L1679" s="7" t="s">
        <v>660</v>
      </c>
      <c r="M1679" s="7" t="s">
        <v>16</v>
      </c>
    </row>
    <row r="1680" spans="1:13" x14ac:dyDescent="0.3">
      <c r="A1680" s="7" t="str">
        <f>HYPERLINK("https://hsdes.intel.com/resource/14013173314","14013173314")</f>
        <v>14013173314</v>
      </c>
      <c r="B1680" s="7" t="s">
        <v>2908</v>
      </c>
      <c r="C1680" s="7" t="s">
        <v>1420</v>
      </c>
      <c r="D1680" s="7" t="s">
        <v>2909</v>
      </c>
      <c r="E1680" s="7" t="s">
        <v>342</v>
      </c>
      <c r="F1680" s="7"/>
      <c r="G1680" s="7" t="s">
        <v>2910</v>
      </c>
      <c r="H1680" s="7"/>
      <c r="I1680" s="10">
        <v>44761</v>
      </c>
      <c r="J1680" s="7" t="s">
        <v>13</v>
      </c>
      <c r="K1680" s="7" t="s">
        <v>523</v>
      </c>
      <c r="L1680" s="7" t="s">
        <v>660</v>
      </c>
      <c r="M1680" s="7" t="s">
        <v>16</v>
      </c>
    </row>
    <row r="1681" spans="1:13" x14ac:dyDescent="0.3">
      <c r="A1681" s="7" t="str">
        <f>HYPERLINK("https://hsdes.intel.com/resource/14013173321","14013173321")</f>
        <v>14013173321</v>
      </c>
      <c r="B1681" s="7" t="s">
        <v>2911</v>
      </c>
      <c r="C1681" s="7" t="s">
        <v>1420</v>
      </c>
      <c r="D1681" s="7" t="s">
        <v>2912</v>
      </c>
      <c r="E1681" s="7" t="s">
        <v>342</v>
      </c>
      <c r="F1681" s="7"/>
      <c r="G1681" s="7" t="s">
        <v>2910</v>
      </c>
      <c r="H1681" s="7"/>
      <c r="I1681" s="10">
        <v>44761</v>
      </c>
      <c r="J1681" s="7" t="s">
        <v>13</v>
      </c>
      <c r="K1681" s="7" t="s">
        <v>523</v>
      </c>
      <c r="L1681" s="7" t="s">
        <v>660</v>
      </c>
      <c r="M1681" s="7" t="s">
        <v>16</v>
      </c>
    </row>
    <row r="1682" spans="1:13" x14ac:dyDescent="0.3">
      <c r="A1682" s="7" t="str">
        <f>HYPERLINK("https://hsdes.intel.com/resource/14013173337","14013173337")</f>
        <v>14013173337</v>
      </c>
      <c r="B1682" s="7" t="s">
        <v>2913</v>
      </c>
      <c r="C1682" s="7" t="s">
        <v>1420</v>
      </c>
      <c r="D1682" s="7" t="s">
        <v>2914</v>
      </c>
      <c r="E1682" s="7" t="s">
        <v>11</v>
      </c>
      <c r="F1682" s="7"/>
      <c r="G1682" s="7" t="s">
        <v>1605</v>
      </c>
      <c r="H1682" s="7"/>
      <c r="I1682" s="10">
        <v>44762</v>
      </c>
      <c r="J1682" s="7" t="s">
        <v>13</v>
      </c>
      <c r="K1682" s="7" t="s">
        <v>67</v>
      </c>
      <c r="L1682" s="7" t="s">
        <v>68</v>
      </c>
      <c r="M1682" s="7" t="s">
        <v>16</v>
      </c>
    </row>
    <row r="1683" spans="1:13" x14ac:dyDescent="0.3">
      <c r="A1683" s="7" t="str">
        <f>HYPERLINK("https://hsdes.intel.com/resource/14013173356","14013173356")</f>
        <v>14013173356</v>
      </c>
      <c r="B1683" s="7" t="s">
        <v>2915</v>
      </c>
      <c r="C1683" s="7" t="s">
        <v>1420</v>
      </c>
      <c r="D1683" s="7" t="s">
        <v>2916</v>
      </c>
      <c r="E1683" s="7" t="s">
        <v>11</v>
      </c>
      <c r="F1683" s="7"/>
      <c r="G1683" s="7" t="s">
        <v>2438</v>
      </c>
      <c r="H1683" s="7"/>
      <c r="I1683" s="10">
        <v>44760</v>
      </c>
      <c r="J1683" s="7" t="s">
        <v>13</v>
      </c>
      <c r="K1683" s="7" t="s">
        <v>523</v>
      </c>
      <c r="L1683" s="7" t="s">
        <v>660</v>
      </c>
      <c r="M1683" s="7" t="s">
        <v>16</v>
      </c>
    </row>
    <row r="1684" spans="1:13" x14ac:dyDescent="0.3">
      <c r="A1684" s="7" t="str">
        <f>HYPERLINK("https://hsdes.intel.com/resource/14013173941","14013173941")</f>
        <v>14013173941</v>
      </c>
      <c r="B1684" s="7" t="s">
        <v>2917</v>
      </c>
      <c r="C1684" s="7" t="s">
        <v>1420</v>
      </c>
      <c r="D1684" s="7" t="s">
        <v>2918</v>
      </c>
      <c r="E1684" s="7" t="s">
        <v>11</v>
      </c>
      <c r="F1684" s="7" t="s">
        <v>651</v>
      </c>
      <c r="G1684" s="7" t="s">
        <v>843</v>
      </c>
      <c r="H1684" s="7"/>
      <c r="I1684" s="10">
        <v>44755</v>
      </c>
      <c r="J1684" s="7" t="s">
        <v>13</v>
      </c>
      <c r="K1684" s="7" t="s">
        <v>2919</v>
      </c>
      <c r="L1684" s="7" t="s">
        <v>29</v>
      </c>
      <c r="M1684" s="7" t="s">
        <v>16</v>
      </c>
    </row>
    <row r="1685" spans="1:13" x14ac:dyDescent="0.3">
      <c r="A1685" s="7" t="str">
        <f>HYPERLINK("https://hsdes.intel.com/resource/14013173943","14013173943")</f>
        <v>14013173943</v>
      </c>
      <c r="B1685" s="7" t="s">
        <v>2920</v>
      </c>
      <c r="C1685" s="7" t="s">
        <v>1420</v>
      </c>
      <c r="D1685" s="7" t="s">
        <v>2921</v>
      </c>
      <c r="E1685" s="7" t="s">
        <v>11</v>
      </c>
      <c r="F1685" s="7" t="s">
        <v>651</v>
      </c>
      <c r="G1685" s="7" t="s">
        <v>843</v>
      </c>
      <c r="H1685" s="7"/>
      <c r="I1685" s="4">
        <v>44756</v>
      </c>
      <c r="J1685" s="7" t="s">
        <v>13</v>
      </c>
      <c r="K1685" s="7" t="s">
        <v>33</v>
      </c>
      <c r="L1685" s="7" t="s">
        <v>29</v>
      </c>
      <c r="M1685" s="7" t="s">
        <v>16</v>
      </c>
    </row>
    <row r="1686" spans="1:13" x14ac:dyDescent="0.3">
      <c r="A1686" s="7" t="str">
        <f>HYPERLINK("https://hsdes.intel.com/resource/14013173950","14013173950")</f>
        <v>14013173950</v>
      </c>
      <c r="B1686" s="7" t="s">
        <v>2922</v>
      </c>
      <c r="C1686" s="7" t="s">
        <v>1420</v>
      </c>
      <c r="D1686" s="7" t="s">
        <v>2923</v>
      </c>
      <c r="E1686" s="7" t="s">
        <v>11</v>
      </c>
      <c r="F1686" s="7" t="s">
        <v>651</v>
      </c>
      <c r="G1686" s="7" t="s">
        <v>843</v>
      </c>
      <c r="H1686" s="7"/>
      <c r="I1686" s="10">
        <v>44755</v>
      </c>
      <c r="J1686" s="7" t="s">
        <v>13</v>
      </c>
      <c r="K1686" s="7" t="s">
        <v>28</v>
      </c>
      <c r="L1686" s="7" t="s">
        <v>29</v>
      </c>
      <c r="M1686" s="7" t="s">
        <v>16</v>
      </c>
    </row>
    <row r="1687" spans="1:13" x14ac:dyDescent="0.3">
      <c r="A1687" s="7" t="str">
        <f>HYPERLINK("https://hsdes.intel.com/resource/14013173956","14013173956")</f>
        <v>14013173956</v>
      </c>
      <c r="B1687" s="7" t="s">
        <v>2924</v>
      </c>
      <c r="C1687" s="7" t="s">
        <v>1420</v>
      </c>
      <c r="D1687" s="7" t="s">
        <v>2925</v>
      </c>
      <c r="E1687" s="7" t="s">
        <v>11</v>
      </c>
      <c r="F1687" s="7" t="s">
        <v>651</v>
      </c>
      <c r="G1687" s="7" t="s">
        <v>843</v>
      </c>
      <c r="H1687" s="7"/>
      <c r="I1687" s="10">
        <v>44755</v>
      </c>
      <c r="J1687" s="7" t="s">
        <v>13</v>
      </c>
      <c r="K1687" s="7" t="s">
        <v>28</v>
      </c>
      <c r="L1687" s="7" t="s">
        <v>29</v>
      </c>
      <c r="M1687" s="7" t="s">
        <v>21</v>
      </c>
    </row>
    <row r="1688" spans="1:13" x14ac:dyDescent="0.3">
      <c r="A1688" s="7" t="str">
        <f>HYPERLINK("https://hsdes.intel.com/resource/14013173962","14013173962")</f>
        <v>14013173962</v>
      </c>
      <c r="B1688" s="7" t="s">
        <v>2926</v>
      </c>
      <c r="C1688" s="7" t="s">
        <v>1420</v>
      </c>
      <c r="D1688" s="7" t="s">
        <v>2927</v>
      </c>
      <c r="E1688" s="7" t="s">
        <v>11</v>
      </c>
      <c r="F1688" s="7" t="s">
        <v>651</v>
      </c>
      <c r="G1688" s="7" t="s">
        <v>843</v>
      </c>
      <c r="H1688" s="7"/>
      <c r="I1688" s="10">
        <v>44755</v>
      </c>
      <c r="J1688" s="7" t="s">
        <v>13</v>
      </c>
      <c r="K1688" s="7" t="s">
        <v>33</v>
      </c>
      <c r="L1688" s="7" t="s">
        <v>29</v>
      </c>
      <c r="M1688" s="7" t="s">
        <v>16</v>
      </c>
    </row>
    <row r="1689" spans="1:13" x14ac:dyDescent="0.3">
      <c r="A1689" s="7" t="str">
        <f>HYPERLINK("https://hsdes.intel.com/resource/14013173972","14013173972")</f>
        <v>14013173972</v>
      </c>
      <c r="B1689" s="7" t="s">
        <v>2928</v>
      </c>
      <c r="C1689" s="7" t="s">
        <v>1420</v>
      </c>
      <c r="D1689" s="7" t="s">
        <v>2929</v>
      </c>
      <c r="E1689" s="7" t="s">
        <v>11</v>
      </c>
      <c r="F1689" s="7" t="s">
        <v>651</v>
      </c>
      <c r="G1689" s="7" t="s">
        <v>843</v>
      </c>
      <c r="H1689" s="7"/>
      <c r="I1689" s="10">
        <v>44755</v>
      </c>
      <c r="J1689" s="7" t="s">
        <v>13</v>
      </c>
      <c r="K1689" s="7" t="s">
        <v>28</v>
      </c>
      <c r="L1689" s="7" t="s">
        <v>29</v>
      </c>
      <c r="M1689" s="7" t="s">
        <v>16</v>
      </c>
    </row>
    <row r="1690" spans="1:13" x14ac:dyDescent="0.3">
      <c r="A1690" s="7" t="str">
        <f>HYPERLINK("https://hsdes.intel.com/resource/14013173981","14013173981")</f>
        <v>14013173981</v>
      </c>
      <c r="B1690" s="7" t="s">
        <v>2930</v>
      </c>
      <c r="C1690" s="7" t="s">
        <v>1420</v>
      </c>
      <c r="D1690" s="7" t="s">
        <v>2931</v>
      </c>
      <c r="E1690" s="7" t="s">
        <v>11</v>
      </c>
      <c r="F1690" s="7"/>
      <c r="G1690" s="7" t="s">
        <v>1475</v>
      </c>
      <c r="H1690" s="7"/>
      <c r="I1690" s="7"/>
      <c r="J1690" s="7" t="s">
        <v>13</v>
      </c>
      <c r="K1690" s="7" t="s">
        <v>28</v>
      </c>
      <c r="L1690" s="7" t="s">
        <v>29</v>
      </c>
      <c r="M1690" s="7" t="s">
        <v>24</v>
      </c>
    </row>
    <row r="1691" spans="1:13" x14ac:dyDescent="0.3">
      <c r="A1691" s="7" t="str">
        <f>HYPERLINK("https://hsdes.intel.com/resource/14013173986","14013173986")</f>
        <v>14013173986</v>
      </c>
      <c r="B1691" s="7" t="s">
        <v>2932</v>
      </c>
      <c r="C1691" s="7" t="s">
        <v>1420</v>
      </c>
      <c r="D1691" s="7" t="s">
        <v>2933</v>
      </c>
      <c r="E1691" s="7" t="s">
        <v>11</v>
      </c>
      <c r="F1691" s="7"/>
      <c r="G1691" s="7" t="s">
        <v>1475</v>
      </c>
      <c r="H1691" s="7"/>
      <c r="I1691" s="7"/>
      <c r="J1691" s="7" t="s">
        <v>13</v>
      </c>
      <c r="K1691" s="7" t="s">
        <v>523</v>
      </c>
      <c r="L1691" s="7" t="s">
        <v>29</v>
      </c>
      <c r="M1691" s="7" t="s">
        <v>16</v>
      </c>
    </row>
    <row r="1692" spans="1:13" x14ac:dyDescent="0.3">
      <c r="A1692" s="7" t="str">
        <f>HYPERLINK("https://hsdes.intel.com/resource/14013173997","14013173997")</f>
        <v>14013173997</v>
      </c>
      <c r="B1692" s="7" t="s">
        <v>2934</v>
      </c>
      <c r="C1692" s="7" t="s">
        <v>1420</v>
      </c>
      <c r="D1692" s="7" t="s">
        <v>2935</v>
      </c>
      <c r="E1692" s="7" t="s">
        <v>11</v>
      </c>
      <c r="F1692" s="7" t="s">
        <v>651</v>
      </c>
      <c r="G1692" s="7" t="s">
        <v>843</v>
      </c>
      <c r="H1692" s="7"/>
      <c r="I1692" s="10">
        <v>44755</v>
      </c>
      <c r="J1692" s="7" t="s">
        <v>13</v>
      </c>
      <c r="K1692" s="7" t="s">
        <v>2936</v>
      </c>
      <c r="L1692" s="7" t="s">
        <v>29</v>
      </c>
      <c r="M1692" s="7" t="s">
        <v>16</v>
      </c>
    </row>
    <row r="1693" spans="1:13" x14ac:dyDescent="0.3">
      <c r="A1693" s="7" t="str">
        <f>HYPERLINK("https://hsdes.intel.com/resource/14013174004","14013174004")</f>
        <v>14013174004</v>
      </c>
      <c r="B1693" s="7" t="s">
        <v>2937</v>
      </c>
      <c r="C1693" s="7" t="s">
        <v>1420</v>
      </c>
      <c r="D1693" s="7" t="s">
        <v>2938</v>
      </c>
      <c r="E1693" s="7" t="s">
        <v>37</v>
      </c>
      <c r="F1693" s="7"/>
      <c r="G1693" s="7" t="s">
        <v>369</v>
      </c>
      <c r="H1693" s="7"/>
      <c r="I1693" s="7"/>
      <c r="J1693" s="7" t="s">
        <v>13</v>
      </c>
      <c r="K1693" s="7" t="s">
        <v>147</v>
      </c>
      <c r="L1693" s="7" t="s">
        <v>29</v>
      </c>
      <c r="M1693" s="7" t="s">
        <v>24</v>
      </c>
    </row>
    <row r="1694" spans="1:13" x14ac:dyDescent="0.3">
      <c r="A1694" s="7" t="str">
        <f>HYPERLINK("https://hsdes.intel.com/resource/14013174007","14013174007")</f>
        <v>14013174007</v>
      </c>
      <c r="B1694" s="7" t="s">
        <v>2939</v>
      </c>
      <c r="C1694" s="7" t="s">
        <v>1420</v>
      </c>
      <c r="D1694" s="7" t="s">
        <v>2940</v>
      </c>
      <c r="E1694" s="7" t="s">
        <v>37</v>
      </c>
      <c r="F1694" s="7"/>
      <c r="G1694" s="7" t="s">
        <v>369</v>
      </c>
      <c r="H1694" s="7"/>
      <c r="I1694" s="10">
        <v>44762</v>
      </c>
      <c r="J1694" s="7" t="s">
        <v>13</v>
      </c>
      <c r="K1694" s="7" t="s">
        <v>33</v>
      </c>
      <c r="L1694" s="7" t="s">
        <v>29</v>
      </c>
      <c r="M1694" s="7" t="s">
        <v>24</v>
      </c>
    </row>
    <row r="1695" spans="1:13" x14ac:dyDescent="0.3">
      <c r="A1695" s="7" t="str">
        <f>HYPERLINK("https://hsdes.intel.com/resource/14013174063","14013174063")</f>
        <v>14013174063</v>
      </c>
      <c r="B1695" s="7" t="s">
        <v>2941</v>
      </c>
      <c r="C1695" s="7" t="s">
        <v>1420</v>
      </c>
      <c r="D1695" s="7" t="s">
        <v>2942</v>
      </c>
      <c r="E1695" s="7" t="s">
        <v>11</v>
      </c>
      <c r="F1695" s="7" t="s">
        <v>2943</v>
      </c>
      <c r="G1695" s="7" t="s">
        <v>345</v>
      </c>
      <c r="H1695" s="7"/>
      <c r="I1695" s="10">
        <v>44760</v>
      </c>
      <c r="J1695" s="7" t="s">
        <v>13</v>
      </c>
      <c r="K1695" s="7" t="s">
        <v>740</v>
      </c>
      <c r="L1695" s="7" t="s">
        <v>29</v>
      </c>
      <c r="M1695" s="7" t="s">
        <v>24</v>
      </c>
    </row>
    <row r="1696" spans="1:13" ht="15" x14ac:dyDescent="0.35">
      <c r="A1696" s="7" t="str">
        <f>HYPERLINK("https://hsdes.intel.com/resource/14013174070","14013174070")</f>
        <v>14013174070</v>
      </c>
      <c r="B1696" s="7" t="s">
        <v>2944</v>
      </c>
      <c r="C1696" s="7" t="s">
        <v>1420</v>
      </c>
      <c r="D1696" s="7" t="s">
        <v>2945</v>
      </c>
      <c r="E1696" s="7" t="s">
        <v>87</v>
      </c>
      <c r="F1696" s="26" t="s">
        <v>2946</v>
      </c>
      <c r="G1696" s="7" t="s">
        <v>345</v>
      </c>
      <c r="H1696" s="7"/>
      <c r="I1696" s="10">
        <v>44760</v>
      </c>
      <c r="J1696" s="7" t="s">
        <v>13</v>
      </c>
      <c r="K1696" s="7" t="s">
        <v>740</v>
      </c>
      <c r="L1696" s="7" t="s">
        <v>29</v>
      </c>
      <c r="M1696" s="7" t="s">
        <v>24</v>
      </c>
    </row>
    <row r="1697" spans="1:13" x14ac:dyDescent="0.3">
      <c r="A1697" s="7" t="str">
        <f>HYPERLINK("https://hsdes.intel.com/resource/14013174084","14013174084")</f>
        <v>14013174084</v>
      </c>
      <c r="B1697" s="7" t="s">
        <v>2947</v>
      </c>
      <c r="C1697" s="7" t="s">
        <v>1420</v>
      </c>
      <c r="D1697" s="7" t="s">
        <v>2948</v>
      </c>
      <c r="E1697" s="7" t="s">
        <v>11</v>
      </c>
      <c r="F1697" s="7"/>
      <c r="G1697" s="7" t="s">
        <v>1475</v>
      </c>
      <c r="H1697" s="7"/>
      <c r="I1697" s="7"/>
      <c r="J1697" s="7" t="s">
        <v>13</v>
      </c>
      <c r="K1697" s="7" t="s">
        <v>28</v>
      </c>
      <c r="L1697" s="7" t="s">
        <v>29</v>
      </c>
      <c r="M1697" s="7" t="s">
        <v>16</v>
      </c>
    </row>
    <row r="1698" spans="1:13" x14ac:dyDescent="0.3">
      <c r="A1698" s="7" t="str">
        <f>HYPERLINK("https://hsdes.intel.com/resource/14013174087","14013174087")</f>
        <v>14013174087</v>
      </c>
      <c r="B1698" s="7" t="s">
        <v>727</v>
      </c>
      <c r="C1698" s="7" t="s">
        <v>1420</v>
      </c>
      <c r="D1698" s="7" t="s">
        <v>728</v>
      </c>
      <c r="E1698" s="7"/>
      <c r="F1698" s="7"/>
      <c r="G1698" s="7" t="s">
        <v>541</v>
      </c>
      <c r="H1698" s="7"/>
      <c r="I1698" s="7"/>
      <c r="J1698" s="7" t="s">
        <v>13</v>
      </c>
      <c r="K1698" s="7" t="s">
        <v>28</v>
      </c>
      <c r="L1698" s="7" t="s">
        <v>29</v>
      </c>
      <c r="M1698" s="7" t="s">
        <v>16</v>
      </c>
    </row>
    <row r="1699" spans="1:13" x14ac:dyDescent="0.3">
      <c r="A1699" s="7" t="str">
        <f>HYPERLINK("https://hsdes.intel.com/resource/14013174094","14013174094")</f>
        <v>14013174094</v>
      </c>
      <c r="B1699" s="7" t="s">
        <v>730</v>
      </c>
      <c r="C1699" s="7" t="s">
        <v>1420</v>
      </c>
      <c r="D1699" s="7" t="s">
        <v>731</v>
      </c>
      <c r="E1699" s="7"/>
      <c r="F1699" s="7"/>
      <c r="G1699" s="7" t="s">
        <v>541</v>
      </c>
      <c r="H1699" s="7"/>
      <c r="I1699" s="7"/>
      <c r="J1699" s="7" t="s">
        <v>13</v>
      </c>
      <c r="K1699" s="7" t="s">
        <v>28</v>
      </c>
      <c r="L1699" s="7" t="s">
        <v>29</v>
      </c>
      <c r="M1699" s="7" t="s">
        <v>16</v>
      </c>
    </row>
    <row r="1700" spans="1:13" x14ac:dyDescent="0.3">
      <c r="A1700" s="7" t="str">
        <f>HYPERLINK("https://hsdes.intel.com/resource/14013174186","14013174186")</f>
        <v>14013174186</v>
      </c>
      <c r="B1700" s="7" t="s">
        <v>732</v>
      </c>
      <c r="C1700" s="7" t="s">
        <v>1420</v>
      </c>
      <c r="D1700" s="7" t="s">
        <v>733</v>
      </c>
      <c r="E1700" s="7"/>
      <c r="F1700" s="7"/>
      <c r="G1700" s="7" t="s">
        <v>541</v>
      </c>
      <c r="H1700" s="7"/>
      <c r="I1700" s="7"/>
      <c r="J1700" s="7" t="s">
        <v>192</v>
      </c>
      <c r="K1700" s="7" t="s">
        <v>290</v>
      </c>
      <c r="L1700" s="7" t="s">
        <v>291</v>
      </c>
      <c r="M1700" s="7" t="s">
        <v>16</v>
      </c>
    </row>
    <row r="1701" spans="1:13" x14ac:dyDescent="0.3">
      <c r="A1701" s="7" t="str">
        <f>HYPERLINK("https://hsdes.intel.com/resource/14013174262","14013174262")</f>
        <v>14013174262</v>
      </c>
      <c r="B1701" s="7" t="s">
        <v>735</v>
      </c>
      <c r="C1701" s="7" t="s">
        <v>1420</v>
      </c>
      <c r="D1701" s="7" t="s">
        <v>736</v>
      </c>
      <c r="E1701" s="7"/>
      <c r="F1701" s="7"/>
      <c r="G1701" s="7" t="s">
        <v>541</v>
      </c>
      <c r="H1701" s="7"/>
      <c r="I1701" s="7"/>
      <c r="J1701" s="7" t="s">
        <v>13</v>
      </c>
      <c r="K1701" s="7" t="s">
        <v>28</v>
      </c>
      <c r="L1701" s="7" t="s">
        <v>29</v>
      </c>
      <c r="M1701" s="7" t="s">
        <v>21</v>
      </c>
    </row>
    <row r="1702" spans="1:13" x14ac:dyDescent="0.3">
      <c r="A1702" s="7" t="str">
        <f>HYPERLINK("https://hsdes.intel.com/resource/14013174288","14013174288")</f>
        <v>14013174288</v>
      </c>
      <c r="B1702" s="7" t="s">
        <v>738</v>
      </c>
      <c r="C1702" s="7" t="s">
        <v>1420</v>
      </c>
      <c r="D1702" s="7" t="s">
        <v>739</v>
      </c>
      <c r="E1702" s="7"/>
      <c r="F1702" s="7"/>
      <c r="G1702" s="7" t="s">
        <v>541</v>
      </c>
      <c r="H1702" s="7"/>
      <c r="I1702" s="7"/>
      <c r="J1702" s="7" t="s">
        <v>13</v>
      </c>
      <c r="K1702" s="7" t="s">
        <v>740</v>
      </c>
      <c r="L1702" s="7" t="s">
        <v>29</v>
      </c>
      <c r="M1702" s="7" t="s">
        <v>21</v>
      </c>
    </row>
    <row r="1703" spans="1:13" x14ac:dyDescent="0.3">
      <c r="A1703" s="7" t="str">
        <f>HYPERLINK("https://hsdes.intel.com/resource/14013174349","14013174349")</f>
        <v>14013174349</v>
      </c>
      <c r="B1703" s="7" t="s">
        <v>742</v>
      </c>
      <c r="C1703" s="7" t="s">
        <v>1420</v>
      </c>
      <c r="D1703" s="7" t="s">
        <v>743</v>
      </c>
      <c r="E1703" s="7"/>
      <c r="F1703" s="7"/>
      <c r="G1703" s="7" t="s">
        <v>541</v>
      </c>
      <c r="H1703" s="7"/>
      <c r="I1703" s="7"/>
      <c r="J1703" s="7" t="s">
        <v>13</v>
      </c>
      <c r="K1703" s="7" t="s">
        <v>147</v>
      </c>
      <c r="L1703" s="7" t="s">
        <v>29</v>
      </c>
      <c r="M1703" s="7" t="s">
        <v>16</v>
      </c>
    </row>
    <row r="1704" spans="1:13" x14ac:dyDescent="0.3">
      <c r="A1704" s="7" t="str">
        <f>HYPERLINK("https://hsdes.intel.com/resource/14013174392","14013174392")</f>
        <v>14013174392</v>
      </c>
      <c r="B1704" s="7" t="s">
        <v>744</v>
      </c>
      <c r="C1704" s="7" t="s">
        <v>1420</v>
      </c>
      <c r="D1704" s="7" t="s">
        <v>745</v>
      </c>
      <c r="E1704" s="7"/>
      <c r="F1704" s="7"/>
      <c r="G1704" s="7" t="s">
        <v>541</v>
      </c>
      <c r="H1704" s="7"/>
      <c r="I1704" s="7"/>
      <c r="J1704" s="7" t="s">
        <v>13</v>
      </c>
      <c r="K1704" s="7" t="s">
        <v>147</v>
      </c>
      <c r="L1704" s="7" t="s">
        <v>29</v>
      </c>
      <c r="M1704" s="7" t="s">
        <v>16</v>
      </c>
    </row>
    <row r="1705" spans="1:13" x14ac:dyDescent="0.3">
      <c r="A1705" s="7" t="str">
        <f>HYPERLINK("https://hsdes.intel.com/resource/14013174396","14013174396")</f>
        <v>14013174396</v>
      </c>
      <c r="B1705" s="7" t="s">
        <v>2949</v>
      </c>
      <c r="C1705" s="7" t="s">
        <v>1420</v>
      </c>
      <c r="D1705" s="7" t="s">
        <v>2950</v>
      </c>
      <c r="E1705" s="7" t="s">
        <v>11</v>
      </c>
      <c r="F1705" s="7"/>
      <c r="G1705" s="7" t="s">
        <v>836</v>
      </c>
      <c r="H1705" s="7"/>
      <c r="I1705" s="10">
        <v>44755</v>
      </c>
      <c r="J1705" s="7" t="s">
        <v>13</v>
      </c>
      <c r="K1705" s="7" t="s">
        <v>328</v>
      </c>
      <c r="L1705" s="7" t="s">
        <v>29</v>
      </c>
      <c r="M1705" s="7" t="s">
        <v>24</v>
      </c>
    </row>
    <row r="1706" spans="1:13" x14ac:dyDescent="0.3">
      <c r="A1706" s="7" t="str">
        <f>HYPERLINK("https://hsdes.intel.com/resource/14013174406","14013174406")</f>
        <v>14013174406</v>
      </c>
      <c r="B1706" s="7" t="s">
        <v>747</v>
      </c>
      <c r="C1706" s="7" t="s">
        <v>1420</v>
      </c>
      <c r="D1706" s="7" t="s">
        <v>748</v>
      </c>
      <c r="E1706" s="7"/>
      <c r="F1706" s="7"/>
      <c r="G1706" s="7" t="s">
        <v>541</v>
      </c>
      <c r="H1706" s="7"/>
      <c r="I1706" s="7"/>
      <c r="J1706" s="7" t="s">
        <v>13</v>
      </c>
      <c r="K1706" s="7" t="s">
        <v>28</v>
      </c>
      <c r="L1706" s="7" t="s">
        <v>29</v>
      </c>
      <c r="M1706" s="7" t="s">
        <v>24</v>
      </c>
    </row>
    <row r="1707" spans="1:13" x14ac:dyDescent="0.3">
      <c r="A1707" s="7" t="str">
        <f>HYPERLINK("https://hsdes.intel.com/resource/14013174424","14013174424")</f>
        <v>14013174424</v>
      </c>
      <c r="B1707" s="7" t="s">
        <v>749</v>
      </c>
      <c r="C1707" s="7" t="s">
        <v>1420</v>
      </c>
      <c r="D1707" s="7" t="s">
        <v>750</v>
      </c>
      <c r="E1707" s="7"/>
      <c r="F1707" s="7"/>
      <c r="G1707" s="7" t="s">
        <v>541</v>
      </c>
      <c r="H1707" s="7"/>
      <c r="I1707" s="7"/>
      <c r="J1707" s="7" t="s">
        <v>13</v>
      </c>
      <c r="K1707" s="7" t="s">
        <v>320</v>
      </c>
      <c r="L1707" s="7" t="s">
        <v>29</v>
      </c>
      <c r="M1707" s="7" t="s">
        <v>24</v>
      </c>
    </row>
    <row r="1708" spans="1:13" x14ac:dyDescent="0.3">
      <c r="A1708" s="7" t="str">
        <f>HYPERLINK("https://hsdes.intel.com/resource/14013174432","14013174432")</f>
        <v>14013174432</v>
      </c>
      <c r="B1708" s="7" t="s">
        <v>753</v>
      </c>
      <c r="C1708" s="7" t="s">
        <v>1420</v>
      </c>
      <c r="D1708" s="7" t="s">
        <v>754</v>
      </c>
      <c r="E1708" s="7"/>
      <c r="F1708" s="7"/>
      <c r="G1708" s="7" t="s">
        <v>541</v>
      </c>
      <c r="H1708" s="7"/>
      <c r="I1708" s="7"/>
      <c r="J1708" s="7" t="s">
        <v>13</v>
      </c>
      <c r="K1708" s="7" t="s">
        <v>320</v>
      </c>
      <c r="L1708" s="7" t="s">
        <v>29</v>
      </c>
      <c r="M1708" s="7" t="s">
        <v>24</v>
      </c>
    </row>
    <row r="1709" spans="1:13" x14ac:dyDescent="0.3">
      <c r="A1709" s="7" t="str">
        <f>HYPERLINK("https://hsdes.intel.com/resource/14013174439","14013174439")</f>
        <v>14013174439</v>
      </c>
      <c r="B1709" s="7" t="s">
        <v>756</v>
      </c>
      <c r="C1709" s="7" t="s">
        <v>1420</v>
      </c>
      <c r="D1709" s="7" t="s">
        <v>757</v>
      </c>
      <c r="E1709" s="7"/>
      <c r="F1709" s="7"/>
      <c r="G1709" s="7" t="s">
        <v>541</v>
      </c>
      <c r="H1709" s="7"/>
      <c r="I1709" s="7"/>
      <c r="J1709" s="7" t="s">
        <v>13</v>
      </c>
      <c r="K1709" s="7" t="s">
        <v>320</v>
      </c>
      <c r="L1709" s="7" t="s">
        <v>29</v>
      </c>
      <c r="M1709" s="7" t="s">
        <v>24</v>
      </c>
    </row>
    <row r="1710" spans="1:13" x14ac:dyDescent="0.3">
      <c r="A1710" s="7" t="str">
        <f>HYPERLINK("https://hsdes.intel.com/resource/14013174442","14013174442")</f>
        <v>14013174442</v>
      </c>
      <c r="B1710" s="7" t="s">
        <v>759</v>
      </c>
      <c r="C1710" s="7" t="s">
        <v>1420</v>
      </c>
      <c r="D1710" s="7" t="s">
        <v>760</v>
      </c>
      <c r="E1710" s="7"/>
      <c r="F1710" s="7"/>
      <c r="G1710" s="7" t="s">
        <v>541</v>
      </c>
      <c r="H1710" s="7"/>
      <c r="I1710" s="7"/>
      <c r="J1710" s="7" t="s">
        <v>13</v>
      </c>
      <c r="K1710" s="7" t="s">
        <v>28</v>
      </c>
      <c r="L1710" s="7" t="s">
        <v>29</v>
      </c>
      <c r="M1710" s="7" t="s">
        <v>21</v>
      </c>
    </row>
    <row r="1711" spans="1:13" x14ac:dyDescent="0.3">
      <c r="A1711" s="7" t="str">
        <f>HYPERLINK("https://hsdes.intel.com/resource/14013174444","14013174444")</f>
        <v>14013174444</v>
      </c>
      <c r="B1711" s="7" t="s">
        <v>762</v>
      </c>
      <c r="C1711" s="7" t="s">
        <v>1420</v>
      </c>
      <c r="D1711" s="7" t="s">
        <v>763</v>
      </c>
      <c r="E1711" s="7"/>
      <c r="F1711" s="7"/>
      <c r="G1711" s="7" t="s">
        <v>541</v>
      </c>
      <c r="H1711" s="7"/>
      <c r="I1711" s="7"/>
      <c r="J1711" s="7" t="s">
        <v>13</v>
      </c>
      <c r="K1711" s="7" t="s">
        <v>328</v>
      </c>
      <c r="L1711" s="7" t="s">
        <v>29</v>
      </c>
      <c r="M1711" s="7" t="s">
        <v>21</v>
      </c>
    </row>
    <row r="1712" spans="1:13" x14ac:dyDescent="0.3">
      <c r="A1712" s="7" t="str">
        <f>HYPERLINK("https://hsdes.intel.com/resource/14013174453","14013174453")</f>
        <v>14013174453</v>
      </c>
      <c r="B1712" s="7" t="s">
        <v>765</v>
      </c>
      <c r="C1712" s="7" t="s">
        <v>1420</v>
      </c>
      <c r="D1712" s="7" t="s">
        <v>766</v>
      </c>
      <c r="E1712" s="7"/>
      <c r="F1712" s="7"/>
      <c r="G1712" s="7" t="s">
        <v>541</v>
      </c>
      <c r="H1712" s="7"/>
      <c r="I1712" s="7"/>
      <c r="J1712" s="7" t="s">
        <v>13</v>
      </c>
      <c r="K1712" s="7" t="s">
        <v>740</v>
      </c>
      <c r="L1712" s="7" t="s">
        <v>29</v>
      </c>
      <c r="M1712" s="7" t="s">
        <v>16</v>
      </c>
    </row>
    <row r="1713" spans="1:13" x14ac:dyDescent="0.3">
      <c r="A1713" s="7">
        <v>14013174650</v>
      </c>
      <c r="B1713" s="7" t="s">
        <v>330</v>
      </c>
      <c r="C1713" s="7" t="s">
        <v>1420</v>
      </c>
      <c r="D1713" s="7" t="s">
        <v>331</v>
      </c>
      <c r="E1713" s="7"/>
      <c r="F1713" s="7"/>
      <c r="G1713" s="7" t="s">
        <v>9</v>
      </c>
      <c r="H1713" s="7"/>
      <c r="I1713" s="7"/>
      <c r="J1713" s="7" t="s">
        <v>13</v>
      </c>
      <c r="K1713" s="7" t="s">
        <v>33</v>
      </c>
      <c r="L1713" s="7" t="s">
        <v>29</v>
      </c>
      <c r="M1713" s="7" t="s">
        <v>16</v>
      </c>
    </row>
    <row r="1714" spans="1:13" x14ac:dyDescent="0.3">
      <c r="A1714" s="7" t="str">
        <f>HYPERLINK("https://hsdes.intel.com/resource/14013174486","14013174486")</f>
        <v>14013174486</v>
      </c>
      <c r="B1714" s="7" t="s">
        <v>333</v>
      </c>
      <c r="C1714" s="7" t="s">
        <v>1420</v>
      </c>
      <c r="D1714" s="7" t="s">
        <v>334</v>
      </c>
      <c r="E1714" s="7"/>
      <c r="F1714" s="7"/>
      <c r="G1714" s="7" t="s">
        <v>9</v>
      </c>
      <c r="H1714" s="7"/>
      <c r="I1714" s="7"/>
      <c r="J1714" s="7" t="s">
        <v>13</v>
      </c>
      <c r="K1714" s="7" t="s">
        <v>33</v>
      </c>
      <c r="L1714" s="7" t="s">
        <v>29</v>
      </c>
      <c r="M1714" s="7" t="s">
        <v>16</v>
      </c>
    </row>
    <row r="1715" spans="1:13" x14ac:dyDescent="0.3">
      <c r="A1715" s="7" t="str">
        <f>HYPERLINK("https://hsdes.intel.com/resource/14013174491","14013174491")</f>
        <v>14013174491</v>
      </c>
      <c r="B1715" s="7" t="s">
        <v>336</v>
      </c>
      <c r="C1715" s="7" t="s">
        <v>1420</v>
      </c>
      <c r="D1715" s="7" t="s">
        <v>337</v>
      </c>
      <c r="E1715" s="7"/>
      <c r="F1715" s="7"/>
      <c r="G1715" s="7" t="s">
        <v>9</v>
      </c>
      <c r="H1715" s="7"/>
      <c r="I1715" s="7"/>
      <c r="J1715" s="7" t="s">
        <v>13</v>
      </c>
      <c r="K1715" s="7" t="s">
        <v>33</v>
      </c>
      <c r="L1715" s="7" t="s">
        <v>29</v>
      </c>
      <c r="M1715" s="7" t="s">
        <v>16</v>
      </c>
    </row>
    <row r="1716" spans="1:13" x14ac:dyDescent="0.3">
      <c r="A1716" s="7" t="str">
        <f>HYPERLINK("https://hsdes.intel.com/resource/14013174555","14013174555")</f>
        <v>14013174555</v>
      </c>
      <c r="B1716" s="7" t="s">
        <v>2951</v>
      </c>
      <c r="C1716" s="7" t="s">
        <v>1420</v>
      </c>
      <c r="D1716" s="7" t="s">
        <v>2952</v>
      </c>
      <c r="E1716" s="7" t="s">
        <v>11</v>
      </c>
      <c r="F1716" s="7"/>
      <c r="G1716" s="7" t="s">
        <v>836</v>
      </c>
      <c r="H1716" s="7"/>
      <c r="I1716" s="10">
        <v>44755</v>
      </c>
      <c r="J1716" s="7" t="s">
        <v>13</v>
      </c>
      <c r="K1716" s="7" t="s">
        <v>328</v>
      </c>
      <c r="L1716" s="7" t="s">
        <v>29</v>
      </c>
      <c r="M1716" s="7" t="s">
        <v>16</v>
      </c>
    </row>
    <row r="1717" spans="1:13" x14ac:dyDescent="0.3">
      <c r="A1717" s="7" t="str">
        <f>HYPERLINK("https://hsdes.intel.com/resource/14013174569","14013174569")</f>
        <v>14013174569</v>
      </c>
      <c r="B1717" s="7" t="s">
        <v>768</v>
      </c>
      <c r="C1717" s="7" t="s">
        <v>1420</v>
      </c>
      <c r="D1717" s="7" t="s">
        <v>769</v>
      </c>
      <c r="E1717" s="7"/>
      <c r="F1717" s="7"/>
      <c r="G1717" s="7" t="s">
        <v>541</v>
      </c>
      <c r="H1717" s="7"/>
      <c r="I1717" s="7"/>
      <c r="J1717" s="7" t="s">
        <v>13</v>
      </c>
      <c r="K1717" s="7" t="s">
        <v>33</v>
      </c>
      <c r="L1717" s="7" t="s">
        <v>29</v>
      </c>
      <c r="M1717" s="7" t="s">
        <v>16</v>
      </c>
    </row>
    <row r="1718" spans="1:13" x14ac:dyDescent="0.3">
      <c r="A1718" s="7" t="str">
        <f>HYPERLINK("https://hsdes.intel.com/resource/14013174609","14013174609")</f>
        <v>14013174609</v>
      </c>
      <c r="B1718" s="7" t="s">
        <v>771</v>
      </c>
      <c r="C1718" s="7" t="s">
        <v>1420</v>
      </c>
      <c r="D1718" s="7" t="s">
        <v>772</v>
      </c>
      <c r="E1718" s="7"/>
      <c r="F1718" s="7"/>
      <c r="G1718" s="7" t="s">
        <v>541</v>
      </c>
      <c r="H1718" s="7"/>
      <c r="I1718" s="7"/>
      <c r="J1718" s="7" t="s">
        <v>13</v>
      </c>
      <c r="K1718" s="7" t="s">
        <v>147</v>
      </c>
      <c r="L1718" s="7" t="s">
        <v>29</v>
      </c>
      <c r="M1718" s="7" t="s">
        <v>16</v>
      </c>
    </row>
    <row r="1719" spans="1:13" x14ac:dyDescent="0.3">
      <c r="A1719" s="7" t="str">
        <f>HYPERLINK("https://hsdes.intel.com/resource/14013174639","14013174639")</f>
        <v>14013174639</v>
      </c>
      <c r="B1719" s="7" t="s">
        <v>774</v>
      </c>
      <c r="C1719" s="7" t="s">
        <v>1420</v>
      </c>
      <c r="D1719" s="7" t="s">
        <v>775</v>
      </c>
      <c r="E1719" s="7"/>
      <c r="F1719" s="7"/>
      <c r="G1719" s="7" t="s">
        <v>541</v>
      </c>
      <c r="H1719" s="7"/>
      <c r="I1719" s="7"/>
      <c r="J1719" s="7" t="s">
        <v>13</v>
      </c>
      <c r="K1719" s="7" t="s">
        <v>33</v>
      </c>
      <c r="L1719" s="7" t="s">
        <v>29</v>
      </c>
      <c r="M1719" s="7" t="s">
        <v>24</v>
      </c>
    </row>
    <row r="1720" spans="1:13" x14ac:dyDescent="0.3">
      <c r="A1720" s="7" t="str">
        <f>HYPERLINK("https://hsdes.intel.com/resource/14013174645","14013174645")</f>
        <v>14013174645</v>
      </c>
      <c r="B1720" s="7" t="s">
        <v>777</v>
      </c>
      <c r="C1720" s="7" t="s">
        <v>1420</v>
      </c>
      <c r="D1720" s="7" t="s">
        <v>778</v>
      </c>
      <c r="E1720" s="7"/>
      <c r="F1720" s="7"/>
      <c r="G1720" s="7" t="s">
        <v>541</v>
      </c>
      <c r="H1720" s="7"/>
      <c r="I1720" s="7"/>
      <c r="J1720" s="7" t="s">
        <v>13</v>
      </c>
      <c r="K1720" s="7" t="s">
        <v>33</v>
      </c>
      <c r="L1720" s="7" t="s">
        <v>29</v>
      </c>
      <c r="M1720" s="7" t="s">
        <v>24</v>
      </c>
    </row>
    <row r="1721" spans="1:13" x14ac:dyDescent="0.3">
      <c r="A1721" s="7" t="str">
        <f>HYPERLINK("https://hsdes.intel.com/resource/14013174650","14013174650")</f>
        <v>14013174650</v>
      </c>
      <c r="B1721" s="7" t="s">
        <v>339</v>
      </c>
      <c r="C1721" s="7" t="s">
        <v>1420</v>
      </c>
      <c r="D1721" s="7" t="s">
        <v>340</v>
      </c>
      <c r="E1721" s="7"/>
      <c r="F1721" s="7"/>
      <c r="G1721" s="7" t="s">
        <v>9</v>
      </c>
      <c r="H1721" s="7"/>
      <c r="I1721" s="7"/>
      <c r="J1721" s="7" t="s">
        <v>13</v>
      </c>
      <c r="K1721" s="7" t="s">
        <v>33</v>
      </c>
      <c r="L1721" s="7" t="s">
        <v>29</v>
      </c>
      <c r="M1721" s="7" t="s">
        <v>24</v>
      </c>
    </row>
    <row r="1722" spans="1:13" x14ac:dyDescent="0.3">
      <c r="A1722" s="7" t="str">
        <f>HYPERLINK("https://hsdes.intel.com/resource/14013174656","14013174656")</f>
        <v>14013174656</v>
      </c>
      <c r="B1722" s="7" t="s">
        <v>780</v>
      </c>
      <c r="C1722" s="7" t="s">
        <v>1420</v>
      </c>
      <c r="D1722" s="7" t="s">
        <v>781</v>
      </c>
      <c r="E1722" s="7"/>
      <c r="F1722" s="7"/>
      <c r="G1722" s="7" t="s">
        <v>541</v>
      </c>
      <c r="H1722" s="7"/>
      <c r="I1722" s="7"/>
      <c r="J1722" s="7" t="s">
        <v>13</v>
      </c>
      <c r="K1722" s="7" t="s">
        <v>33</v>
      </c>
      <c r="L1722" s="7" t="s">
        <v>29</v>
      </c>
      <c r="M1722" s="7" t="s">
        <v>16</v>
      </c>
    </row>
    <row r="1723" spans="1:13" x14ac:dyDescent="0.3">
      <c r="A1723" s="7" t="str">
        <f>HYPERLINK("https://hsdes.intel.com/resource/14013174674","14013174674")</f>
        <v>14013174674</v>
      </c>
      <c r="B1723" s="7" t="s">
        <v>783</v>
      </c>
      <c r="C1723" s="7" t="s">
        <v>1420</v>
      </c>
      <c r="D1723" s="7" t="s">
        <v>784</v>
      </c>
      <c r="E1723" s="7"/>
      <c r="F1723" s="7"/>
      <c r="G1723" s="7" t="s">
        <v>541</v>
      </c>
      <c r="H1723" s="7"/>
      <c r="I1723" s="7"/>
      <c r="J1723" s="7" t="s">
        <v>13</v>
      </c>
      <c r="K1723" s="7" t="s">
        <v>33</v>
      </c>
      <c r="L1723" s="7" t="s">
        <v>29</v>
      </c>
      <c r="M1723" s="7" t="s">
        <v>16</v>
      </c>
    </row>
    <row r="1724" spans="1:13" x14ac:dyDescent="0.3">
      <c r="A1724" s="7" t="str">
        <f>HYPERLINK("https://hsdes.intel.com/resource/14013174680","14013174680")</f>
        <v>14013174680</v>
      </c>
      <c r="B1724" s="7" t="s">
        <v>786</v>
      </c>
      <c r="C1724" s="7" t="s">
        <v>1420</v>
      </c>
      <c r="D1724" s="7" t="s">
        <v>787</v>
      </c>
      <c r="E1724" s="7"/>
      <c r="F1724" s="7"/>
      <c r="G1724" s="7" t="s">
        <v>541</v>
      </c>
      <c r="H1724" s="7"/>
      <c r="I1724" s="7"/>
      <c r="J1724" s="7" t="s">
        <v>13</v>
      </c>
      <c r="K1724" s="7" t="s">
        <v>33</v>
      </c>
      <c r="L1724" s="7" t="s">
        <v>29</v>
      </c>
      <c r="M1724" s="7" t="s">
        <v>16</v>
      </c>
    </row>
    <row r="1725" spans="1:13" x14ac:dyDescent="0.3">
      <c r="A1725" s="7" t="str">
        <f>HYPERLINK("https://hsdes.intel.com/resource/14013174724","14013174724")</f>
        <v>14013174724</v>
      </c>
      <c r="B1725" s="7" t="s">
        <v>789</v>
      </c>
      <c r="C1725" s="7" t="s">
        <v>1420</v>
      </c>
      <c r="D1725" s="7" t="s">
        <v>790</v>
      </c>
      <c r="E1725" s="7"/>
      <c r="F1725" s="7"/>
      <c r="G1725" s="7" t="s">
        <v>541</v>
      </c>
      <c r="H1725" s="7"/>
      <c r="I1725" s="7"/>
      <c r="J1725" s="7" t="s">
        <v>13</v>
      </c>
      <c r="K1725" s="7" t="s">
        <v>33</v>
      </c>
      <c r="L1725" s="7" t="s">
        <v>29</v>
      </c>
      <c r="M1725" s="7" t="s">
        <v>16</v>
      </c>
    </row>
    <row r="1726" spans="1:13" x14ac:dyDescent="0.3">
      <c r="A1726" s="7" t="str">
        <f>HYPERLINK("https://hsdes.intel.com/resource/14013174729","14013174729")</f>
        <v>14013174729</v>
      </c>
      <c r="B1726" s="7" t="s">
        <v>792</v>
      </c>
      <c r="C1726" s="7" t="s">
        <v>1420</v>
      </c>
      <c r="D1726" s="7" t="s">
        <v>793</v>
      </c>
      <c r="E1726" s="7"/>
      <c r="F1726" s="7"/>
      <c r="G1726" s="7" t="s">
        <v>541</v>
      </c>
      <c r="H1726" s="7"/>
      <c r="I1726" s="7"/>
      <c r="J1726" s="7" t="s">
        <v>13</v>
      </c>
      <c r="K1726" s="7" t="s">
        <v>33</v>
      </c>
      <c r="L1726" s="7" t="s">
        <v>29</v>
      </c>
      <c r="M1726" s="7" t="s">
        <v>16</v>
      </c>
    </row>
    <row r="1727" spans="1:13" x14ac:dyDescent="0.3">
      <c r="A1727" s="7" t="str">
        <f>HYPERLINK("https://hsdes.intel.com/resource/14013174739","14013174739")</f>
        <v>14013174739</v>
      </c>
      <c r="B1727" s="7" t="s">
        <v>795</v>
      </c>
      <c r="C1727" s="7" t="s">
        <v>1420</v>
      </c>
      <c r="D1727" s="7" t="s">
        <v>796</v>
      </c>
      <c r="E1727" s="7"/>
      <c r="F1727" s="7"/>
      <c r="G1727" s="7" t="s">
        <v>541</v>
      </c>
      <c r="H1727" s="7"/>
      <c r="I1727" s="7"/>
      <c r="J1727" s="7" t="s">
        <v>13</v>
      </c>
      <c r="K1727" s="7" t="s">
        <v>33</v>
      </c>
      <c r="L1727" s="7" t="s">
        <v>29</v>
      </c>
      <c r="M1727" s="7" t="s">
        <v>24</v>
      </c>
    </row>
    <row r="1728" spans="1:13" x14ac:dyDescent="0.3">
      <c r="A1728" s="7" t="str">
        <f>HYPERLINK("https://hsdes.intel.com/resource/14013174783","14013174783")</f>
        <v>14013174783</v>
      </c>
      <c r="B1728" s="7" t="s">
        <v>306</v>
      </c>
      <c r="C1728" s="7" t="s">
        <v>1420</v>
      </c>
      <c r="D1728" s="7" t="s">
        <v>307</v>
      </c>
      <c r="E1728" s="7" t="s">
        <v>37</v>
      </c>
      <c r="F1728" s="7" t="s">
        <v>2953</v>
      </c>
      <c r="G1728" s="7" t="s">
        <v>841</v>
      </c>
      <c r="H1728" s="7"/>
      <c r="I1728" s="7"/>
      <c r="J1728" s="7" t="s">
        <v>13</v>
      </c>
      <c r="K1728" s="7" t="s">
        <v>28</v>
      </c>
      <c r="L1728" s="7" t="s">
        <v>29</v>
      </c>
      <c r="M1728" s="7" t="s">
        <v>24</v>
      </c>
    </row>
    <row r="1729" spans="1:13" x14ac:dyDescent="0.3">
      <c r="A1729" s="7" t="str">
        <f>HYPERLINK("https://hsdes.intel.com/resource/14013174785","14013174785")</f>
        <v>14013174785</v>
      </c>
      <c r="B1729" s="7" t="s">
        <v>284</v>
      </c>
      <c r="C1729" s="7" t="s">
        <v>1420</v>
      </c>
      <c r="D1729" s="7" t="s">
        <v>285</v>
      </c>
      <c r="E1729" s="7" t="s">
        <v>342</v>
      </c>
      <c r="F1729" s="7"/>
      <c r="G1729" s="9" t="s">
        <v>345</v>
      </c>
      <c r="H1729" s="9"/>
      <c r="I1729" s="10">
        <v>44763</v>
      </c>
      <c r="J1729" s="7" t="s">
        <v>13</v>
      </c>
      <c r="K1729" s="7" t="s">
        <v>33</v>
      </c>
      <c r="L1729" s="7" t="s">
        <v>29</v>
      </c>
      <c r="M1729" s="7" t="s">
        <v>24</v>
      </c>
    </row>
    <row r="1730" spans="1:13" x14ac:dyDescent="0.3">
      <c r="A1730" s="7" t="str">
        <f>HYPERLINK("https://hsdes.intel.com/resource/14013174791","14013174791")</f>
        <v>14013174791</v>
      </c>
      <c r="B1730" s="7" t="s">
        <v>2954</v>
      </c>
      <c r="C1730" s="7" t="s">
        <v>1420</v>
      </c>
      <c r="D1730" s="7" t="s">
        <v>2955</v>
      </c>
      <c r="E1730" s="7" t="s">
        <v>342</v>
      </c>
      <c r="F1730" s="7"/>
      <c r="G1730" s="7" t="s">
        <v>369</v>
      </c>
      <c r="H1730" s="7"/>
      <c r="I1730" s="10">
        <v>44761</v>
      </c>
      <c r="J1730" s="7" t="s">
        <v>13</v>
      </c>
      <c r="K1730" s="7" t="s">
        <v>320</v>
      </c>
      <c r="L1730" s="7" t="s">
        <v>29</v>
      </c>
      <c r="M1730" s="7" t="s">
        <v>24</v>
      </c>
    </row>
    <row r="1731" spans="1:13" x14ac:dyDescent="0.3">
      <c r="A1731" s="7" t="str">
        <f>HYPERLINK("https://hsdes.intel.com/resource/14013174800","14013174800")</f>
        <v>14013174800</v>
      </c>
      <c r="B1731" s="7" t="s">
        <v>2956</v>
      </c>
      <c r="C1731" s="7" t="s">
        <v>1420</v>
      </c>
      <c r="D1731" s="7" t="s">
        <v>2957</v>
      </c>
      <c r="E1731" s="7" t="s">
        <v>11</v>
      </c>
      <c r="F1731" s="7"/>
      <c r="G1731" s="7" t="s">
        <v>2438</v>
      </c>
      <c r="H1731" s="7"/>
      <c r="I1731" s="10">
        <v>44760</v>
      </c>
      <c r="J1731" s="7" t="s">
        <v>13</v>
      </c>
      <c r="K1731" s="7" t="s">
        <v>147</v>
      </c>
      <c r="L1731" s="7" t="s">
        <v>29</v>
      </c>
      <c r="M1731" s="7" t="s">
        <v>16</v>
      </c>
    </row>
    <row r="1732" spans="1:13" x14ac:dyDescent="0.3">
      <c r="A1732" s="7" t="str">
        <f>HYPERLINK("https://hsdes.intel.com/resource/14013174821","14013174821")</f>
        <v>14013174821</v>
      </c>
      <c r="B1732" s="7" t="s">
        <v>269</v>
      </c>
      <c r="C1732" s="7" t="s">
        <v>1420</v>
      </c>
      <c r="D1732" s="7" t="s">
        <v>270</v>
      </c>
      <c r="E1732" s="7"/>
      <c r="F1732" s="7"/>
      <c r="G1732" s="7" t="s">
        <v>9</v>
      </c>
      <c r="H1732" s="7"/>
      <c r="I1732" s="7"/>
      <c r="J1732" s="7" t="s">
        <v>13</v>
      </c>
      <c r="K1732" s="7" t="s">
        <v>33</v>
      </c>
      <c r="L1732" s="7" t="s">
        <v>29</v>
      </c>
      <c r="M1732" s="7" t="s">
        <v>16</v>
      </c>
    </row>
    <row r="1733" spans="1:13" x14ac:dyDescent="0.3">
      <c r="A1733" s="7" t="str">
        <f>HYPERLINK("https://hsdes.intel.com/resource/14013174825","14013174825")</f>
        <v>14013174825</v>
      </c>
      <c r="B1733" s="7" t="s">
        <v>271</v>
      </c>
      <c r="C1733" s="7" t="s">
        <v>1420</v>
      </c>
      <c r="D1733" s="7" t="s">
        <v>272</v>
      </c>
      <c r="E1733" s="7"/>
      <c r="F1733" s="7"/>
      <c r="G1733" s="7" t="s">
        <v>9</v>
      </c>
      <c r="H1733" s="7"/>
      <c r="I1733" s="7"/>
      <c r="J1733" s="7" t="s">
        <v>13</v>
      </c>
      <c r="K1733" s="7" t="s">
        <v>33</v>
      </c>
      <c r="L1733" s="7" t="s">
        <v>29</v>
      </c>
      <c r="M1733" s="7" t="s">
        <v>16</v>
      </c>
    </row>
    <row r="1734" spans="1:13" x14ac:dyDescent="0.3">
      <c r="A1734" s="7" t="str">
        <f>HYPERLINK("https://hsdes.intel.com/resource/14013174827","14013174827")</f>
        <v>14013174827</v>
      </c>
      <c r="B1734" s="7" t="s">
        <v>273</v>
      </c>
      <c r="C1734" s="7" t="s">
        <v>1420</v>
      </c>
      <c r="D1734" s="7" t="s">
        <v>274</v>
      </c>
      <c r="E1734" s="7"/>
      <c r="F1734" s="7"/>
      <c r="G1734" s="7" t="s">
        <v>9</v>
      </c>
      <c r="H1734" s="7"/>
      <c r="I1734" s="7"/>
      <c r="J1734" s="7" t="s">
        <v>13</v>
      </c>
      <c r="K1734" s="7" t="s">
        <v>33</v>
      </c>
      <c r="L1734" s="7" t="s">
        <v>29</v>
      </c>
      <c r="M1734" s="7" t="s">
        <v>16</v>
      </c>
    </row>
    <row r="1735" spans="1:13" x14ac:dyDescent="0.3">
      <c r="A1735" s="7" t="str">
        <f>HYPERLINK("https://hsdes.intel.com/resource/14013174829","14013174829")</f>
        <v>14013174829</v>
      </c>
      <c r="B1735" s="7" t="s">
        <v>275</v>
      </c>
      <c r="C1735" s="7" t="s">
        <v>1420</v>
      </c>
      <c r="D1735" s="7" t="s">
        <v>276</v>
      </c>
      <c r="E1735" s="7"/>
      <c r="F1735" s="7"/>
      <c r="G1735" s="7" t="s">
        <v>9</v>
      </c>
      <c r="H1735" s="7"/>
      <c r="I1735" s="7"/>
      <c r="J1735" s="7" t="s">
        <v>13</v>
      </c>
      <c r="K1735" s="7" t="s">
        <v>33</v>
      </c>
      <c r="L1735" s="7" t="s">
        <v>29</v>
      </c>
      <c r="M1735" s="7" t="s">
        <v>16</v>
      </c>
    </row>
    <row r="1736" spans="1:13" x14ac:dyDescent="0.3">
      <c r="A1736" s="7" t="str">
        <f>HYPERLINK("https://hsdes.intel.com/resource/14013174831","14013174831")</f>
        <v>14013174831</v>
      </c>
      <c r="B1736" s="7" t="s">
        <v>277</v>
      </c>
      <c r="C1736" s="7" t="s">
        <v>1420</v>
      </c>
      <c r="D1736" s="7" t="s">
        <v>278</v>
      </c>
      <c r="E1736" s="7"/>
      <c r="F1736" s="7"/>
      <c r="G1736" s="7" t="s">
        <v>9</v>
      </c>
      <c r="H1736" s="7"/>
      <c r="I1736" s="7"/>
      <c r="J1736" s="7" t="s">
        <v>13</v>
      </c>
      <c r="K1736" s="7" t="s">
        <v>33</v>
      </c>
      <c r="L1736" s="7" t="s">
        <v>29</v>
      </c>
      <c r="M1736" s="7" t="s">
        <v>16</v>
      </c>
    </row>
    <row r="1737" spans="1:13" x14ac:dyDescent="0.3">
      <c r="A1737" s="7" t="str">
        <f>HYPERLINK("https://hsdes.intel.com/resource/14013174835","14013174835")</f>
        <v>14013174835</v>
      </c>
      <c r="B1737" s="7" t="s">
        <v>279</v>
      </c>
      <c r="C1737" s="7" t="s">
        <v>1420</v>
      </c>
      <c r="D1737" s="7" t="s">
        <v>280</v>
      </c>
      <c r="E1737" s="7"/>
      <c r="F1737" s="7"/>
      <c r="G1737" s="7" t="s">
        <v>9</v>
      </c>
      <c r="H1737" s="7"/>
      <c r="I1737" s="7"/>
      <c r="J1737" s="7" t="s">
        <v>13</v>
      </c>
      <c r="K1737" s="7" t="s">
        <v>33</v>
      </c>
      <c r="L1737" s="7" t="s">
        <v>29</v>
      </c>
      <c r="M1737" s="7" t="s">
        <v>16</v>
      </c>
    </row>
    <row r="1738" spans="1:13" x14ac:dyDescent="0.3">
      <c r="A1738" s="7" t="str">
        <f>HYPERLINK("https://hsdes.intel.com/resource/14013174839","14013174839")</f>
        <v>14013174839</v>
      </c>
      <c r="B1738" s="7" t="s">
        <v>309</v>
      </c>
      <c r="C1738" s="7" t="s">
        <v>1420</v>
      </c>
      <c r="D1738" s="7" t="s">
        <v>310</v>
      </c>
      <c r="E1738" s="7" t="s">
        <v>11</v>
      </c>
      <c r="F1738" s="7"/>
      <c r="G1738" s="7" t="s">
        <v>841</v>
      </c>
      <c r="H1738" s="7"/>
      <c r="I1738" s="10">
        <v>44763</v>
      </c>
      <c r="J1738" s="7" t="s">
        <v>13</v>
      </c>
      <c r="K1738" s="7" t="s">
        <v>33</v>
      </c>
      <c r="L1738" s="7" t="s">
        <v>29</v>
      </c>
      <c r="M1738" s="7" t="s">
        <v>16</v>
      </c>
    </row>
    <row r="1739" spans="1:13" x14ac:dyDescent="0.3">
      <c r="A1739" s="7" t="str">
        <f>HYPERLINK("https://hsdes.intel.com/resource/14013174841","14013174841")</f>
        <v>14013174841</v>
      </c>
      <c r="B1739" s="7" t="s">
        <v>2958</v>
      </c>
      <c r="C1739" s="7" t="s">
        <v>1420</v>
      </c>
      <c r="D1739" s="7" t="s">
        <v>2959</v>
      </c>
      <c r="E1739" s="7" t="s">
        <v>11</v>
      </c>
      <c r="F1739" s="7"/>
      <c r="G1739" s="7" t="s">
        <v>2438</v>
      </c>
      <c r="H1739" s="7"/>
      <c r="I1739" s="10">
        <v>44757</v>
      </c>
      <c r="J1739" s="7" t="s">
        <v>13</v>
      </c>
      <c r="K1739" s="7" t="s">
        <v>2960</v>
      </c>
      <c r="L1739" s="7" t="s">
        <v>29</v>
      </c>
      <c r="M1739" s="7" t="s">
        <v>16</v>
      </c>
    </row>
    <row r="1740" spans="1:13" x14ac:dyDescent="0.3">
      <c r="A1740" s="7" t="str">
        <f>HYPERLINK("https://hsdes.intel.com/resource/14013174843","14013174843")</f>
        <v>14013174843</v>
      </c>
      <c r="B1740" s="7" t="s">
        <v>2961</v>
      </c>
      <c r="C1740" s="7" t="s">
        <v>1420</v>
      </c>
      <c r="D1740" s="7" t="s">
        <v>2962</v>
      </c>
      <c r="E1740" s="7" t="s">
        <v>342</v>
      </c>
      <c r="F1740" s="7"/>
      <c r="G1740" s="7" t="s">
        <v>2963</v>
      </c>
      <c r="H1740" s="7"/>
      <c r="I1740" s="7"/>
      <c r="J1740" s="7" t="s">
        <v>13</v>
      </c>
      <c r="K1740" s="7" t="s">
        <v>2964</v>
      </c>
      <c r="L1740" s="7" t="s">
        <v>29</v>
      </c>
      <c r="M1740" s="7" t="s">
        <v>16</v>
      </c>
    </row>
    <row r="1741" spans="1:13" x14ac:dyDescent="0.3">
      <c r="A1741" s="7" t="str">
        <f>HYPERLINK("https://hsdes.intel.com/resource/14013175124","14013175124")</f>
        <v>14013175124</v>
      </c>
      <c r="B1741" s="7" t="s">
        <v>312</v>
      </c>
      <c r="C1741" s="7" t="s">
        <v>1420</v>
      </c>
      <c r="D1741" s="7" t="s">
        <v>313</v>
      </c>
      <c r="E1741" s="7" t="s">
        <v>37</v>
      </c>
      <c r="F1741" s="7"/>
      <c r="G1741" s="7" t="s">
        <v>841</v>
      </c>
      <c r="H1741" s="7"/>
      <c r="I1741" s="7"/>
      <c r="J1741" s="7" t="s">
        <v>13</v>
      </c>
      <c r="K1741" s="7" t="s">
        <v>33</v>
      </c>
      <c r="L1741" s="7" t="s">
        <v>29</v>
      </c>
      <c r="M1741" s="7" t="s">
        <v>16</v>
      </c>
    </row>
    <row r="1742" spans="1:13" x14ac:dyDescent="0.3">
      <c r="A1742" s="7" t="str">
        <f>HYPERLINK("https://hsdes.intel.com/resource/14013175176","14013175176")</f>
        <v>14013175176</v>
      </c>
      <c r="B1742" s="7" t="s">
        <v>2965</v>
      </c>
      <c r="C1742" s="7" t="s">
        <v>1420</v>
      </c>
      <c r="D1742" s="7" t="s">
        <v>2966</v>
      </c>
      <c r="E1742" s="7" t="s">
        <v>37</v>
      </c>
      <c r="F1742" s="7" t="s">
        <v>2967</v>
      </c>
      <c r="G1742" s="7" t="s">
        <v>369</v>
      </c>
      <c r="H1742" s="7" t="s">
        <v>369</v>
      </c>
      <c r="I1742" s="7"/>
      <c r="J1742" s="7" t="s">
        <v>13</v>
      </c>
      <c r="K1742" s="7" t="s">
        <v>28</v>
      </c>
      <c r="L1742" s="7" t="s">
        <v>29</v>
      </c>
      <c r="M1742" s="7" t="s">
        <v>24</v>
      </c>
    </row>
    <row r="1743" spans="1:13" x14ac:dyDescent="0.3">
      <c r="A1743" s="7" t="str">
        <f>HYPERLINK("https://hsdes.intel.com/resource/14013175199","14013175199")</f>
        <v>14013175199</v>
      </c>
      <c r="B1743" s="7" t="s">
        <v>2968</v>
      </c>
      <c r="C1743" s="7" t="s">
        <v>1420</v>
      </c>
      <c r="D1743" s="7" t="s">
        <v>2969</v>
      </c>
      <c r="E1743" s="7" t="s">
        <v>342</v>
      </c>
      <c r="F1743" s="7"/>
      <c r="G1743" s="7" t="s">
        <v>2963</v>
      </c>
      <c r="H1743" s="7"/>
      <c r="I1743" s="7"/>
      <c r="J1743" s="7" t="s">
        <v>13</v>
      </c>
      <c r="K1743" s="7" t="s">
        <v>28</v>
      </c>
      <c r="L1743" s="7" t="s">
        <v>29</v>
      </c>
      <c r="M1743" s="7" t="s">
        <v>16</v>
      </c>
    </row>
    <row r="1744" spans="1:13" x14ac:dyDescent="0.3">
      <c r="A1744" s="7" t="str">
        <f>HYPERLINK("https://hsdes.intel.com/resource/14013175225","14013175225")</f>
        <v>14013175225</v>
      </c>
      <c r="B1744" s="7" t="s">
        <v>2970</v>
      </c>
      <c r="C1744" s="7" t="s">
        <v>1420</v>
      </c>
      <c r="D1744" s="7" t="s">
        <v>2971</v>
      </c>
      <c r="E1744" s="7" t="s">
        <v>11</v>
      </c>
      <c r="F1744" s="7"/>
      <c r="G1744" s="7" t="s">
        <v>2438</v>
      </c>
      <c r="H1744" s="7"/>
      <c r="I1744" s="10">
        <v>44757</v>
      </c>
      <c r="J1744" s="7" t="s">
        <v>13</v>
      </c>
      <c r="K1744" s="7" t="s">
        <v>740</v>
      </c>
      <c r="L1744" s="7" t="s">
        <v>29</v>
      </c>
      <c r="M1744" s="7" t="s">
        <v>16</v>
      </c>
    </row>
    <row r="1745" spans="1:14" x14ac:dyDescent="0.3">
      <c r="A1745" s="7" t="str">
        <f>HYPERLINK("https://hsdes.intel.com/resource/14013175301","14013175301")</f>
        <v>14013175301</v>
      </c>
      <c r="B1745" s="7" t="s">
        <v>2972</v>
      </c>
      <c r="C1745" s="7" t="s">
        <v>1420</v>
      </c>
      <c r="D1745" s="7" t="s">
        <v>2973</v>
      </c>
      <c r="E1745" s="7" t="s">
        <v>11</v>
      </c>
      <c r="F1745" s="7"/>
      <c r="G1745" s="7" t="s">
        <v>2438</v>
      </c>
      <c r="H1745" s="7"/>
      <c r="I1745" s="10">
        <v>44757</v>
      </c>
      <c r="J1745" s="7" t="s">
        <v>13</v>
      </c>
      <c r="K1745" s="7" t="s">
        <v>740</v>
      </c>
      <c r="L1745" s="7" t="s">
        <v>29</v>
      </c>
      <c r="M1745" s="7" t="s">
        <v>24</v>
      </c>
    </row>
    <row r="1746" spans="1:14" x14ac:dyDescent="0.3">
      <c r="A1746" s="7" t="str">
        <f>HYPERLINK("https://hsdes.intel.com/resource/14013175303","14013175303")</f>
        <v>14013175303</v>
      </c>
      <c r="B1746" s="7" t="s">
        <v>2974</v>
      </c>
      <c r="C1746" s="7" t="s">
        <v>1420</v>
      </c>
      <c r="D1746" s="7" t="s">
        <v>2975</v>
      </c>
      <c r="E1746" s="7" t="s">
        <v>11</v>
      </c>
      <c r="F1746" s="7"/>
      <c r="G1746" s="7" t="s">
        <v>836</v>
      </c>
      <c r="H1746" s="7"/>
      <c r="I1746" s="10">
        <v>44755</v>
      </c>
      <c r="J1746" s="7" t="s">
        <v>13</v>
      </c>
      <c r="K1746" s="7" t="s">
        <v>740</v>
      </c>
      <c r="L1746" s="7" t="s">
        <v>29</v>
      </c>
      <c r="M1746" s="7" t="s">
        <v>24</v>
      </c>
    </row>
    <row r="1747" spans="1:14" x14ac:dyDescent="0.3">
      <c r="A1747" s="7" t="str">
        <f>HYPERLINK("https://hsdes.intel.com/resource/14013175399","14013175399")</f>
        <v>14013175399</v>
      </c>
      <c r="B1747" s="7" t="s">
        <v>2976</v>
      </c>
      <c r="C1747" s="7" t="s">
        <v>1420</v>
      </c>
      <c r="D1747" s="7" t="s">
        <v>2977</v>
      </c>
      <c r="E1747" s="7" t="s">
        <v>32</v>
      </c>
      <c r="F1747" s="42" t="s">
        <v>2978</v>
      </c>
      <c r="G1747" s="7" t="s">
        <v>369</v>
      </c>
      <c r="H1747" s="7" t="s">
        <v>369</v>
      </c>
      <c r="I1747" s="30" t="s">
        <v>2978</v>
      </c>
      <c r="J1747" s="7" t="s">
        <v>13</v>
      </c>
      <c r="K1747" s="7" t="s">
        <v>740</v>
      </c>
      <c r="L1747" s="7" t="s">
        <v>29</v>
      </c>
      <c r="M1747" s="7" t="s">
        <v>16</v>
      </c>
      <c r="N1747" s="9" t="s">
        <v>3629</v>
      </c>
    </row>
    <row r="1748" spans="1:14" x14ac:dyDescent="0.3">
      <c r="A1748" s="7" t="str">
        <f>HYPERLINK("https://hsdes.intel.com/resource/14013175404","14013175404")</f>
        <v>14013175404</v>
      </c>
      <c r="B1748" s="7" t="s">
        <v>2979</v>
      </c>
      <c r="C1748" s="7" t="s">
        <v>1420</v>
      </c>
      <c r="D1748" s="7" t="s">
        <v>2980</v>
      </c>
      <c r="E1748" s="7" t="s">
        <v>32</v>
      </c>
      <c r="F1748" s="42" t="s">
        <v>2978</v>
      </c>
      <c r="G1748" s="7" t="s">
        <v>369</v>
      </c>
      <c r="H1748" s="7" t="s">
        <v>369</v>
      </c>
      <c r="I1748" s="30" t="s">
        <v>2978</v>
      </c>
      <c r="J1748" s="7" t="s">
        <v>13</v>
      </c>
      <c r="K1748" s="7" t="s">
        <v>740</v>
      </c>
      <c r="L1748" s="7" t="s">
        <v>29</v>
      </c>
      <c r="M1748" s="7" t="s">
        <v>16</v>
      </c>
      <c r="N1748" s="9" t="s">
        <v>3629</v>
      </c>
    </row>
    <row r="1749" spans="1:14" x14ac:dyDescent="0.3">
      <c r="A1749" s="7" t="str">
        <f>HYPERLINK("https://hsdes.intel.com/resource/14013175419","14013175419")</f>
        <v>14013175419</v>
      </c>
      <c r="B1749" s="7" t="s">
        <v>315</v>
      </c>
      <c r="C1749" s="7" t="s">
        <v>1420</v>
      </c>
      <c r="D1749" s="7" t="s">
        <v>316</v>
      </c>
      <c r="E1749" s="7" t="s">
        <v>37</v>
      </c>
      <c r="F1749" s="7"/>
      <c r="G1749" s="7"/>
      <c r="H1749" s="7"/>
      <c r="I1749" s="7"/>
      <c r="J1749" s="7" t="s">
        <v>13</v>
      </c>
      <c r="K1749" s="7" t="s">
        <v>33</v>
      </c>
      <c r="L1749" s="7" t="s">
        <v>29</v>
      </c>
      <c r="M1749" s="7" t="s">
        <v>16</v>
      </c>
    </row>
    <row r="1750" spans="1:14" x14ac:dyDescent="0.3">
      <c r="A1750" s="5" t="str">
        <f>HYPERLINK("https://hsdes.intel.com/resource/14013175425","14013175425")</f>
        <v>14013175425</v>
      </c>
      <c r="B1750" s="7" t="s">
        <v>318</v>
      </c>
      <c r="C1750" s="7" t="s">
        <v>1420</v>
      </c>
      <c r="D1750" s="7" t="s">
        <v>319</v>
      </c>
      <c r="E1750" s="7" t="s">
        <v>11</v>
      </c>
      <c r="F1750" s="7"/>
      <c r="G1750" s="7" t="s">
        <v>369</v>
      </c>
      <c r="H1750" s="7"/>
      <c r="I1750" s="10">
        <v>44764</v>
      </c>
      <c r="J1750" s="7" t="s">
        <v>13</v>
      </c>
      <c r="K1750" s="7" t="s">
        <v>320</v>
      </c>
      <c r="L1750" s="7" t="s">
        <v>29</v>
      </c>
      <c r="M1750" s="7" t="s">
        <v>24</v>
      </c>
    </row>
    <row r="1751" spans="1:14" x14ac:dyDescent="0.3">
      <c r="A1751" s="7" t="str">
        <f>HYPERLINK("https://hsdes.intel.com/resource/14013175448","14013175448")</f>
        <v>14013175448</v>
      </c>
      <c r="B1751" s="7" t="s">
        <v>2981</v>
      </c>
      <c r="C1751" s="7" t="s">
        <v>1420</v>
      </c>
      <c r="D1751" s="7" t="s">
        <v>2982</v>
      </c>
      <c r="E1751" s="7" t="s">
        <v>11</v>
      </c>
      <c r="F1751" s="7"/>
      <c r="G1751" s="7" t="s">
        <v>369</v>
      </c>
      <c r="H1751" s="7"/>
      <c r="I1751" s="10">
        <v>44762</v>
      </c>
      <c r="J1751" s="7" t="s">
        <v>13</v>
      </c>
      <c r="K1751" s="7" t="s">
        <v>740</v>
      </c>
      <c r="L1751" s="7" t="s">
        <v>29</v>
      </c>
      <c r="M1751" s="7" t="s">
        <v>21</v>
      </c>
    </row>
    <row r="1752" spans="1:14" x14ac:dyDescent="0.3">
      <c r="A1752" s="7" t="str">
        <f>HYPERLINK("https://hsdes.intel.com/resource/14013175611","14013175611")</f>
        <v>14013175611</v>
      </c>
      <c r="B1752" s="7" t="s">
        <v>2983</v>
      </c>
      <c r="C1752" s="7" t="s">
        <v>1420</v>
      </c>
      <c r="D1752" s="7" t="s">
        <v>2984</v>
      </c>
      <c r="E1752" s="7" t="s">
        <v>11</v>
      </c>
      <c r="F1752" s="7"/>
      <c r="G1752" s="7" t="s">
        <v>1482</v>
      </c>
      <c r="H1752" s="7"/>
      <c r="I1752" s="10">
        <v>44755</v>
      </c>
      <c r="J1752" s="7" t="s">
        <v>13</v>
      </c>
      <c r="K1752" s="7" t="s">
        <v>523</v>
      </c>
      <c r="L1752" s="7" t="s">
        <v>660</v>
      </c>
      <c r="M1752" s="7" t="s">
        <v>16</v>
      </c>
    </row>
    <row r="1753" spans="1:14" x14ac:dyDescent="0.3">
      <c r="A1753" s="7" t="str">
        <f>HYPERLINK("https://hsdes.intel.com/resource/14013175622","14013175622")</f>
        <v>14013175622</v>
      </c>
      <c r="B1753" s="7" t="s">
        <v>2985</v>
      </c>
      <c r="C1753" s="7" t="s">
        <v>1420</v>
      </c>
      <c r="D1753" s="7" t="s">
        <v>2986</v>
      </c>
      <c r="E1753" s="7" t="s">
        <v>11</v>
      </c>
      <c r="F1753" s="7"/>
      <c r="G1753" s="7" t="s">
        <v>1447</v>
      </c>
      <c r="H1753" s="7"/>
      <c r="I1753" s="10">
        <v>44755</v>
      </c>
      <c r="J1753" s="7" t="s">
        <v>13</v>
      </c>
      <c r="K1753" s="7" t="s">
        <v>439</v>
      </c>
      <c r="L1753" s="7" t="s">
        <v>158</v>
      </c>
      <c r="M1753" s="7" t="s">
        <v>16</v>
      </c>
    </row>
    <row r="1754" spans="1:14" x14ac:dyDescent="0.3">
      <c r="A1754" s="7" t="str">
        <f>HYPERLINK("https://hsdes.intel.com/resource/14013175625","14013175625")</f>
        <v>14013175625</v>
      </c>
      <c r="B1754" s="7" t="s">
        <v>2987</v>
      </c>
      <c r="C1754" s="7" t="s">
        <v>1420</v>
      </c>
      <c r="D1754" s="7" t="s">
        <v>2988</v>
      </c>
      <c r="E1754" s="7" t="s">
        <v>11</v>
      </c>
      <c r="F1754" s="7"/>
      <c r="G1754" s="7" t="s">
        <v>1475</v>
      </c>
      <c r="H1754" s="7"/>
      <c r="I1754" s="7"/>
      <c r="J1754" s="7" t="s">
        <v>13</v>
      </c>
      <c r="K1754" s="7" t="s">
        <v>45</v>
      </c>
      <c r="L1754" s="7" t="s">
        <v>581</v>
      </c>
      <c r="M1754" s="7" t="s">
        <v>16</v>
      </c>
    </row>
    <row r="1755" spans="1:14" x14ac:dyDescent="0.3">
      <c r="A1755" s="7" t="str">
        <f>HYPERLINK("https://hsdes.intel.com/resource/14013175631","14013175631")</f>
        <v>14013175631</v>
      </c>
      <c r="B1755" s="7" t="s">
        <v>2989</v>
      </c>
      <c r="C1755" s="7" t="s">
        <v>1420</v>
      </c>
      <c r="D1755" s="7" t="s">
        <v>2990</v>
      </c>
      <c r="E1755" s="7" t="s">
        <v>11</v>
      </c>
      <c r="F1755" s="7"/>
      <c r="G1755" s="7" t="s">
        <v>1429</v>
      </c>
      <c r="H1755" s="7"/>
      <c r="I1755" s="10">
        <v>44754</v>
      </c>
      <c r="J1755" s="7" t="s">
        <v>13</v>
      </c>
      <c r="K1755" s="7" t="s">
        <v>45</v>
      </c>
      <c r="L1755" s="7" t="s">
        <v>544</v>
      </c>
      <c r="M1755" s="7" t="s">
        <v>16</v>
      </c>
    </row>
    <row r="1756" spans="1:14" x14ac:dyDescent="0.3">
      <c r="A1756" s="7" t="str">
        <f>HYPERLINK("https://hsdes.intel.com/resource/14013175635","14013175635")</f>
        <v>14013175635</v>
      </c>
      <c r="B1756" s="7" t="s">
        <v>2991</v>
      </c>
      <c r="C1756" s="7" t="s">
        <v>1420</v>
      </c>
      <c r="D1756" s="7" t="s">
        <v>2992</v>
      </c>
      <c r="E1756" s="7" t="s">
        <v>11</v>
      </c>
      <c r="F1756" s="7"/>
      <c r="G1756" s="7" t="s">
        <v>2438</v>
      </c>
      <c r="H1756" s="7"/>
      <c r="I1756" s="10">
        <v>44757</v>
      </c>
      <c r="J1756" s="7" t="s">
        <v>13</v>
      </c>
      <c r="K1756" s="7" t="s">
        <v>296</v>
      </c>
      <c r="L1756" s="7" t="s">
        <v>297</v>
      </c>
      <c r="M1756" s="7" t="s">
        <v>24</v>
      </c>
    </row>
    <row r="1757" spans="1:14" x14ac:dyDescent="0.3">
      <c r="A1757" s="7" t="str">
        <f>HYPERLINK("https://hsdes.intel.com/resource/14013175664","14013175664")</f>
        <v>14013175664</v>
      </c>
      <c r="B1757" s="7" t="s">
        <v>2993</v>
      </c>
      <c r="C1757" s="7" t="s">
        <v>1420</v>
      </c>
      <c r="D1757" s="7" t="s">
        <v>2994</v>
      </c>
      <c r="E1757" s="7" t="s">
        <v>11</v>
      </c>
      <c r="F1757" s="7"/>
      <c r="G1757" s="7" t="s">
        <v>1429</v>
      </c>
      <c r="H1757" s="7"/>
      <c r="I1757" s="10">
        <v>44755</v>
      </c>
      <c r="J1757" s="7" t="s">
        <v>13</v>
      </c>
      <c r="K1757" s="7" t="s">
        <v>553</v>
      </c>
      <c r="L1757" s="7" t="s">
        <v>544</v>
      </c>
      <c r="M1757" s="7" t="s">
        <v>16</v>
      </c>
    </row>
    <row r="1758" spans="1:14" x14ac:dyDescent="0.3">
      <c r="A1758" s="7" t="str">
        <f>HYPERLINK("https://hsdes.intel.com/resource/14013175666","14013175666")</f>
        <v>14013175666</v>
      </c>
      <c r="B1758" s="7" t="s">
        <v>2995</v>
      </c>
      <c r="C1758" s="7" t="s">
        <v>1420</v>
      </c>
      <c r="D1758" s="7" t="s">
        <v>2996</v>
      </c>
      <c r="E1758" s="7" t="s">
        <v>11</v>
      </c>
      <c r="F1758" s="7"/>
      <c r="G1758" s="7" t="s">
        <v>1482</v>
      </c>
      <c r="H1758" s="7"/>
      <c r="I1758" s="10">
        <v>44755</v>
      </c>
      <c r="J1758" s="7" t="s">
        <v>192</v>
      </c>
      <c r="K1758" s="7" t="s">
        <v>523</v>
      </c>
      <c r="L1758" s="7" t="s">
        <v>660</v>
      </c>
      <c r="M1758" s="7" t="s">
        <v>16</v>
      </c>
    </row>
    <row r="1759" spans="1:14" x14ac:dyDescent="0.3">
      <c r="A1759" s="7" t="str">
        <f>HYPERLINK("https://hsdes.intel.com/resource/14013175673","14013175673")</f>
        <v>14013175673</v>
      </c>
      <c r="B1759" s="7" t="s">
        <v>2997</v>
      </c>
      <c r="C1759" s="7" t="s">
        <v>1420</v>
      </c>
      <c r="D1759" s="7" t="s">
        <v>2998</v>
      </c>
      <c r="E1759" s="7" t="s">
        <v>11</v>
      </c>
      <c r="F1759" s="7" t="s">
        <v>2999</v>
      </c>
      <c r="G1759" s="7" t="s">
        <v>1447</v>
      </c>
      <c r="H1759" s="7"/>
      <c r="I1759" s="10">
        <v>44760</v>
      </c>
      <c r="J1759" s="7" t="s">
        <v>13</v>
      </c>
      <c r="K1759" s="7" t="s">
        <v>439</v>
      </c>
      <c r="L1759" s="7" t="s">
        <v>158</v>
      </c>
      <c r="M1759" s="7" t="s">
        <v>16</v>
      </c>
    </row>
    <row r="1760" spans="1:14" x14ac:dyDescent="0.3">
      <c r="A1760" s="7" t="str">
        <f>HYPERLINK("https://hsdes.intel.com/resource/14013175709","14013175709")</f>
        <v>14013175709</v>
      </c>
      <c r="B1760" s="7" t="s">
        <v>3000</v>
      </c>
      <c r="C1760" s="7" t="s">
        <v>1420</v>
      </c>
      <c r="D1760" s="7" t="s">
        <v>3001</v>
      </c>
      <c r="E1760" s="7" t="s">
        <v>11</v>
      </c>
      <c r="F1760" s="7"/>
      <c r="G1760" s="7" t="s">
        <v>1700</v>
      </c>
      <c r="H1760" s="7"/>
      <c r="I1760" s="10">
        <v>44757</v>
      </c>
      <c r="J1760" s="7" t="s">
        <v>13</v>
      </c>
      <c r="K1760" s="7" t="s">
        <v>1334</v>
      </c>
      <c r="L1760" s="7" t="s">
        <v>660</v>
      </c>
      <c r="M1760" s="7" t="s">
        <v>16</v>
      </c>
    </row>
    <row r="1761" spans="1:13" x14ac:dyDescent="0.3">
      <c r="A1761" s="7" t="str">
        <f>HYPERLINK("https://hsdes.intel.com/resource/14013175715","14013175715")</f>
        <v>14013175715</v>
      </c>
      <c r="B1761" s="7" t="s">
        <v>3002</v>
      </c>
      <c r="C1761" s="7" t="s">
        <v>1420</v>
      </c>
      <c r="D1761" s="7" t="s">
        <v>3003</v>
      </c>
      <c r="E1761" s="7" t="s">
        <v>11</v>
      </c>
      <c r="F1761" s="7"/>
      <c r="G1761" s="7" t="s">
        <v>836</v>
      </c>
      <c r="H1761" s="7"/>
      <c r="I1761" s="10">
        <v>44755</v>
      </c>
      <c r="J1761" s="7" t="s">
        <v>192</v>
      </c>
      <c r="K1761" s="7" t="s">
        <v>523</v>
      </c>
      <c r="L1761" s="7" t="s">
        <v>291</v>
      </c>
      <c r="M1761" s="7" t="s">
        <v>16</v>
      </c>
    </row>
    <row r="1762" spans="1:13" x14ac:dyDescent="0.3">
      <c r="A1762" s="7" t="str">
        <f>HYPERLINK("https://hsdes.intel.com/resource/14013175718","14013175718")</f>
        <v>14013175718</v>
      </c>
      <c r="B1762" s="7" t="s">
        <v>3004</v>
      </c>
      <c r="C1762" s="7" t="s">
        <v>1420</v>
      </c>
      <c r="D1762" s="7" t="s">
        <v>3005</v>
      </c>
      <c r="E1762" s="7" t="s">
        <v>11</v>
      </c>
      <c r="F1762" s="7"/>
      <c r="G1762" s="7" t="s">
        <v>836</v>
      </c>
      <c r="H1762" s="7"/>
      <c r="I1762" s="10">
        <v>44755</v>
      </c>
      <c r="J1762" s="7" t="s">
        <v>192</v>
      </c>
      <c r="K1762" s="7" t="s">
        <v>523</v>
      </c>
      <c r="L1762" s="7" t="s">
        <v>291</v>
      </c>
      <c r="M1762" s="7" t="s">
        <v>16</v>
      </c>
    </row>
    <row r="1763" spans="1:13" x14ac:dyDescent="0.3">
      <c r="A1763" s="7" t="str">
        <f>HYPERLINK("https://hsdes.intel.com/resource/14013175734","14013175734")</f>
        <v>14013175734</v>
      </c>
      <c r="B1763" s="7" t="s">
        <v>3006</v>
      </c>
      <c r="C1763" s="7" t="s">
        <v>1420</v>
      </c>
      <c r="D1763" s="7" t="s">
        <v>3007</v>
      </c>
      <c r="E1763" s="7" t="s">
        <v>11</v>
      </c>
      <c r="F1763" s="7"/>
      <c r="G1763" s="7" t="s">
        <v>836</v>
      </c>
      <c r="H1763" s="7"/>
      <c r="I1763" s="10">
        <v>44755</v>
      </c>
      <c r="J1763" s="7" t="s">
        <v>192</v>
      </c>
      <c r="K1763" s="7" t="s">
        <v>3008</v>
      </c>
      <c r="L1763" s="7" t="s">
        <v>291</v>
      </c>
      <c r="M1763" s="7" t="s">
        <v>16</v>
      </c>
    </row>
    <row r="1764" spans="1:13" x14ac:dyDescent="0.3">
      <c r="A1764" s="5" t="str">
        <f>HYPERLINK("https://hsdes.intel.com/resource/14013175746","14013175746")</f>
        <v>14013175746</v>
      </c>
      <c r="B1764" s="7" t="s">
        <v>3009</v>
      </c>
      <c r="C1764" s="7" t="s">
        <v>1420</v>
      </c>
      <c r="D1764" s="7" t="s">
        <v>3010</v>
      </c>
      <c r="E1764" s="7"/>
      <c r="F1764" s="7"/>
      <c r="G1764" s="7" t="s">
        <v>833</v>
      </c>
      <c r="H1764" s="7"/>
      <c r="I1764" s="7"/>
      <c r="J1764" s="7" t="s">
        <v>192</v>
      </c>
      <c r="K1764" s="7" t="s">
        <v>290</v>
      </c>
      <c r="L1764" s="7" t="s">
        <v>291</v>
      </c>
      <c r="M1764" s="7" t="s">
        <v>16</v>
      </c>
    </row>
    <row r="1765" spans="1:13" x14ac:dyDescent="0.3">
      <c r="A1765" s="7" t="str">
        <f>HYPERLINK("https://hsdes.intel.com/resource/14013175764","14013175764")</f>
        <v>14013175764</v>
      </c>
      <c r="B1765" s="7" t="s">
        <v>3011</v>
      </c>
      <c r="C1765" s="7" t="s">
        <v>1420</v>
      </c>
      <c r="D1765" s="7" t="s">
        <v>3012</v>
      </c>
      <c r="E1765" s="7" t="s">
        <v>11</v>
      </c>
      <c r="F1765" s="7"/>
      <c r="G1765" s="7" t="s">
        <v>2438</v>
      </c>
      <c r="H1765" s="7"/>
      <c r="I1765" s="10">
        <v>44757</v>
      </c>
      <c r="J1765" s="7" t="s">
        <v>13</v>
      </c>
      <c r="K1765" s="7" t="s">
        <v>147</v>
      </c>
      <c r="L1765" s="7" t="s">
        <v>29</v>
      </c>
      <c r="M1765" s="7" t="s">
        <v>21</v>
      </c>
    </row>
    <row r="1766" spans="1:13" x14ac:dyDescent="0.3">
      <c r="A1766" s="7" t="str">
        <f>HYPERLINK("https://hsdes.intel.com/resource/14013175768","14013175768")</f>
        <v>14013175768</v>
      </c>
      <c r="B1766" s="7" t="s">
        <v>3013</v>
      </c>
      <c r="C1766" s="7" t="s">
        <v>1420</v>
      </c>
      <c r="D1766" s="7" t="s">
        <v>3014</v>
      </c>
      <c r="E1766" s="7" t="s">
        <v>11</v>
      </c>
      <c r="F1766" s="7"/>
      <c r="G1766" s="7" t="s">
        <v>2449</v>
      </c>
      <c r="H1766" s="7"/>
      <c r="I1766" s="10">
        <v>44758</v>
      </c>
      <c r="J1766" s="7" t="s">
        <v>13</v>
      </c>
      <c r="K1766" s="7" t="s">
        <v>19</v>
      </c>
      <c r="L1766" s="7" t="s">
        <v>20</v>
      </c>
      <c r="M1766" s="7" t="s">
        <v>21</v>
      </c>
    </row>
    <row r="1767" spans="1:13" x14ac:dyDescent="0.3">
      <c r="A1767" s="7" t="str">
        <f>HYPERLINK("https://hsdes.intel.com/resource/14013175770","14013175770")</f>
        <v>14013175770</v>
      </c>
      <c r="B1767" s="7" t="s">
        <v>3015</v>
      </c>
      <c r="C1767" s="7" t="s">
        <v>1420</v>
      </c>
      <c r="D1767" s="7" t="s">
        <v>3016</v>
      </c>
      <c r="E1767" s="7" t="s">
        <v>11</v>
      </c>
      <c r="F1767" s="7"/>
      <c r="G1767" s="7" t="s">
        <v>2449</v>
      </c>
      <c r="H1767" s="7"/>
      <c r="I1767" s="10">
        <v>44758</v>
      </c>
      <c r="J1767" s="7" t="s">
        <v>13</v>
      </c>
      <c r="K1767" s="7" t="s">
        <v>19</v>
      </c>
      <c r="L1767" s="7" t="s">
        <v>20</v>
      </c>
      <c r="M1767" s="7" t="s">
        <v>24</v>
      </c>
    </row>
    <row r="1768" spans="1:13" x14ac:dyDescent="0.3">
      <c r="A1768" s="7" t="str">
        <f>HYPERLINK("https://hsdes.intel.com/resource/14013175775","14013175775")</f>
        <v>14013175775</v>
      </c>
      <c r="B1768" s="7" t="s">
        <v>3017</v>
      </c>
      <c r="C1768" s="7" t="s">
        <v>1420</v>
      </c>
      <c r="D1768" s="7" t="s">
        <v>3018</v>
      </c>
      <c r="E1768" s="7" t="s">
        <v>11</v>
      </c>
      <c r="F1768" s="7"/>
      <c r="G1768" s="7" t="s">
        <v>2449</v>
      </c>
      <c r="H1768" s="7"/>
      <c r="I1768" s="10">
        <v>44761</v>
      </c>
      <c r="J1768" s="7" t="s">
        <v>13</v>
      </c>
      <c r="K1768" s="7" t="s">
        <v>19</v>
      </c>
      <c r="L1768" s="7" t="s">
        <v>20</v>
      </c>
      <c r="M1768" s="7" t="s">
        <v>21</v>
      </c>
    </row>
    <row r="1769" spans="1:13" x14ac:dyDescent="0.3">
      <c r="A1769" s="7" t="str">
        <f>HYPERLINK("https://hsdes.intel.com/resource/14013175782","14013175782")</f>
        <v>14013175782</v>
      </c>
      <c r="B1769" s="7" t="s">
        <v>1364</v>
      </c>
      <c r="C1769" s="7" t="s">
        <v>1420</v>
      </c>
      <c r="D1769" s="7" t="s">
        <v>1365</v>
      </c>
      <c r="E1769" s="7"/>
      <c r="F1769" s="7"/>
      <c r="G1769" s="7" t="s">
        <v>833</v>
      </c>
      <c r="H1769" s="7"/>
      <c r="I1769" s="7"/>
      <c r="J1769" s="7" t="s">
        <v>192</v>
      </c>
      <c r="K1769" s="7" t="s">
        <v>93</v>
      </c>
      <c r="L1769" s="7" t="s">
        <v>291</v>
      </c>
      <c r="M1769" s="7" t="s">
        <v>16</v>
      </c>
    </row>
    <row r="1770" spans="1:13" x14ac:dyDescent="0.3">
      <c r="A1770" s="7" t="str">
        <f>HYPERLINK("https://hsdes.intel.com/resource/14013175832","14013175832")</f>
        <v>14013175832</v>
      </c>
      <c r="B1770" s="7" t="s">
        <v>3019</v>
      </c>
      <c r="C1770" s="7" t="s">
        <v>1420</v>
      </c>
      <c r="D1770" s="7" t="s">
        <v>3020</v>
      </c>
      <c r="E1770" s="7" t="s">
        <v>37</v>
      </c>
      <c r="F1770" s="7"/>
      <c r="G1770" s="7" t="s">
        <v>3021</v>
      </c>
      <c r="H1770" s="7"/>
      <c r="I1770" s="7"/>
      <c r="J1770" s="7" t="s">
        <v>13</v>
      </c>
      <c r="K1770" s="7" t="s">
        <v>33</v>
      </c>
      <c r="L1770" s="7" t="s">
        <v>29</v>
      </c>
      <c r="M1770" s="7" t="s">
        <v>16</v>
      </c>
    </row>
    <row r="1771" spans="1:13" x14ac:dyDescent="0.3">
      <c r="A1771" s="7" t="str">
        <f>HYPERLINK("https://hsdes.intel.com/resource/14013175866","14013175866")</f>
        <v>14013175866</v>
      </c>
      <c r="B1771" s="7" t="s">
        <v>3022</v>
      </c>
      <c r="C1771" s="7" t="s">
        <v>1420</v>
      </c>
      <c r="D1771" s="7" t="s">
        <v>3023</v>
      </c>
      <c r="E1771" s="7" t="s">
        <v>11</v>
      </c>
      <c r="F1771" s="7"/>
      <c r="G1771" s="7" t="s">
        <v>345</v>
      </c>
      <c r="H1771" s="7"/>
      <c r="I1771" s="10">
        <v>44760</v>
      </c>
      <c r="J1771" s="7" t="s">
        <v>192</v>
      </c>
      <c r="K1771" s="7" t="s">
        <v>19</v>
      </c>
      <c r="L1771" s="7" t="s">
        <v>20</v>
      </c>
      <c r="M1771" s="7" t="s">
        <v>21</v>
      </c>
    </row>
    <row r="1772" spans="1:13" x14ac:dyDescent="0.3">
      <c r="A1772" s="7" t="str">
        <f>HYPERLINK("https://hsdes.intel.com/resource/14013175871","14013175871")</f>
        <v>14013175871</v>
      </c>
      <c r="B1772" s="7" t="s">
        <v>3024</v>
      </c>
      <c r="C1772" s="7" t="s">
        <v>1420</v>
      </c>
      <c r="D1772" s="7" t="s">
        <v>3025</v>
      </c>
      <c r="E1772" s="7" t="s">
        <v>11</v>
      </c>
      <c r="F1772" s="7"/>
      <c r="G1772" s="7" t="s">
        <v>1447</v>
      </c>
      <c r="H1772" s="7"/>
      <c r="I1772" s="10">
        <v>44760</v>
      </c>
      <c r="J1772" s="7" t="s">
        <v>13</v>
      </c>
      <c r="K1772" s="7" t="s">
        <v>439</v>
      </c>
      <c r="L1772" s="7" t="s">
        <v>158</v>
      </c>
      <c r="M1772" s="7" t="s">
        <v>24</v>
      </c>
    </row>
    <row r="1773" spans="1:13" x14ac:dyDescent="0.3">
      <c r="A1773" s="5" t="str">
        <f>HYPERLINK("https://hsdes.intel.com/resource/14013175888","14013175888")</f>
        <v>14013175888</v>
      </c>
      <c r="B1773" s="7" t="s">
        <v>3026</v>
      </c>
      <c r="C1773" s="7" t="s">
        <v>1420</v>
      </c>
      <c r="D1773" s="7" t="s">
        <v>3027</v>
      </c>
      <c r="E1773" s="7" t="s">
        <v>37</v>
      </c>
      <c r="F1773" s="7"/>
      <c r="G1773" s="7" t="s">
        <v>1770</v>
      </c>
      <c r="H1773" s="7"/>
      <c r="I1773" s="7"/>
      <c r="J1773" s="7" t="s">
        <v>192</v>
      </c>
      <c r="K1773" s="7" t="s">
        <v>1322</v>
      </c>
      <c r="L1773" s="7" t="s">
        <v>291</v>
      </c>
      <c r="M1773" s="7" t="s">
        <v>24</v>
      </c>
    </row>
    <row r="1774" spans="1:13" x14ac:dyDescent="0.3">
      <c r="A1774" s="7" t="str">
        <f>HYPERLINK("https://hsdes.intel.com/resource/14013175911","14013175911")</f>
        <v>14013175911</v>
      </c>
      <c r="B1774" s="7" t="s">
        <v>3028</v>
      </c>
      <c r="C1774" s="7" t="s">
        <v>1420</v>
      </c>
      <c r="D1774" s="7" t="s">
        <v>3029</v>
      </c>
      <c r="E1774" s="7" t="s">
        <v>11</v>
      </c>
      <c r="F1774" s="7"/>
      <c r="G1774" s="7" t="s">
        <v>1447</v>
      </c>
      <c r="H1774" s="7"/>
      <c r="I1774" s="10">
        <v>44761</v>
      </c>
      <c r="J1774" s="7" t="s">
        <v>13</v>
      </c>
      <c r="K1774" s="7" t="s">
        <v>157</v>
      </c>
      <c r="L1774" s="7" t="s">
        <v>158</v>
      </c>
      <c r="M1774" s="7" t="s">
        <v>24</v>
      </c>
    </row>
    <row r="1775" spans="1:13" x14ac:dyDescent="0.3">
      <c r="A1775" s="7" t="str">
        <f>HYPERLINK("https://hsdes.intel.com/resource/14013175921","14013175921")</f>
        <v>14013175921</v>
      </c>
      <c r="B1775" s="7" t="s">
        <v>3030</v>
      </c>
      <c r="C1775" s="7" t="s">
        <v>1420</v>
      </c>
      <c r="D1775" s="7" t="s">
        <v>3031</v>
      </c>
      <c r="E1775" s="7" t="s">
        <v>11</v>
      </c>
      <c r="F1775" s="7"/>
      <c r="G1775" s="7" t="s">
        <v>345</v>
      </c>
      <c r="H1775" s="7"/>
      <c r="I1775" s="10">
        <v>44760</v>
      </c>
      <c r="J1775" s="7" t="s">
        <v>13</v>
      </c>
      <c r="K1775" s="7" t="s">
        <v>33</v>
      </c>
      <c r="L1775" s="7" t="s">
        <v>34</v>
      </c>
      <c r="M1775" s="7" t="s">
        <v>16</v>
      </c>
    </row>
    <row r="1776" spans="1:13" x14ac:dyDescent="0.3">
      <c r="A1776" s="7" t="str">
        <f>HYPERLINK("https://hsdes.intel.com/resource/14013175930","14013175930")</f>
        <v>14013175930</v>
      </c>
      <c r="B1776" s="7" t="s">
        <v>3032</v>
      </c>
      <c r="C1776" s="7" t="s">
        <v>1420</v>
      </c>
      <c r="D1776" s="7" t="s">
        <v>3033</v>
      </c>
      <c r="E1776" s="7" t="s">
        <v>11</v>
      </c>
      <c r="F1776" s="7"/>
      <c r="G1776" s="7" t="s">
        <v>836</v>
      </c>
      <c r="H1776" s="7"/>
      <c r="I1776" s="10">
        <v>44755</v>
      </c>
      <c r="J1776" s="7" t="s">
        <v>13</v>
      </c>
      <c r="K1776" s="7" t="s">
        <v>67</v>
      </c>
      <c r="L1776" s="7" t="s">
        <v>291</v>
      </c>
      <c r="M1776" s="7" t="s">
        <v>16</v>
      </c>
    </row>
    <row r="1777" spans="1:13" x14ac:dyDescent="0.3">
      <c r="A1777" s="7" t="str">
        <f>HYPERLINK("https://hsdes.intel.com/resource/14013175942","14013175942")</f>
        <v>14013175942</v>
      </c>
      <c r="B1777" s="7" t="s">
        <v>3034</v>
      </c>
      <c r="C1777" s="7" t="s">
        <v>1420</v>
      </c>
      <c r="D1777" s="7" t="s">
        <v>3035</v>
      </c>
      <c r="E1777" s="7" t="s">
        <v>342</v>
      </c>
      <c r="F1777" s="6"/>
      <c r="G1777" s="7" t="s">
        <v>841</v>
      </c>
      <c r="H1777" s="7"/>
      <c r="I1777" s="10">
        <v>44764</v>
      </c>
      <c r="J1777" s="7" t="s">
        <v>13</v>
      </c>
      <c r="K1777" s="7" t="s">
        <v>523</v>
      </c>
      <c r="L1777" s="7" t="s">
        <v>291</v>
      </c>
      <c r="M1777" s="7" t="s">
        <v>21</v>
      </c>
    </row>
    <row r="1778" spans="1:13" x14ac:dyDescent="0.3">
      <c r="A1778" s="7" t="str">
        <f>HYPERLINK("https://hsdes.intel.com/resource/14013175946","14013175946")</f>
        <v>14013175946</v>
      </c>
      <c r="B1778" s="7" t="s">
        <v>3036</v>
      </c>
      <c r="C1778" s="7" t="s">
        <v>1420</v>
      </c>
      <c r="D1778" s="7" t="s">
        <v>3037</v>
      </c>
      <c r="E1778" s="7" t="s">
        <v>11</v>
      </c>
      <c r="F1778" s="7"/>
      <c r="G1778" s="7" t="s">
        <v>1447</v>
      </c>
      <c r="H1778" s="7"/>
      <c r="I1778" s="10">
        <v>44761</v>
      </c>
      <c r="J1778" s="7" t="s">
        <v>13</v>
      </c>
      <c r="K1778" s="7" t="s">
        <v>157</v>
      </c>
      <c r="L1778" s="7" t="s">
        <v>158</v>
      </c>
      <c r="M1778" s="7" t="s">
        <v>16</v>
      </c>
    </row>
    <row r="1779" spans="1:13" x14ac:dyDescent="0.3">
      <c r="A1779" s="7" t="str">
        <f>HYPERLINK("https://hsdes.intel.com/resource/14013175948","14013175948")</f>
        <v>14013175948</v>
      </c>
      <c r="B1779" s="7" t="s">
        <v>3038</v>
      </c>
      <c r="C1779" s="7" t="s">
        <v>1420</v>
      </c>
      <c r="D1779" s="7" t="s">
        <v>3039</v>
      </c>
      <c r="E1779" s="7" t="s">
        <v>11</v>
      </c>
      <c r="F1779" s="7"/>
      <c r="G1779" s="7" t="s">
        <v>2438</v>
      </c>
      <c r="H1779" s="7"/>
      <c r="I1779" s="10">
        <v>44757</v>
      </c>
      <c r="J1779" s="7" t="s">
        <v>13</v>
      </c>
      <c r="K1779" s="7" t="s">
        <v>147</v>
      </c>
      <c r="L1779" s="7" t="s">
        <v>29</v>
      </c>
      <c r="M1779" s="7" t="s">
        <v>24</v>
      </c>
    </row>
    <row r="1780" spans="1:13" x14ac:dyDescent="0.3">
      <c r="A1780" s="7" t="str">
        <f>HYPERLINK("https://hsdes.intel.com/resource/14013175953","14013175953")</f>
        <v>14013175953</v>
      </c>
      <c r="B1780" s="7" t="s">
        <v>3040</v>
      </c>
      <c r="C1780" s="7" t="s">
        <v>1420</v>
      </c>
      <c r="D1780" s="7" t="s">
        <v>3041</v>
      </c>
      <c r="E1780" s="7" t="s">
        <v>11</v>
      </c>
      <c r="F1780" s="7"/>
      <c r="G1780" s="7" t="s">
        <v>2438</v>
      </c>
      <c r="H1780" s="7"/>
      <c r="I1780" s="10">
        <v>44757</v>
      </c>
      <c r="J1780" s="7" t="s">
        <v>13</v>
      </c>
      <c r="K1780" s="7" t="s">
        <v>147</v>
      </c>
      <c r="L1780" s="7" t="s">
        <v>29</v>
      </c>
      <c r="M1780" s="7" t="s">
        <v>16</v>
      </c>
    </row>
    <row r="1781" spans="1:13" x14ac:dyDescent="0.3">
      <c r="A1781" s="7" t="str">
        <f>HYPERLINK("https://hsdes.intel.com/resource/14013175956","14013175956")</f>
        <v>14013175956</v>
      </c>
      <c r="B1781" s="7" t="s">
        <v>3042</v>
      </c>
      <c r="C1781" s="7" t="s">
        <v>1420</v>
      </c>
      <c r="D1781" s="7" t="s">
        <v>3043</v>
      </c>
      <c r="E1781" s="7" t="s">
        <v>37</v>
      </c>
      <c r="F1781" s="7"/>
      <c r="G1781" s="7" t="s">
        <v>1447</v>
      </c>
      <c r="H1781" s="7"/>
      <c r="I1781" s="10">
        <v>44757</v>
      </c>
      <c r="J1781" s="7" t="s">
        <v>13</v>
      </c>
      <c r="K1781" s="7" t="s">
        <v>157</v>
      </c>
      <c r="L1781" s="7" t="s">
        <v>158</v>
      </c>
      <c r="M1781" s="7" t="s">
        <v>21</v>
      </c>
    </row>
    <row r="1782" spans="1:13" x14ac:dyDescent="0.3">
      <c r="A1782" s="7" t="str">
        <f>HYPERLINK("https://hsdes.intel.com/resource/14013176019","14013176019")</f>
        <v>14013176019</v>
      </c>
      <c r="B1782" s="7" t="s">
        <v>3044</v>
      </c>
      <c r="C1782" s="7" t="s">
        <v>1420</v>
      </c>
      <c r="D1782" s="7" t="s">
        <v>3045</v>
      </c>
      <c r="E1782" s="7" t="s">
        <v>11</v>
      </c>
      <c r="F1782" s="7"/>
      <c r="G1782" s="7" t="s">
        <v>841</v>
      </c>
      <c r="H1782" s="7"/>
      <c r="I1782" s="10">
        <v>44763</v>
      </c>
      <c r="J1782" s="7" t="s">
        <v>192</v>
      </c>
      <c r="K1782" s="7" t="s">
        <v>290</v>
      </c>
      <c r="L1782" s="7" t="s">
        <v>291</v>
      </c>
      <c r="M1782" s="7" t="s">
        <v>16</v>
      </c>
    </row>
    <row r="1783" spans="1:13" x14ac:dyDescent="0.3">
      <c r="A1783" s="7" t="str">
        <f>HYPERLINK("https://hsdes.intel.com/resource/14013176023","14013176023")</f>
        <v>14013176023</v>
      </c>
      <c r="B1783" s="7" t="s">
        <v>3046</v>
      </c>
      <c r="C1783" s="7" t="s">
        <v>1420</v>
      </c>
      <c r="D1783" s="7" t="s">
        <v>3047</v>
      </c>
      <c r="E1783" s="7" t="s">
        <v>11</v>
      </c>
      <c r="F1783" s="7"/>
      <c r="G1783" s="7" t="s">
        <v>2438</v>
      </c>
      <c r="H1783" s="7"/>
      <c r="I1783" s="10">
        <v>44757</v>
      </c>
      <c r="J1783" s="7" t="s">
        <v>192</v>
      </c>
      <c r="K1783" s="7" t="s">
        <v>296</v>
      </c>
      <c r="L1783" s="7" t="s">
        <v>297</v>
      </c>
      <c r="M1783" s="7" t="s">
        <v>24</v>
      </c>
    </row>
    <row r="1784" spans="1:13" x14ac:dyDescent="0.3">
      <c r="A1784" s="7" t="str">
        <f>HYPERLINK("https://hsdes.intel.com/resource/14013176026","14013176026")</f>
        <v>14013176026</v>
      </c>
      <c r="B1784" s="7" t="s">
        <v>3048</v>
      </c>
      <c r="C1784" s="7" t="s">
        <v>1420</v>
      </c>
      <c r="D1784" s="7" t="s">
        <v>3049</v>
      </c>
      <c r="E1784" s="7" t="s">
        <v>11</v>
      </c>
      <c r="F1784" s="7"/>
      <c r="G1784" s="7" t="s">
        <v>1447</v>
      </c>
      <c r="H1784" s="7"/>
      <c r="I1784" s="10">
        <v>44761</v>
      </c>
      <c r="J1784" s="7" t="s">
        <v>13</v>
      </c>
      <c r="K1784" s="7" t="s">
        <v>157</v>
      </c>
      <c r="L1784" s="7" t="s">
        <v>158</v>
      </c>
      <c r="M1784" s="7" t="s">
        <v>16</v>
      </c>
    </row>
    <row r="1785" spans="1:13" x14ac:dyDescent="0.3">
      <c r="A1785" s="7" t="str">
        <f>HYPERLINK("https://hsdes.intel.com/resource/14013176036","14013176036")</f>
        <v>14013176036</v>
      </c>
      <c r="B1785" s="7" t="s">
        <v>3050</v>
      </c>
      <c r="C1785" s="7" t="s">
        <v>1420</v>
      </c>
      <c r="D1785" s="7" t="s">
        <v>3051</v>
      </c>
      <c r="E1785" s="7" t="s">
        <v>11</v>
      </c>
      <c r="F1785" s="7"/>
      <c r="G1785" s="7" t="s">
        <v>345</v>
      </c>
      <c r="H1785" s="7"/>
      <c r="I1785" s="10">
        <v>44757</v>
      </c>
      <c r="J1785" s="7" t="s">
        <v>394</v>
      </c>
      <c r="K1785" s="7" t="s">
        <v>19</v>
      </c>
      <c r="L1785" s="7" t="s">
        <v>20</v>
      </c>
      <c r="M1785" s="7" t="s">
        <v>24</v>
      </c>
    </row>
    <row r="1786" spans="1:13" x14ac:dyDescent="0.3">
      <c r="A1786" s="7" t="str">
        <f>HYPERLINK("https://hsdes.intel.com/resource/14013176039","14013176039")</f>
        <v>14013176039</v>
      </c>
      <c r="B1786" s="7" t="s">
        <v>3052</v>
      </c>
      <c r="C1786" s="7" t="s">
        <v>1420</v>
      </c>
      <c r="D1786" s="7" t="s">
        <v>3053</v>
      </c>
      <c r="E1786" s="7" t="s">
        <v>11</v>
      </c>
      <c r="F1786" s="7"/>
      <c r="G1786" s="7" t="s">
        <v>2438</v>
      </c>
      <c r="H1786" s="7"/>
      <c r="I1786" s="10">
        <v>44757</v>
      </c>
      <c r="J1786" s="7" t="s">
        <v>192</v>
      </c>
      <c r="K1786" s="7" t="s">
        <v>296</v>
      </c>
      <c r="L1786" s="7" t="s">
        <v>291</v>
      </c>
      <c r="M1786" s="7" t="s">
        <v>24</v>
      </c>
    </row>
    <row r="1787" spans="1:13" x14ac:dyDescent="0.3">
      <c r="A1787" s="7" t="str">
        <f>HYPERLINK("https://hsdes.intel.com/resource/14013176048","14013176048")</f>
        <v>14013176048</v>
      </c>
      <c r="B1787" s="7" t="s">
        <v>3054</v>
      </c>
      <c r="C1787" s="7" t="s">
        <v>1420</v>
      </c>
      <c r="D1787" s="7" t="s">
        <v>3055</v>
      </c>
      <c r="E1787" s="7" t="s">
        <v>11</v>
      </c>
      <c r="F1787" s="7"/>
      <c r="G1787" s="7" t="s">
        <v>2438</v>
      </c>
      <c r="H1787" s="7"/>
      <c r="I1787" s="10">
        <v>44757</v>
      </c>
      <c r="J1787" s="7" t="s">
        <v>192</v>
      </c>
      <c r="K1787" s="7" t="s">
        <v>523</v>
      </c>
      <c r="L1787" s="7" t="s">
        <v>291</v>
      </c>
      <c r="M1787" s="7" t="s">
        <v>16</v>
      </c>
    </row>
    <row r="1788" spans="1:13" x14ac:dyDescent="0.3">
      <c r="A1788" s="7" t="str">
        <f>HYPERLINK("https://hsdes.intel.com/resource/14013176053","14013176053")</f>
        <v>14013176053</v>
      </c>
      <c r="B1788" s="7" t="s">
        <v>3056</v>
      </c>
      <c r="C1788" s="7" t="s">
        <v>1420</v>
      </c>
      <c r="D1788" s="7" t="s">
        <v>3057</v>
      </c>
      <c r="E1788" s="7" t="s">
        <v>11</v>
      </c>
      <c r="F1788" s="7"/>
      <c r="G1788" s="7" t="s">
        <v>2438</v>
      </c>
      <c r="H1788" s="7"/>
      <c r="I1788" s="10">
        <v>44757</v>
      </c>
      <c r="J1788" s="7" t="s">
        <v>192</v>
      </c>
      <c r="K1788" s="7" t="s">
        <v>1353</v>
      </c>
      <c r="L1788" s="7" t="s">
        <v>291</v>
      </c>
      <c r="M1788" s="7" t="s">
        <v>16</v>
      </c>
    </row>
    <row r="1789" spans="1:13" x14ac:dyDescent="0.3">
      <c r="A1789" s="7" t="str">
        <f>HYPERLINK("https://hsdes.intel.com/resource/14013176063","14013176063")</f>
        <v>14013176063</v>
      </c>
      <c r="B1789" s="7" t="s">
        <v>3058</v>
      </c>
      <c r="C1789" s="7" t="s">
        <v>1420</v>
      </c>
      <c r="D1789" s="7" t="s">
        <v>3059</v>
      </c>
      <c r="E1789" s="7" t="s">
        <v>11</v>
      </c>
      <c r="F1789" s="7"/>
      <c r="G1789" s="7" t="s">
        <v>369</v>
      </c>
      <c r="H1789" s="7"/>
      <c r="I1789" s="10">
        <v>44763</v>
      </c>
      <c r="J1789" s="7" t="s">
        <v>13</v>
      </c>
      <c r="K1789" s="7" t="s">
        <v>147</v>
      </c>
      <c r="L1789" s="7" t="s">
        <v>29</v>
      </c>
      <c r="M1789" s="7" t="s">
        <v>16</v>
      </c>
    </row>
    <row r="1790" spans="1:13" x14ac:dyDescent="0.3">
      <c r="A1790" s="7" t="str">
        <f>HYPERLINK("https://hsdes.intel.com/resource/14013176068","14013176068")</f>
        <v>14013176068</v>
      </c>
      <c r="B1790" s="7" t="s">
        <v>3060</v>
      </c>
      <c r="C1790" s="7" t="s">
        <v>1420</v>
      </c>
      <c r="D1790" s="7" t="s">
        <v>3061</v>
      </c>
      <c r="E1790" s="7" t="s">
        <v>11</v>
      </c>
      <c r="F1790" s="7"/>
      <c r="G1790" s="7" t="s">
        <v>1447</v>
      </c>
      <c r="H1790" s="7"/>
      <c r="I1790" s="10">
        <v>44755</v>
      </c>
      <c r="J1790" s="7" t="s">
        <v>13</v>
      </c>
      <c r="K1790" s="7" t="s">
        <v>439</v>
      </c>
      <c r="L1790" s="7" t="s">
        <v>158</v>
      </c>
      <c r="M1790" s="7" t="s">
        <v>16</v>
      </c>
    </row>
    <row r="1791" spans="1:13" x14ac:dyDescent="0.3">
      <c r="A1791" s="25" t="str">
        <f>HYPERLINK("https://hsdes.intel.com/resource/14013176084","14013176084")</f>
        <v>14013176084</v>
      </c>
      <c r="B1791" s="7" t="s">
        <v>3062</v>
      </c>
      <c r="C1791" s="7" t="s">
        <v>1420</v>
      </c>
      <c r="D1791" s="7" t="s">
        <v>3063</v>
      </c>
      <c r="E1791" s="7"/>
      <c r="F1791" s="7" t="s">
        <v>3064</v>
      </c>
      <c r="G1791" s="7" t="s">
        <v>833</v>
      </c>
      <c r="H1791" s="7"/>
      <c r="I1791" s="7"/>
      <c r="J1791" s="7" t="s">
        <v>192</v>
      </c>
      <c r="K1791" s="7" t="s">
        <v>290</v>
      </c>
      <c r="L1791" s="7" t="s">
        <v>291</v>
      </c>
      <c r="M1791" s="7" t="s">
        <v>16</v>
      </c>
    </row>
    <row r="1792" spans="1:13" x14ac:dyDescent="0.3">
      <c r="A1792" s="7" t="str">
        <f>HYPERLINK("https://hsdes.intel.com/resource/14013176088","14013176088")</f>
        <v>14013176088</v>
      </c>
      <c r="B1792" s="7" t="s">
        <v>3065</v>
      </c>
      <c r="C1792" s="7" t="s">
        <v>1420</v>
      </c>
      <c r="D1792" s="7" t="s">
        <v>3066</v>
      </c>
      <c r="E1792" s="7" t="s">
        <v>11</v>
      </c>
      <c r="F1792" s="7"/>
      <c r="G1792" s="7" t="s">
        <v>1447</v>
      </c>
      <c r="H1792" s="7"/>
      <c r="I1792" s="10">
        <v>44756</v>
      </c>
      <c r="J1792" s="7" t="s">
        <v>13</v>
      </c>
      <c r="K1792" s="7" t="s">
        <v>439</v>
      </c>
      <c r="L1792" s="7" t="s">
        <v>158</v>
      </c>
      <c r="M1792" s="7" t="s">
        <v>24</v>
      </c>
    </row>
    <row r="1793" spans="1:13" x14ac:dyDescent="0.3">
      <c r="A1793" s="7" t="str">
        <f>HYPERLINK("https://hsdes.intel.com/resource/14013176106","14013176106")</f>
        <v>14013176106</v>
      </c>
      <c r="B1793" s="7" t="s">
        <v>3067</v>
      </c>
      <c r="C1793" s="7" t="s">
        <v>1420</v>
      </c>
      <c r="D1793" s="7" t="s">
        <v>3068</v>
      </c>
      <c r="E1793" s="7" t="s">
        <v>37</v>
      </c>
      <c r="F1793" s="7"/>
      <c r="G1793" s="7" t="s">
        <v>2438</v>
      </c>
      <c r="H1793" s="7"/>
      <c r="I1793" s="7"/>
      <c r="J1793" s="7" t="s">
        <v>192</v>
      </c>
      <c r="K1793" s="7" t="s">
        <v>14</v>
      </c>
      <c r="L1793" s="7" t="s">
        <v>291</v>
      </c>
      <c r="M1793" s="7" t="s">
        <v>24</v>
      </c>
    </row>
    <row r="1794" spans="1:13" x14ac:dyDescent="0.3">
      <c r="A1794" s="7" t="str">
        <f>HYPERLINK("https://hsdes.intel.com/resource/14013176145","14013176145")</f>
        <v>14013176145</v>
      </c>
      <c r="B1794" s="7" t="s">
        <v>3069</v>
      </c>
      <c r="C1794" s="7" t="s">
        <v>1420</v>
      </c>
      <c r="D1794" s="7" t="s">
        <v>3070</v>
      </c>
      <c r="E1794" s="7" t="s">
        <v>11</v>
      </c>
      <c r="F1794" s="7"/>
      <c r="G1794" s="7" t="s">
        <v>2438</v>
      </c>
      <c r="H1794" s="7"/>
      <c r="I1794" s="10">
        <v>44757</v>
      </c>
      <c r="J1794" s="7" t="s">
        <v>13</v>
      </c>
      <c r="K1794" s="7" t="s">
        <v>147</v>
      </c>
      <c r="L1794" s="7" t="s">
        <v>29</v>
      </c>
      <c r="M1794" s="7" t="s">
        <v>16</v>
      </c>
    </row>
    <row r="1795" spans="1:13" x14ac:dyDescent="0.3">
      <c r="A1795" s="7" t="str">
        <f>HYPERLINK("https://hsdes.intel.com/resource/14013176160","14013176160")</f>
        <v>14013176160</v>
      </c>
      <c r="B1795" s="7" t="s">
        <v>3071</v>
      </c>
      <c r="C1795" s="7" t="s">
        <v>1420</v>
      </c>
      <c r="D1795" s="7" t="s">
        <v>3072</v>
      </c>
      <c r="E1795" s="7" t="s">
        <v>11</v>
      </c>
      <c r="F1795" s="7"/>
      <c r="G1795" s="7" t="s">
        <v>836</v>
      </c>
      <c r="H1795" s="7"/>
      <c r="I1795" s="10">
        <v>44755</v>
      </c>
      <c r="J1795" s="7" t="s">
        <v>13</v>
      </c>
      <c r="K1795" s="7" t="s">
        <v>290</v>
      </c>
      <c r="L1795" s="7" t="s">
        <v>291</v>
      </c>
      <c r="M1795" s="7" t="s">
        <v>16</v>
      </c>
    </row>
    <row r="1796" spans="1:13" x14ac:dyDescent="0.3">
      <c r="A1796" s="7" t="str">
        <f>HYPERLINK("https://hsdes.intel.com/resource/14013176205","14013176205")</f>
        <v>14013176205</v>
      </c>
      <c r="B1796" s="7" t="s">
        <v>3073</v>
      </c>
      <c r="C1796" s="7" t="s">
        <v>1420</v>
      </c>
      <c r="D1796" s="7" t="s">
        <v>3074</v>
      </c>
      <c r="E1796" s="7" t="s">
        <v>11</v>
      </c>
      <c r="F1796" s="7"/>
      <c r="G1796" s="7" t="s">
        <v>3021</v>
      </c>
      <c r="H1796" s="7"/>
      <c r="I1796" s="7"/>
      <c r="J1796" s="7" t="s">
        <v>13</v>
      </c>
      <c r="K1796" s="7" t="s">
        <v>147</v>
      </c>
      <c r="L1796" s="7" t="s">
        <v>29</v>
      </c>
      <c r="M1796" s="7" t="s">
        <v>16</v>
      </c>
    </row>
    <row r="1797" spans="1:13" x14ac:dyDescent="0.3">
      <c r="A1797" s="7" t="str">
        <f>HYPERLINK("https://hsdes.intel.com/resource/14013176209","14013176209")</f>
        <v>14013176209</v>
      </c>
      <c r="B1797" s="7" t="s">
        <v>287</v>
      </c>
      <c r="C1797" s="7" t="s">
        <v>1420</v>
      </c>
      <c r="D1797" s="7" t="s">
        <v>288</v>
      </c>
      <c r="E1797" s="7" t="s">
        <v>11</v>
      </c>
      <c r="F1797" s="7"/>
      <c r="G1797" s="7" t="s">
        <v>1770</v>
      </c>
      <c r="H1797" s="7"/>
      <c r="I1797" s="10">
        <v>44762</v>
      </c>
      <c r="J1797" s="7" t="s">
        <v>192</v>
      </c>
      <c r="K1797" s="7" t="s">
        <v>290</v>
      </c>
      <c r="L1797" s="7" t="s">
        <v>291</v>
      </c>
      <c r="M1797" s="7" t="s">
        <v>16</v>
      </c>
    </row>
    <row r="1798" spans="1:13" x14ac:dyDescent="0.3">
      <c r="A1798" s="7" t="str">
        <f>HYPERLINK("https://hsdes.intel.com/resource/14013176221","14013176221")</f>
        <v>14013176221</v>
      </c>
      <c r="B1798" s="7" t="s">
        <v>3075</v>
      </c>
      <c r="C1798" s="7" t="s">
        <v>1420</v>
      </c>
      <c r="D1798" s="7" t="s">
        <v>3076</v>
      </c>
      <c r="E1798" s="7" t="s">
        <v>37</v>
      </c>
      <c r="F1798" s="7"/>
      <c r="G1798" s="7" t="s">
        <v>1447</v>
      </c>
      <c r="H1798" s="7"/>
      <c r="I1798" s="10">
        <v>44756</v>
      </c>
      <c r="J1798" s="7" t="s">
        <v>13</v>
      </c>
      <c r="K1798" s="7" t="s">
        <v>157</v>
      </c>
      <c r="L1798" s="7" t="s">
        <v>158</v>
      </c>
      <c r="M1798" s="7" t="s">
        <v>16</v>
      </c>
    </row>
    <row r="1799" spans="1:13" x14ac:dyDescent="0.3">
      <c r="A1799" s="7" t="str">
        <f>HYPERLINK("https://hsdes.intel.com/resource/14013176227","14013176227")</f>
        <v>14013176227</v>
      </c>
      <c r="B1799" s="7" t="s">
        <v>3077</v>
      </c>
      <c r="C1799" s="7" t="s">
        <v>1420</v>
      </c>
      <c r="D1799" s="7" t="s">
        <v>3078</v>
      </c>
      <c r="E1799" s="7" t="s">
        <v>11</v>
      </c>
      <c r="F1799" s="7"/>
      <c r="G1799" s="7" t="s">
        <v>1605</v>
      </c>
      <c r="H1799" s="7"/>
      <c r="I1799" s="10">
        <v>44758</v>
      </c>
      <c r="J1799" s="7" t="s">
        <v>13</v>
      </c>
      <c r="K1799" s="7" t="s">
        <v>67</v>
      </c>
      <c r="L1799" s="7" t="s">
        <v>68</v>
      </c>
      <c r="M1799" s="7" t="s">
        <v>24</v>
      </c>
    </row>
    <row r="1800" spans="1:13" x14ac:dyDescent="0.3">
      <c r="A1800" s="7" t="str">
        <f>HYPERLINK("https://hsdes.intel.com/resource/14013176237","14013176237")</f>
        <v>14013176237</v>
      </c>
      <c r="B1800" s="27" t="s">
        <v>3079</v>
      </c>
      <c r="C1800" s="7" t="s">
        <v>1420</v>
      </c>
      <c r="D1800" s="7" t="s">
        <v>3080</v>
      </c>
      <c r="E1800" s="7" t="s">
        <v>87</v>
      </c>
      <c r="F1800" s="27" t="s">
        <v>3081</v>
      </c>
      <c r="G1800" s="7" t="s">
        <v>1770</v>
      </c>
      <c r="H1800" s="7"/>
      <c r="I1800" s="10">
        <v>44763</v>
      </c>
      <c r="J1800" s="7" t="s">
        <v>13</v>
      </c>
      <c r="K1800" s="7" t="s">
        <v>147</v>
      </c>
      <c r="L1800" s="7" t="s">
        <v>29</v>
      </c>
      <c r="M1800" s="7" t="s">
        <v>16</v>
      </c>
    </row>
    <row r="1801" spans="1:13" x14ac:dyDescent="0.3">
      <c r="A1801" s="7" t="str">
        <f>HYPERLINK("https://hsdes.intel.com/resource/14013176251","14013176251")</f>
        <v>14013176251</v>
      </c>
      <c r="B1801" s="7" t="s">
        <v>3082</v>
      </c>
      <c r="C1801" s="7" t="s">
        <v>1420</v>
      </c>
      <c r="D1801" s="7" t="s">
        <v>3083</v>
      </c>
      <c r="E1801" s="7" t="s">
        <v>11</v>
      </c>
      <c r="F1801" s="7"/>
      <c r="G1801" s="7" t="s">
        <v>836</v>
      </c>
      <c r="H1801" s="7"/>
      <c r="I1801" s="10">
        <v>44755</v>
      </c>
      <c r="J1801" s="7" t="s">
        <v>13</v>
      </c>
      <c r="K1801" s="7" t="s">
        <v>67</v>
      </c>
      <c r="L1801" s="7" t="s">
        <v>291</v>
      </c>
      <c r="M1801" s="7" t="s">
        <v>16</v>
      </c>
    </row>
    <row r="1802" spans="1:13" x14ac:dyDescent="0.3">
      <c r="A1802" s="7" t="str">
        <f>HYPERLINK("https://hsdes.intel.com/resource/14013176259","14013176259")</f>
        <v>14013176259</v>
      </c>
      <c r="B1802" s="7" t="s">
        <v>3084</v>
      </c>
      <c r="C1802" s="7" t="s">
        <v>1420</v>
      </c>
      <c r="D1802" s="7" t="s">
        <v>3085</v>
      </c>
      <c r="E1802" s="7" t="s">
        <v>11</v>
      </c>
      <c r="F1802" s="7"/>
      <c r="G1802" s="7" t="s">
        <v>1849</v>
      </c>
      <c r="H1802" s="7"/>
      <c r="I1802" s="10">
        <v>44755</v>
      </c>
      <c r="J1802" s="7" t="s">
        <v>13</v>
      </c>
      <c r="K1802" s="7" t="s">
        <v>14</v>
      </c>
      <c r="L1802" s="7" t="s">
        <v>88</v>
      </c>
      <c r="M1802" s="7" t="s">
        <v>16</v>
      </c>
    </row>
    <row r="1803" spans="1:13" x14ac:dyDescent="0.3">
      <c r="A1803" s="7" t="str">
        <f>HYPERLINK("https://hsdes.intel.com/resource/14013176269","14013176269")</f>
        <v>14013176269</v>
      </c>
      <c r="B1803" s="7" t="s">
        <v>3086</v>
      </c>
      <c r="C1803" s="7" t="s">
        <v>1420</v>
      </c>
      <c r="D1803" s="7" t="s">
        <v>3087</v>
      </c>
      <c r="E1803" s="7" t="s">
        <v>11</v>
      </c>
      <c r="F1803" s="7"/>
      <c r="G1803" s="7" t="s">
        <v>2438</v>
      </c>
      <c r="H1803" s="7"/>
      <c r="I1803" s="10">
        <v>44757</v>
      </c>
      <c r="J1803" s="7" t="s">
        <v>13</v>
      </c>
      <c r="K1803" s="7" t="s">
        <v>147</v>
      </c>
      <c r="L1803" s="7" t="s">
        <v>29</v>
      </c>
      <c r="M1803" s="7" t="s">
        <v>16</v>
      </c>
    </row>
    <row r="1804" spans="1:13" x14ac:dyDescent="0.3">
      <c r="A1804" s="7" t="str">
        <f>HYPERLINK("https://hsdes.intel.com/resource/14013176285","14013176285")</f>
        <v>14013176285</v>
      </c>
      <c r="B1804" s="7" t="s">
        <v>3088</v>
      </c>
      <c r="C1804" s="7" t="s">
        <v>1420</v>
      </c>
      <c r="D1804" s="7" t="s">
        <v>3089</v>
      </c>
      <c r="E1804" s="7" t="s">
        <v>37</v>
      </c>
      <c r="F1804" s="7"/>
      <c r="G1804" s="7" t="s">
        <v>369</v>
      </c>
      <c r="H1804" s="7"/>
      <c r="I1804" s="10">
        <v>44763</v>
      </c>
      <c r="J1804" s="7" t="s">
        <v>13</v>
      </c>
      <c r="K1804" s="7" t="s">
        <v>147</v>
      </c>
      <c r="L1804" s="7" t="s">
        <v>29</v>
      </c>
      <c r="M1804" s="7" t="s">
        <v>24</v>
      </c>
    </row>
    <row r="1805" spans="1:13" x14ac:dyDescent="0.3">
      <c r="A1805" s="7" t="str">
        <f>HYPERLINK("https://hsdes.intel.com/resource/14013176305","14013176305")</f>
        <v>14013176305</v>
      </c>
      <c r="B1805" s="7" t="s">
        <v>3090</v>
      </c>
      <c r="C1805" s="7" t="s">
        <v>1420</v>
      </c>
      <c r="D1805" s="7" t="s">
        <v>3091</v>
      </c>
      <c r="E1805" s="7" t="s">
        <v>11</v>
      </c>
      <c r="F1805" s="7"/>
      <c r="G1805" s="7" t="s">
        <v>1429</v>
      </c>
      <c r="H1805" s="7"/>
      <c r="I1805" s="10">
        <v>44754</v>
      </c>
      <c r="J1805" s="7" t="s">
        <v>13</v>
      </c>
      <c r="K1805" s="7" t="s">
        <v>45</v>
      </c>
      <c r="L1805" s="7" t="s">
        <v>544</v>
      </c>
      <c r="M1805" s="7" t="s">
        <v>16</v>
      </c>
    </row>
    <row r="1806" spans="1:13" x14ac:dyDescent="0.3">
      <c r="A1806" s="7" t="str">
        <f>HYPERLINK("https://hsdes.intel.com/resource/14013176338","14013176338")</f>
        <v>14013176338</v>
      </c>
      <c r="B1806" s="7" t="s">
        <v>3092</v>
      </c>
      <c r="C1806" s="7" t="s">
        <v>1420</v>
      </c>
      <c r="D1806" s="7" t="s">
        <v>3093</v>
      </c>
      <c r="E1806" s="7"/>
      <c r="F1806" s="7"/>
      <c r="G1806" s="7" t="s">
        <v>541</v>
      </c>
      <c r="H1806" s="7"/>
      <c r="I1806" s="7"/>
      <c r="J1806" s="7" t="s">
        <v>13</v>
      </c>
      <c r="K1806" s="7" t="s">
        <v>290</v>
      </c>
      <c r="L1806" s="7" t="s">
        <v>291</v>
      </c>
      <c r="M1806" s="7" t="s">
        <v>16</v>
      </c>
    </row>
    <row r="1807" spans="1:13" x14ac:dyDescent="0.3">
      <c r="A1807" s="7" t="str">
        <f>HYPERLINK("https://hsdes.intel.com/resource/14013176353","14013176353")</f>
        <v>14013176353</v>
      </c>
      <c r="B1807" s="7" t="s">
        <v>3094</v>
      </c>
      <c r="C1807" s="7" t="s">
        <v>1420</v>
      </c>
      <c r="D1807" s="7" t="s">
        <v>3095</v>
      </c>
      <c r="E1807" s="7" t="s">
        <v>11</v>
      </c>
      <c r="F1807" s="7"/>
      <c r="G1807" s="7" t="s">
        <v>345</v>
      </c>
      <c r="H1807" s="7"/>
      <c r="I1807" s="10">
        <v>44760</v>
      </c>
      <c r="J1807" s="7" t="s">
        <v>13</v>
      </c>
      <c r="K1807" s="7" t="s">
        <v>19</v>
      </c>
      <c r="L1807" s="7" t="s">
        <v>20</v>
      </c>
      <c r="M1807" s="7" t="s">
        <v>24</v>
      </c>
    </row>
    <row r="1808" spans="1:13" x14ac:dyDescent="0.3">
      <c r="A1808" s="7" t="str">
        <f>HYPERLINK("https://hsdes.intel.com/resource/14013176358","14013176358")</f>
        <v>14013176358</v>
      </c>
      <c r="B1808" s="7" t="s">
        <v>3096</v>
      </c>
      <c r="C1808" s="7" t="s">
        <v>1420</v>
      </c>
      <c r="D1808" s="7" t="s">
        <v>3097</v>
      </c>
      <c r="E1808" s="7" t="s">
        <v>11</v>
      </c>
      <c r="F1808" s="7"/>
      <c r="G1808" s="7" t="s">
        <v>1432</v>
      </c>
      <c r="H1808" s="7"/>
      <c r="I1808" s="10">
        <v>44754</v>
      </c>
      <c r="J1808" s="7" t="s">
        <v>13</v>
      </c>
      <c r="K1808" s="7" t="s">
        <v>1433</v>
      </c>
      <c r="L1808" s="7" t="s">
        <v>1434</v>
      </c>
      <c r="M1808" s="7" t="s">
        <v>16</v>
      </c>
    </row>
    <row r="1809" spans="1:13" x14ac:dyDescent="0.3">
      <c r="A1809" s="7" t="str">
        <f>HYPERLINK("https://hsdes.intel.com/resource/14013176373","14013176373")</f>
        <v>14013176373</v>
      </c>
      <c r="B1809" s="7" t="s">
        <v>3098</v>
      </c>
      <c r="C1809" s="7" t="s">
        <v>1420</v>
      </c>
      <c r="D1809" s="7" t="s">
        <v>3099</v>
      </c>
      <c r="E1809" s="7" t="s">
        <v>11</v>
      </c>
      <c r="F1809" s="7"/>
      <c r="G1809" s="7" t="s">
        <v>836</v>
      </c>
      <c r="H1809" s="7"/>
      <c r="I1809" s="10">
        <v>44755</v>
      </c>
      <c r="J1809" s="7" t="s">
        <v>13</v>
      </c>
      <c r="K1809" s="7" t="s">
        <v>1515</v>
      </c>
      <c r="L1809" s="7" t="s">
        <v>291</v>
      </c>
      <c r="M1809" s="7" t="s">
        <v>16</v>
      </c>
    </row>
    <row r="1810" spans="1:13" x14ac:dyDescent="0.3">
      <c r="A1810" s="7" t="str">
        <f>HYPERLINK("https://hsdes.intel.com/resource/14013176393","14013176393")</f>
        <v>14013176393</v>
      </c>
      <c r="B1810" s="7" t="s">
        <v>3100</v>
      </c>
      <c r="C1810" s="7" t="s">
        <v>1420</v>
      </c>
      <c r="D1810" s="7" t="s">
        <v>3101</v>
      </c>
      <c r="E1810" s="7"/>
      <c r="F1810" s="7"/>
      <c r="G1810" s="7" t="s">
        <v>541</v>
      </c>
      <c r="H1810" s="7"/>
      <c r="I1810" s="7"/>
      <c r="J1810" s="7" t="s">
        <v>192</v>
      </c>
      <c r="K1810" s="7" t="s">
        <v>296</v>
      </c>
      <c r="L1810" s="7" t="s">
        <v>297</v>
      </c>
      <c r="M1810" s="7" t="s">
        <v>24</v>
      </c>
    </row>
    <row r="1811" spans="1:13" x14ac:dyDescent="0.3">
      <c r="A1811" s="7" t="str">
        <f>HYPERLINK("https://hsdes.intel.com/resource/14013176417","14013176417")</f>
        <v>14013176417</v>
      </c>
      <c r="B1811" s="7" t="s">
        <v>802</v>
      </c>
      <c r="C1811" s="7" t="s">
        <v>1420</v>
      </c>
      <c r="D1811" s="7" t="s">
        <v>803</v>
      </c>
      <c r="E1811" s="7"/>
      <c r="F1811" s="7"/>
      <c r="G1811" s="7" t="s">
        <v>541</v>
      </c>
      <c r="H1811" s="7"/>
      <c r="I1811" s="7"/>
      <c r="J1811" s="7" t="s">
        <v>13</v>
      </c>
      <c r="K1811" s="7" t="s">
        <v>296</v>
      </c>
      <c r="L1811" s="7" t="s">
        <v>297</v>
      </c>
      <c r="M1811" s="7" t="s">
        <v>16</v>
      </c>
    </row>
    <row r="1812" spans="1:13" x14ac:dyDescent="0.3">
      <c r="A1812" s="7" t="str">
        <f>HYPERLINK("https://hsdes.intel.com/resource/14013176423","14013176423")</f>
        <v>14013176423</v>
      </c>
      <c r="B1812" s="7" t="s">
        <v>805</v>
      </c>
      <c r="C1812" s="7" t="s">
        <v>1420</v>
      </c>
      <c r="D1812" s="7" t="s">
        <v>806</v>
      </c>
      <c r="E1812" s="7"/>
      <c r="F1812" s="7"/>
      <c r="G1812" s="7" t="s">
        <v>541</v>
      </c>
      <c r="H1812" s="7"/>
      <c r="I1812" s="7"/>
      <c r="J1812" s="7" t="s">
        <v>13</v>
      </c>
      <c r="K1812" s="7" t="s">
        <v>296</v>
      </c>
      <c r="L1812" s="7" t="s">
        <v>297</v>
      </c>
      <c r="M1812" s="7" t="s">
        <v>16</v>
      </c>
    </row>
    <row r="1813" spans="1:13" x14ac:dyDescent="0.3">
      <c r="A1813" s="7" t="str">
        <f>HYPERLINK("https://hsdes.intel.com/resource/14013176439","14013176439")</f>
        <v>14013176439</v>
      </c>
      <c r="B1813" s="7" t="s">
        <v>3102</v>
      </c>
      <c r="C1813" s="7" t="s">
        <v>1420</v>
      </c>
      <c r="D1813" s="7" t="s">
        <v>3103</v>
      </c>
      <c r="E1813" s="7" t="s">
        <v>11</v>
      </c>
      <c r="F1813" s="7"/>
      <c r="G1813" s="7" t="s">
        <v>1447</v>
      </c>
      <c r="H1813" s="7"/>
      <c r="I1813" s="10">
        <v>44755</v>
      </c>
      <c r="J1813" s="7" t="s">
        <v>13</v>
      </c>
      <c r="K1813" s="7" t="s">
        <v>157</v>
      </c>
      <c r="L1813" s="7" t="s">
        <v>158</v>
      </c>
      <c r="M1813" s="7" t="s">
        <v>21</v>
      </c>
    </row>
    <row r="1814" spans="1:13" x14ac:dyDescent="0.3">
      <c r="A1814" s="7" t="str">
        <f>HYPERLINK("https://hsdes.intel.com/resource/14013176445","14013176445")</f>
        <v>14013176445</v>
      </c>
      <c r="B1814" s="7" t="s">
        <v>3104</v>
      </c>
      <c r="C1814" s="7" t="s">
        <v>1420</v>
      </c>
      <c r="D1814" s="7" t="s">
        <v>3105</v>
      </c>
      <c r="E1814" s="7" t="s">
        <v>11</v>
      </c>
      <c r="F1814" s="7"/>
      <c r="G1814" s="7" t="s">
        <v>836</v>
      </c>
      <c r="H1814" s="7"/>
      <c r="I1814" s="10">
        <v>44755</v>
      </c>
      <c r="J1814" s="7" t="s">
        <v>13</v>
      </c>
      <c r="K1814" s="7" t="s">
        <v>523</v>
      </c>
      <c r="L1814" s="7" t="s">
        <v>291</v>
      </c>
      <c r="M1814" s="7" t="s">
        <v>16</v>
      </c>
    </row>
    <row r="1815" spans="1:13" x14ac:dyDescent="0.3">
      <c r="A1815" s="7" t="str">
        <f>HYPERLINK("https://hsdes.intel.com/resource/14013176448","14013176448")</f>
        <v>14013176448</v>
      </c>
      <c r="B1815" s="7" t="s">
        <v>808</v>
      </c>
      <c r="C1815" s="7" t="s">
        <v>1420</v>
      </c>
      <c r="D1815" s="7" t="s">
        <v>809</v>
      </c>
      <c r="E1815" s="7"/>
      <c r="F1815" s="7"/>
      <c r="G1815" s="7" t="s">
        <v>541</v>
      </c>
      <c r="H1815" s="7"/>
      <c r="I1815" s="7"/>
      <c r="J1815" s="7" t="s">
        <v>13</v>
      </c>
      <c r="K1815" s="7" t="s">
        <v>147</v>
      </c>
      <c r="L1815" s="7" t="s">
        <v>29</v>
      </c>
      <c r="M1815" s="7" t="s">
        <v>16</v>
      </c>
    </row>
    <row r="1816" spans="1:13" x14ac:dyDescent="0.3">
      <c r="A1816" s="7" t="str">
        <f>HYPERLINK("https://hsdes.intel.com/resource/14013176487","14013176487")</f>
        <v>14013176487</v>
      </c>
      <c r="B1816" s="7" t="s">
        <v>3106</v>
      </c>
      <c r="C1816" s="7" t="s">
        <v>1420</v>
      </c>
      <c r="D1816" s="7" t="s">
        <v>3107</v>
      </c>
      <c r="E1816" s="7" t="s">
        <v>11</v>
      </c>
      <c r="F1816" s="7"/>
      <c r="G1816" s="7" t="s">
        <v>1447</v>
      </c>
      <c r="H1816" s="7"/>
      <c r="I1816" s="10">
        <v>44757</v>
      </c>
      <c r="J1816" s="7" t="s">
        <v>13</v>
      </c>
      <c r="K1816" s="7" t="s">
        <v>157</v>
      </c>
      <c r="L1816" s="7" t="s">
        <v>158</v>
      </c>
      <c r="M1816" s="7" t="s">
        <v>21</v>
      </c>
    </row>
    <row r="1817" spans="1:13" x14ac:dyDescent="0.3">
      <c r="A1817" s="7" t="str">
        <f>HYPERLINK("https://hsdes.intel.com/resource/14013176503","14013176503")</f>
        <v>14013176503</v>
      </c>
      <c r="B1817" s="7" t="s">
        <v>3108</v>
      </c>
      <c r="C1817" s="7" t="s">
        <v>1420</v>
      </c>
      <c r="D1817" s="7" t="s">
        <v>3109</v>
      </c>
      <c r="E1817" s="7" t="s">
        <v>11</v>
      </c>
      <c r="F1817" s="7"/>
      <c r="G1817" s="7" t="s">
        <v>1447</v>
      </c>
      <c r="H1817" s="7"/>
      <c r="I1817" s="10">
        <v>44761</v>
      </c>
      <c r="J1817" s="7" t="s">
        <v>13</v>
      </c>
      <c r="K1817" s="7" t="s">
        <v>157</v>
      </c>
      <c r="L1817" s="7" t="s">
        <v>158</v>
      </c>
      <c r="M1817" s="7" t="s">
        <v>16</v>
      </c>
    </row>
    <row r="1818" spans="1:13" x14ac:dyDescent="0.3">
      <c r="A1818" s="7" t="str">
        <f>HYPERLINK("https://hsdes.intel.com/resource/14013176534","14013176534")</f>
        <v>14013176534</v>
      </c>
      <c r="B1818" s="7" t="s">
        <v>3110</v>
      </c>
      <c r="C1818" s="7" t="s">
        <v>1420</v>
      </c>
      <c r="D1818" s="7" t="s">
        <v>3111</v>
      </c>
      <c r="E1818" s="7" t="s">
        <v>11</v>
      </c>
      <c r="F1818" s="7"/>
      <c r="G1818" s="7" t="s">
        <v>1447</v>
      </c>
      <c r="H1818" s="7"/>
      <c r="I1818" s="10">
        <v>44760</v>
      </c>
      <c r="J1818" s="7" t="s">
        <v>13</v>
      </c>
      <c r="K1818" s="7" t="s">
        <v>157</v>
      </c>
      <c r="L1818" s="7" t="s">
        <v>158</v>
      </c>
      <c r="M1818" s="7" t="s">
        <v>16</v>
      </c>
    </row>
    <row r="1819" spans="1:13" x14ac:dyDescent="0.3">
      <c r="A1819" s="7" t="str">
        <f>HYPERLINK("https://hsdes.intel.com/resource/14013176544","14013176544")</f>
        <v>14013176544</v>
      </c>
      <c r="B1819" s="7" t="s">
        <v>3112</v>
      </c>
      <c r="C1819" s="7" t="s">
        <v>1420</v>
      </c>
      <c r="D1819" s="7" t="s">
        <v>3113</v>
      </c>
      <c r="E1819" s="7" t="s">
        <v>11</v>
      </c>
      <c r="F1819" s="7"/>
      <c r="G1819" s="7" t="s">
        <v>1447</v>
      </c>
      <c r="H1819" s="7"/>
      <c r="I1819" s="10">
        <v>44762</v>
      </c>
      <c r="J1819" s="7" t="s">
        <v>13</v>
      </c>
      <c r="K1819" s="7" t="s">
        <v>157</v>
      </c>
      <c r="L1819" s="7" t="s">
        <v>158</v>
      </c>
      <c r="M1819" s="7" t="s">
        <v>24</v>
      </c>
    </row>
    <row r="1820" spans="1:13" x14ac:dyDescent="0.3">
      <c r="A1820" s="7" t="str">
        <f>HYPERLINK("https://hsdes.intel.com/resource/14013176661","14013176661")</f>
        <v>14013176661</v>
      </c>
      <c r="B1820" s="7" t="s">
        <v>811</v>
      </c>
      <c r="C1820" s="7" t="s">
        <v>1420</v>
      </c>
      <c r="D1820" s="7" t="s">
        <v>812</v>
      </c>
      <c r="E1820" s="7"/>
      <c r="F1820" s="7"/>
      <c r="G1820" s="7" t="s">
        <v>541</v>
      </c>
      <c r="H1820" s="7"/>
      <c r="I1820" s="7"/>
      <c r="J1820" s="7" t="s">
        <v>13</v>
      </c>
      <c r="K1820" s="7" t="s">
        <v>523</v>
      </c>
      <c r="L1820" s="7" t="s">
        <v>291</v>
      </c>
      <c r="M1820" s="7" t="s">
        <v>16</v>
      </c>
    </row>
    <row r="1821" spans="1:13" x14ac:dyDescent="0.3">
      <c r="A1821" s="7" t="str">
        <f>HYPERLINK("https://hsdes.intel.com/resource/14013176669","14013176669")</f>
        <v>14013176669</v>
      </c>
      <c r="B1821" s="7" t="s">
        <v>813</v>
      </c>
      <c r="C1821" s="7" t="s">
        <v>1420</v>
      </c>
      <c r="D1821" s="7" t="s">
        <v>814</v>
      </c>
      <c r="E1821" s="7"/>
      <c r="F1821" s="7"/>
      <c r="G1821" s="7" t="s">
        <v>541</v>
      </c>
      <c r="H1821" s="7"/>
      <c r="I1821" s="7"/>
      <c r="J1821" s="7" t="s">
        <v>13</v>
      </c>
      <c r="K1821" s="7" t="s">
        <v>296</v>
      </c>
      <c r="L1821" s="7" t="s">
        <v>297</v>
      </c>
      <c r="M1821" s="7" t="s">
        <v>21</v>
      </c>
    </row>
    <row r="1822" spans="1:13" x14ac:dyDescent="0.3">
      <c r="A1822" s="7" t="str">
        <f>HYPERLINK("https://hsdes.intel.com/resource/14013176706","14013176706")</f>
        <v>14013176706</v>
      </c>
      <c r="B1822" s="7" t="s">
        <v>815</v>
      </c>
      <c r="C1822" s="7" t="s">
        <v>1420</v>
      </c>
      <c r="D1822" s="7" t="s">
        <v>816</v>
      </c>
      <c r="E1822" s="7"/>
      <c r="F1822" s="7"/>
      <c r="G1822" s="7" t="s">
        <v>541</v>
      </c>
      <c r="H1822" s="7"/>
      <c r="I1822" s="7"/>
      <c r="J1822" s="7" t="s">
        <v>13</v>
      </c>
      <c r="K1822" s="7" t="s">
        <v>290</v>
      </c>
      <c r="L1822" s="7" t="s">
        <v>291</v>
      </c>
      <c r="M1822" s="7" t="s">
        <v>16</v>
      </c>
    </row>
    <row r="1823" spans="1:13" x14ac:dyDescent="0.3">
      <c r="A1823" s="7" t="str">
        <f>HYPERLINK("https://hsdes.intel.com/resource/14013176721","14013176721")</f>
        <v>14013176721</v>
      </c>
      <c r="B1823" s="7" t="s">
        <v>3114</v>
      </c>
      <c r="C1823" s="7" t="s">
        <v>1420</v>
      </c>
      <c r="D1823" s="7" t="s">
        <v>3115</v>
      </c>
      <c r="E1823" s="7" t="s">
        <v>11</v>
      </c>
      <c r="F1823" s="7"/>
      <c r="G1823" s="7" t="s">
        <v>1482</v>
      </c>
      <c r="H1823" s="7"/>
      <c r="I1823" s="10">
        <v>44755</v>
      </c>
      <c r="J1823" s="7" t="s">
        <v>13</v>
      </c>
      <c r="K1823" s="7" t="s">
        <v>14</v>
      </c>
      <c r="L1823" s="7" t="s">
        <v>660</v>
      </c>
      <c r="M1823" s="7" t="s">
        <v>16</v>
      </c>
    </row>
    <row r="1824" spans="1:13" x14ac:dyDescent="0.3">
      <c r="A1824" s="7" t="str">
        <f>HYPERLINK("https://hsdes.intel.com/resource/14013176731","14013176731")</f>
        <v>14013176731</v>
      </c>
      <c r="B1824" s="7" t="s">
        <v>3116</v>
      </c>
      <c r="C1824" s="7" t="s">
        <v>1420</v>
      </c>
      <c r="D1824" s="7" t="s">
        <v>3117</v>
      </c>
      <c r="E1824" s="7" t="s">
        <v>342</v>
      </c>
      <c r="F1824" s="7"/>
      <c r="G1824" s="7" t="s">
        <v>2963</v>
      </c>
      <c r="H1824" s="7"/>
      <c r="I1824" s="7"/>
      <c r="J1824" s="7" t="s">
        <v>13</v>
      </c>
      <c r="K1824" s="7" t="s">
        <v>14</v>
      </c>
      <c r="L1824" s="7" t="s">
        <v>660</v>
      </c>
      <c r="M1824" s="7" t="s">
        <v>16</v>
      </c>
    </row>
    <row r="1825" spans="1:13" x14ac:dyDescent="0.3">
      <c r="A1825" s="7" t="str">
        <f>HYPERLINK("https://hsdes.intel.com/resource/14013176752","14013176752")</f>
        <v>14013176752</v>
      </c>
      <c r="B1825" s="7" t="s">
        <v>3118</v>
      </c>
      <c r="C1825" s="7" t="s">
        <v>1420</v>
      </c>
      <c r="D1825" s="7" t="s">
        <v>3119</v>
      </c>
      <c r="E1825" s="7" t="s">
        <v>11</v>
      </c>
      <c r="F1825" s="7"/>
      <c r="G1825" s="7" t="s">
        <v>1447</v>
      </c>
      <c r="H1825" s="7"/>
      <c r="I1825" s="10">
        <v>44761</v>
      </c>
      <c r="J1825" s="7" t="s">
        <v>13</v>
      </c>
      <c r="K1825" s="7" t="s">
        <v>157</v>
      </c>
      <c r="L1825" s="7" t="s">
        <v>158</v>
      </c>
      <c r="M1825" s="7" t="s">
        <v>24</v>
      </c>
    </row>
    <row r="1826" spans="1:13" x14ac:dyDescent="0.3">
      <c r="A1826" s="7" t="str">
        <f>HYPERLINK("https://hsdes.intel.com/resource/14013176782","14013176782")</f>
        <v>14013176782</v>
      </c>
      <c r="B1826" s="7" t="s">
        <v>3120</v>
      </c>
      <c r="C1826" s="7" t="s">
        <v>1420</v>
      </c>
      <c r="D1826" s="7" t="s">
        <v>3121</v>
      </c>
      <c r="E1826" s="7" t="s">
        <v>11</v>
      </c>
      <c r="F1826" s="7"/>
      <c r="G1826" s="7" t="s">
        <v>1447</v>
      </c>
      <c r="H1826" s="7"/>
      <c r="I1826" s="10">
        <v>44760</v>
      </c>
      <c r="J1826" s="7" t="s">
        <v>13</v>
      </c>
      <c r="K1826" s="7" t="s">
        <v>157</v>
      </c>
      <c r="L1826" s="7" t="s">
        <v>158</v>
      </c>
      <c r="M1826" s="7" t="s">
        <v>16</v>
      </c>
    </row>
    <row r="1827" spans="1:13" x14ac:dyDescent="0.3">
      <c r="A1827" s="7" t="str">
        <f>HYPERLINK("https://hsdes.intel.com/resource/14013176807","14013176807")</f>
        <v>14013176807</v>
      </c>
      <c r="B1827" s="7" t="s">
        <v>3122</v>
      </c>
      <c r="C1827" s="7" t="s">
        <v>1420</v>
      </c>
      <c r="D1827" s="7" t="s">
        <v>3123</v>
      </c>
      <c r="E1827" s="7" t="s">
        <v>11</v>
      </c>
      <c r="F1827" s="7"/>
      <c r="G1827" s="7" t="s">
        <v>1447</v>
      </c>
      <c r="H1827" s="7"/>
      <c r="I1827" s="10">
        <v>44757</v>
      </c>
      <c r="J1827" s="7" t="s">
        <v>13</v>
      </c>
      <c r="K1827" s="7" t="s">
        <v>157</v>
      </c>
      <c r="L1827" s="7" t="s">
        <v>158</v>
      </c>
      <c r="M1827" s="7" t="s">
        <v>24</v>
      </c>
    </row>
    <row r="1828" spans="1:13" x14ac:dyDescent="0.3">
      <c r="A1828" s="7" t="str">
        <f>HYPERLINK("https://hsdes.intel.com/resource/14013176813","14013176813")</f>
        <v>14013176813</v>
      </c>
      <c r="B1828" s="7" t="s">
        <v>3124</v>
      </c>
      <c r="C1828" s="7" t="s">
        <v>1420</v>
      </c>
      <c r="D1828" s="7" t="s">
        <v>3125</v>
      </c>
      <c r="E1828" s="7" t="s">
        <v>11</v>
      </c>
      <c r="F1828" s="7"/>
      <c r="G1828" s="7" t="s">
        <v>1447</v>
      </c>
      <c r="H1828" s="7"/>
      <c r="I1828" s="10">
        <v>44757</v>
      </c>
      <c r="J1828" s="7" t="s">
        <v>13</v>
      </c>
      <c r="K1828" s="7" t="s">
        <v>157</v>
      </c>
      <c r="L1828" s="7" t="s">
        <v>158</v>
      </c>
      <c r="M1828" s="7" t="s">
        <v>21</v>
      </c>
    </row>
    <row r="1829" spans="1:13" x14ac:dyDescent="0.3">
      <c r="A1829" s="7" t="str">
        <f>HYPERLINK("https://hsdes.intel.com/resource/14013176879","14013176879")</f>
        <v>14013176879</v>
      </c>
      <c r="B1829" s="7" t="s">
        <v>819</v>
      </c>
      <c r="C1829" s="7" t="s">
        <v>1420</v>
      </c>
      <c r="D1829" s="7" t="s">
        <v>820</v>
      </c>
      <c r="E1829" s="7"/>
      <c r="F1829" s="7"/>
      <c r="G1829" s="7" t="s">
        <v>541</v>
      </c>
      <c r="H1829" s="7"/>
      <c r="I1829" s="7"/>
      <c r="J1829" s="7" t="s">
        <v>13</v>
      </c>
      <c r="K1829" s="7" t="s">
        <v>296</v>
      </c>
      <c r="L1829" s="7" t="s">
        <v>297</v>
      </c>
      <c r="M1829" s="7" t="s">
        <v>24</v>
      </c>
    </row>
    <row r="1830" spans="1:13" x14ac:dyDescent="0.3">
      <c r="A1830" s="5" t="str">
        <f>HYPERLINK("https://hsdes.intel.com/resource/14013176882","14013176882")</f>
        <v>14013176882</v>
      </c>
      <c r="B1830" s="7" t="s">
        <v>821</v>
      </c>
      <c r="C1830" s="7" t="s">
        <v>1420</v>
      </c>
      <c r="D1830" s="7" t="s">
        <v>822</v>
      </c>
      <c r="E1830" s="7"/>
      <c r="F1830" s="7"/>
      <c r="G1830" s="7" t="s">
        <v>541</v>
      </c>
      <c r="H1830" s="7"/>
      <c r="I1830" s="7"/>
      <c r="J1830" s="7" t="s">
        <v>13</v>
      </c>
      <c r="K1830" s="7" t="s">
        <v>290</v>
      </c>
      <c r="L1830" s="7" t="s">
        <v>291</v>
      </c>
      <c r="M1830" s="7" t="s">
        <v>16</v>
      </c>
    </row>
    <row r="1831" spans="1:13" x14ac:dyDescent="0.3">
      <c r="A1831" s="7" t="str">
        <f>HYPERLINK("https://hsdes.intel.com/resource/14013176896","14013176896")</f>
        <v>14013176896</v>
      </c>
      <c r="B1831" s="7" t="s">
        <v>3126</v>
      </c>
      <c r="C1831" s="7" t="s">
        <v>1420</v>
      </c>
      <c r="D1831" s="7" t="s">
        <v>3127</v>
      </c>
      <c r="E1831" s="7" t="s">
        <v>11</v>
      </c>
      <c r="F1831" s="7"/>
      <c r="G1831" s="7" t="s">
        <v>345</v>
      </c>
      <c r="H1831" s="7"/>
      <c r="I1831" s="10">
        <v>44760</v>
      </c>
      <c r="J1831" s="7" t="s">
        <v>13</v>
      </c>
      <c r="K1831" s="7" t="s">
        <v>296</v>
      </c>
      <c r="L1831" s="7" t="s">
        <v>297</v>
      </c>
      <c r="M1831" s="7" t="s">
        <v>24</v>
      </c>
    </row>
    <row r="1832" spans="1:13" x14ac:dyDescent="0.3">
      <c r="A1832" s="7" t="str">
        <f>HYPERLINK("https://hsdes.intel.com/resource/14013176898","14013176898")</f>
        <v>14013176898</v>
      </c>
      <c r="B1832" s="7" t="s">
        <v>3128</v>
      </c>
      <c r="C1832" s="7" t="s">
        <v>1420</v>
      </c>
      <c r="D1832" s="7" t="s">
        <v>3129</v>
      </c>
      <c r="E1832" s="7" t="s">
        <v>11</v>
      </c>
      <c r="F1832" s="7"/>
      <c r="G1832" s="7" t="s">
        <v>345</v>
      </c>
      <c r="H1832" s="7"/>
      <c r="I1832" s="10">
        <v>44760</v>
      </c>
      <c r="J1832" s="7" t="s">
        <v>13</v>
      </c>
      <c r="K1832" s="7" t="s">
        <v>296</v>
      </c>
      <c r="L1832" s="7" t="s">
        <v>297</v>
      </c>
      <c r="M1832" s="7" t="s">
        <v>24</v>
      </c>
    </row>
    <row r="1833" spans="1:13" x14ac:dyDescent="0.3">
      <c r="A1833" s="7" t="str">
        <f>HYPERLINK("https://hsdes.intel.com/resource/14013176901","14013176901")</f>
        <v>14013176901</v>
      </c>
      <c r="B1833" s="7" t="s">
        <v>3130</v>
      </c>
      <c r="C1833" s="7" t="s">
        <v>1420</v>
      </c>
      <c r="D1833" s="7" t="s">
        <v>3131</v>
      </c>
      <c r="E1833" s="7" t="s">
        <v>11</v>
      </c>
      <c r="F1833" s="7"/>
      <c r="G1833" s="7" t="s">
        <v>345</v>
      </c>
      <c r="H1833" s="7"/>
      <c r="I1833" s="10">
        <v>44760</v>
      </c>
      <c r="J1833" s="7" t="s">
        <v>13</v>
      </c>
      <c r="K1833" s="7" t="s">
        <v>296</v>
      </c>
      <c r="L1833" s="7" t="s">
        <v>297</v>
      </c>
      <c r="M1833" s="7" t="s">
        <v>24</v>
      </c>
    </row>
    <row r="1834" spans="1:13" x14ac:dyDescent="0.3">
      <c r="A1834" s="7" t="str">
        <f>HYPERLINK("https://hsdes.intel.com/resource/14013176907","14013176907")</f>
        <v>14013176907</v>
      </c>
      <c r="B1834" s="7" t="s">
        <v>3132</v>
      </c>
      <c r="C1834" s="7" t="s">
        <v>1420</v>
      </c>
      <c r="D1834" s="7" t="s">
        <v>3133</v>
      </c>
      <c r="E1834" s="7" t="s">
        <v>11</v>
      </c>
      <c r="F1834" s="7"/>
      <c r="G1834" s="7" t="s">
        <v>345</v>
      </c>
      <c r="H1834" s="7"/>
      <c r="I1834" s="10">
        <v>44760</v>
      </c>
      <c r="J1834" s="7" t="s">
        <v>13</v>
      </c>
      <c r="K1834" s="7" t="s">
        <v>296</v>
      </c>
      <c r="L1834" s="7" t="s">
        <v>297</v>
      </c>
      <c r="M1834" s="7" t="s">
        <v>24</v>
      </c>
    </row>
    <row r="1835" spans="1:13" x14ac:dyDescent="0.3">
      <c r="A1835" s="7" t="str">
        <f>HYPERLINK("https://hsdes.intel.com/resource/14013176909","14013176909")</f>
        <v>14013176909</v>
      </c>
      <c r="B1835" s="7" t="s">
        <v>3134</v>
      </c>
      <c r="C1835" s="7" t="s">
        <v>1420</v>
      </c>
      <c r="D1835" s="7" t="s">
        <v>3135</v>
      </c>
      <c r="E1835" s="7" t="s">
        <v>11</v>
      </c>
      <c r="F1835" s="7"/>
      <c r="G1835" s="7" t="s">
        <v>354</v>
      </c>
      <c r="H1835" s="7"/>
      <c r="I1835" s="10">
        <v>44764</v>
      </c>
      <c r="J1835" s="7" t="s">
        <v>13</v>
      </c>
      <c r="K1835" s="7" t="s">
        <v>296</v>
      </c>
      <c r="L1835" s="7" t="s">
        <v>297</v>
      </c>
      <c r="M1835" s="7" t="s">
        <v>21</v>
      </c>
    </row>
    <row r="1836" spans="1:13" x14ac:dyDescent="0.3">
      <c r="A1836" s="7" t="str">
        <f>HYPERLINK("https://hsdes.intel.com/resource/14013176960","14013176960")</f>
        <v>14013176960</v>
      </c>
      <c r="B1836" s="7" t="s">
        <v>3136</v>
      </c>
      <c r="C1836" s="7" t="s">
        <v>1420</v>
      </c>
      <c r="D1836" s="7" t="s">
        <v>3137</v>
      </c>
      <c r="E1836" s="7" t="s">
        <v>342</v>
      </c>
      <c r="F1836" s="7"/>
      <c r="G1836" s="7" t="s">
        <v>2963</v>
      </c>
      <c r="H1836" s="7"/>
      <c r="I1836" s="7"/>
      <c r="J1836" s="7" t="s">
        <v>13</v>
      </c>
      <c r="K1836" s="7" t="s">
        <v>1322</v>
      </c>
      <c r="L1836" s="7" t="s">
        <v>291</v>
      </c>
      <c r="M1836" s="7" t="s">
        <v>16</v>
      </c>
    </row>
    <row r="1837" spans="1:13" x14ac:dyDescent="0.3">
      <c r="A1837" s="7" t="str">
        <f>HYPERLINK("https://hsdes.intel.com/resource/14013176978","14013176978")</f>
        <v>14013176978</v>
      </c>
      <c r="B1837" s="7" t="s">
        <v>3138</v>
      </c>
      <c r="C1837" s="7" t="s">
        <v>1420</v>
      </c>
      <c r="D1837" s="7" t="s">
        <v>3139</v>
      </c>
      <c r="E1837" s="7" t="s">
        <v>11</v>
      </c>
      <c r="F1837" s="7"/>
      <c r="G1837" s="7" t="s">
        <v>345</v>
      </c>
      <c r="H1837" s="7"/>
      <c r="I1837" s="10">
        <v>44760</v>
      </c>
      <c r="J1837" s="7" t="s">
        <v>192</v>
      </c>
      <c r="K1837" s="7" t="s">
        <v>290</v>
      </c>
      <c r="L1837" s="7" t="s">
        <v>291</v>
      </c>
      <c r="M1837" s="7" t="s">
        <v>16</v>
      </c>
    </row>
    <row r="1838" spans="1:13" x14ac:dyDescent="0.3">
      <c r="A1838" s="7" t="str">
        <f>HYPERLINK("https://hsdes.intel.com/resource/14013176987","14013176987")</f>
        <v>14013176987</v>
      </c>
      <c r="B1838" s="7" t="s">
        <v>3140</v>
      </c>
      <c r="C1838" s="7" t="s">
        <v>1420</v>
      </c>
      <c r="D1838" s="7" t="s">
        <v>3141</v>
      </c>
      <c r="E1838" s="7" t="s">
        <v>37</v>
      </c>
      <c r="F1838" s="7" t="s">
        <v>3142</v>
      </c>
      <c r="G1838" s="7" t="s">
        <v>1447</v>
      </c>
      <c r="H1838" s="7"/>
      <c r="I1838" s="10">
        <v>44760</v>
      </c>
      <c r="J1838" s="7" t="s">
        <v>192</v>
      </c>
      <c r="K1838" s="7" t="s">
        <v>157</v>
      </c>
      <c r="L1838" s="7" t="s">
        <v>158</v>
      </c>
      <c r="M1838" s="7" t="s">
        <v>21</v>
      </c>
    </row>
    <row r="1839" spans="1:13" x14ac:dyDescent="0.3">
      <c r="A1839" s="7" t="str">
        <f>HYPERLINK("https://hsdes.intel.com/resource/14013177001","14013177001")</f>
        <v>14013177001</v>
      </c>
      <c r="B1839" s="7" t="s">
        <v>3143</v>
      </c>
      <c r="C1839" s="7" t="s">
        <v>1420</v>
      </c>
      <c r="D1839" s="7" t="s">
        <v>3144</v>
      </c>
      <c r="E1839" s="7" t="s">
        <v>37</v>
      </c>
      <c r="F1839" s="7"/>
      <c r="G1839" s="7" t="s">
        <v>2963</v>
      </c>
      <c r="H1839" s="7"/>
      <c r="I1839" s="7"/>
      <c r="J1839" s="7" t="s">
        <v>192</v>
      </c>
      <c r="K1839" s="7" t="s">
        <v>523</v>
      </c>
      <c r="L1839" s="7" t="s">
        <v>291</v>
      </c>
      <c r="M1839" s="7" t="s">
        <v>16</v>
      </c>
    </row>
    <row r="1840" spans="1:13" x14ac:dyDescent="0.3">
      <c r="A1840" s="7" t="str">
        <f>HYPERLINK("https://hsdes.intel.com/resource/14013177010","14013177010")</f>
        <v>14013177010</v>
      </c>
      <c r="B1840" s="7" t="s">
        <v>3145</v>
      </c>
      <c r="C1840" s="7" t="s">
        <v>1420</v>
      </c>
      <c r="D1840" s="7" t="s">
        <v>3146</v>
      </c>
      <c r="E1840" s="7" t="s">
        <v>11</v>
      </c>
      <c r="F1840" s="7"/>
      <c r="G1840" s="7" t="s">
        <v>1849</v>
      </c>
      <c r="H1840" s="7"/>
      <c r="I1840" s="10">
        <v>44755</v>
      </c>
      <c r="J1840" s="7" t="s">
        <v>192</v>
      </c>
      <c r="K1840" s="7" t="s">
        <v>1759</v>
      </c>
      <c r="L1840" s="7" t="s">
        <v>88</v>
      </c>
      <c r="M1840" s="7" t="s">
        <v>16</v>
      </c>
    </row>
    <row r="1841" spans="1:13" x14ac:dyDescent="0.3">
      <c r="A1841" s="7" t="str">
        <f>HYPERLINK("https://hsdes.intel.com/resource/14013177012","14013177012")</f>
        <v>14013177012</v>
      </c>
      <c r="B1841" s="7" t="s">
        <v>3147</v>
      </c>
      <c r="C1841" s="7" t="s">
        <v>1420</v>
      </c>
      <c r="D1841" s="7" t="s">
        <v>3148</v>
      </c>
      <c r="E1841" s="7" t="s">
        <v>11</v>
      </c>
      <c r="F1841" s="7"/>
      <c r="G1841" s="7" t="s">
        <v>1849</v>
      </c>
      <c r="H1841" s="7"/>
      <c r="I1841" s="10">
        <v>44755</v>
      </c>
      <c r="J1841" s="7" t="s">
        <v>192</v>
      </c>
      <c r="K1841" s="7" t="s">
        <v>1759</v>
      </c>
      <c r="L1841" s="7" t="s">
        <v>88</v>
      </c>
      <c r="M1841" s="7" t="s">
        <v>16</v>
      </c>
    </row>
    <row r="1842" spans="1:13" x14ac:dyDescent="0.3">
      <c r="A1842" s="7" t="str">
        <f>HYPERLINK("https://hsdes.intel.com/resource/14013177037","14013177037")</f>
        <v>14013177037</v>
      </c>
      <c r="B1842" s="7" t="s">
        <v>3149</v>
      </c>
      <c r="C1842" s="7" t="s">
        <v>1420</v>
      </c>
      <c r="D1842" s="7" t="s">
        <v>3150</v>
      </c>
      <c r="E1842" s="7" t="s">
        <v>11</v>
      </c>
      <c r="F1842" s="7"/>
      <c r="G1842" s="7" t="s">
        <v>1447</v>
      </c>
      <c r="H1842" s="7"/>
      <c r="I1842" s="10">
        <v>44755</v>
      </c>
      <c r="J1842" s="7" t="s">
        <v>13</v>
      </c>
      <c r="K1842" s="7" t="s">
        <v>157</v>
      </c>
      <c r="L1842" s="7" t="s">
        <v>158</v>
      </c>
      <c r="M1842" s="7" t="s">
        <v>16</v>
      </c>
    </row>
    <row r="1843" spans="1:13" x14ac:dyDescent="0.3">
      <c r="A1843" s="7" t="str">
        <f>HYPERLINK("https://hsdes.intel.com/resource/14013177040","14013177040")</f>
        <v>14013177040</v>
      </c>
      <c r="B1843" s="7" t="s">
        <v>3151</v>
      </c>
      <c r="C1843" s="7" t="s">
        <v>1420</v>
      </c>
      <c r="D1843" s="7" t="s">
        <v>3152</v>
      </c>
      <c r="E1843" s="7" t="s">
        <v>11</v>
      </c>
      <c r="F1843" s="7"/>
      <c r="G1843" s="7" t="s">
        <v>1447</v>
      </c>
      <c r="H1843" s="7"/>
      <c r="I1843" s="10">
        <v>44760</v>
      </c>
      <c r="J1843" s="7" t="s">
        <v>13</v>
      </c>
      <c r="K1843" s="7" t="s">
        <v>157</v>
      </c>
      <c r="L1843" s="7" t="s">
        <v>158</v>
      </c>
      <c r="M1843" s="7" t="s">
        <v>16</v>
      </c>
    </row>
    <row r="1844" spans="1:13" x14ac:dyDescent="0.3">
      <c r="A1844" s="7" t="str">
        <f>HYPERLINK("https://hsdes.intel.com/resource/14013177044","14013177044")</f>
        <v>14013177044</v>
      </c>
      <c r="B1844" s="7" t="s">
        <v>3153</v>
      </c>
      <c r="C1844" s="7" t="s">
        <v>1420</v>
      </c>
      <c r="D1844" s="7" t="s">
        <v>3154</v>
      </c>
      <c r="E1844" s="7" t="s">
        <v>11</v>
      </c>
      <c r="F1844" s="7"/>
      <c r="G1844" s="7" t="s">
        <v>1447</v>
      </c>
      <c r="H1844" s="7"/>
      <c r="I1844" s="10">
        <v>44760</v>
      </c>
      <c r="J1844" s="7" t="s">
        <v>13</v>
      </c>
      <c r="K1844" s="7" t="s">
        <v>157</v>
      </c>
      <c r="L1844" s="7" t="s">
        <v>158</v>
      </c>
      <c r="M1844" s="7" t="s">
        <v>16</v>
      </c>
    </row>
    <row r="1845" spans="1:13" x14ac:dyDescent="0.3">
      <c r="A1845" s="7" t="str">
        <f>HYPERLINK("https://hsdes.intel.com/resource/14013177048","14013177048")</f>
        <v>14013177048</v>
      </c>
      <c r="B1845" s="7" t="s">
        <v>3155</v>
      </c>
      <c r="C1845" s="7" t="s">
        <v>1420</v>
      </c>
      <c r="D1845" s="7" t="s">
        <v>3156</v>
      </c>
      <c r="E1845" s="7" t="s">
        <v>11</v>
      </c>
      <c r="F1845" s="7"/>
      <c r="G1845" s="7" t="s">
        <v>1447</v>
      </c>
      <c r="H1845" s="7"/>
      <c r="I1845" s="10">
        <v>44760</v>
      </c>
      <c r="J1845" s="7" t="s">
        <v>13</v>
      </c>
      <c r="K1845" s="7" t="s">
        <v>157</v>
      </c>
      <c r="L1845" s="7" t="s">
        <v>158</v>
      </c>
      <c r="M1845" s="7" t="s">
        <v>16</v>
      </c>
    </row>
    <row r="1846" spans="1:13" x14ac:dyDescent="0.3">
      <c r="A1846" s="7" t="str">
        <f>HYPERLINK("https://hsdes.intel.com/resource/14013177055","14013177055")</f>
        <v>14013177055</v>
      </c>
      <c r="B1846" s="7" t="s">
        <v>3157</v>
      </c>
      <c r="C1846" s="7" t="s">
        <v>1420</v>
      </c>
      <c r="D1846" s="7" t="s">
        <v>3158</v>
      </c>
      <c r="E1846" s="7" t="s">
        <v>342</v>
      </c>
      <c r="F1846" s="7"/>
      <c r="G1846" s="7" t="s">
        <v>2963</v>
      </c>
      <c r="H1846" s="7"/>
      <c r="I1846" s="7"/>
      <c r="J1846" s="7" t="s">
        <v>192</v>
      </c>
      <c r="K1846" s="7" t="s">
        <v>14</v>
      </c>
      <c r="L1846" s="7" t="s">
        <v>291</v>
      </c>
      <c r="M1846" s="7" t="s">
        <v>16</v>
      </c>
    </row>
    <row r="1847" spans="1:13" x14ac:dyDescent="0.3">
      <c r="A1847" s="7" t="str">
        <f>HYPERLINK("https://hsdes.intel.com/resource/14013177201","14013177201")</f>
        <v>14013177201</v>
      </c>
      <c r="B1847" s="7" t="s">
        <v>3159</v>
      </c>
      <c r="C1847" s="7" t="s">
        <v>1420</v>
      </c>
      <c r="D1847" s="7" t="s">
        <v>3160</v>
      </c>
      <c r="E1847" s="7" t="s">
        <v>11</v>
      </c>
      <c r="F1847" s="7"/>
      <c r="G1847" s="7" t="s">
        <v>1447</v>
      </c>
      <c r="H1847" s="7"/>
      <c r="I1847" s="10">
        <v>44755</v>
      </c>
      <c r="J1847" s="7" t="s">
        <v>13</v>
      </c>
      <c r="K1847" s="7" t="s">
        <v>157</v>
      </c>
      <c r="L1847" s="7" t="s">
        <v>158</v>
      </c>
      <c r="M1847" s="7" t="s">
        <v>16</v>
      </c>
    </row>
    <row r="1848" spans="1:13" x14ac:dyDescent="0.3">
      <c r="A1848" s="7" t="str">
        <f>HYPERLINK("https://hsdes.intel.com/resource/14013177323","14013177323")</f>
        <v>14013177323</v>
      </c>
      <c r="B1848" s="7" t="s">
        <v>3161</v>
      </c>
      <c r="C1848" s="7" t="s">
        <v>1420</v>
      </c>
      <c r="D1848" s="7" t="s">
        <v>3162</v>
      </c>
      <c r="E1848" s="7" t="s">
        <v>11</v>
      </c>
      <c r="F1848" s="7"/>
      <c r="G1848" s="7" t="s">
        <v>1447</v>
      </c>
      <c r="H1848" s="7"/>
      <c r="I1848" s="10">
        <v>44755</v>
      </c>
      <c r="J1848" s="7" t="s">
        <v>13</v>
      </c>
      <c r="K1848" s="7" t="s">
        <v>157</v>
      </c>
      <c r="L1848" s="7" t="s">
        <v>158</v>
      </c>
      <c r="M1848" s="7" t="s">
        <v>16</v>
      </c>
    </row>
    <row r="1849" spans="1:13" x14ac:dyDescent="0.3">
      <c r="A1849" s="7" t="str">
        <f>HYPERLINK("https://hsdes.intel.com/resource/14013177326","14013177326")</f>
        <v>14013177326</v>
      </c>
      <c r="B1849" s="7" t="s">
        <v>3163</v>
      </c>
      <c r="C1849" s="7" t="s">
        <v>1420</v>
      </c>
      <c r="D1849" s="7" t="s">
        <v>3164</v>
      </c>
      <c r="E1849" s="7" t="s">
        <v>342</v>
      </c>
      <c r="F1849" s="7"/>
      <c r="G1849" s="7" t="s">
        <v>2963</v>
      </c>
      <c r="H1849" s="7"/>
      <c r="I1849" s="7"/>
      <c r="J1849" s="7" t="s">
        <v>192</v>
      </c>
      <c r="K1849" s="7" t="s">
        <v>3165</v>
      </c>
      <c r="L1849" s="7" t="s">
        <v>291</v>
      </c>
      <c r="M1849" s="7" t="s">
        <v>16</v>
      </c>
    </row>
    <row r="1850" spans="1:13" x14ac:dyDescent="0.3">
      <c r="A1850" s="7" t="str">
        <f>HYPERLINK("https://hsdes.intel.com/resource/14013177328","14013177328")</f>
        <v>14013177328</v>
      </c>
      <c r="B1850" s="7" t="s">
        <v>3166</v>
      </c>
      <c r="C1850" s="7" t="s">
        <v>1420</v>
      </c>
      <c r="D1850" s="7" t="s">
        <v>3167</v>
      </c>
      <c r="E1850" s="7" t="s">
        <v>342</v>
      </c>
      <c r="F1850" s="7"/>
      <c r="G1850" s="7" t="s">
        <v>2963</v>
      </c>
      <c r="H1850" s="7"/>
      <c r="I1850" s="7"/>
      <c r="J1850" s="7" t="s">
        <v>192</v>
      </c>
      <c r="K1850" s="7" t="s">
        <v>3165</v>
      </c>
      <c r="L1850" s="7" t="s">
        <v>291</v>
      </c>
      <c r="M1850" s="7" t="s">
        <v>16</v>
      </c>
    </row>
    <row r="1851" spans="1:13" x14ac:dyDescent="0.3">
      <c r="A1851" s="7" t="str">
        <f>HYPERLINK("https://hsdes.intel.com/resource/14013177627","14013177627")</f>
        <v>14013177627</v>
      </c>
      <c r="B1851" s="7" t="s">
        <v>3168</v>
      </c>
      <c r="C1851" s="7" t="s">
        <v>1420</v>
      </c>
      <c r="D1851" s="7" t="s">
        <v>3169</v>
      </c>
      <c r="E1851" s="7" t="s">
        <v>11</v>
      </c>
      <c r="F1851" s="7"/>
      <c r="G1851" s="7" t="s">
        <v>1447</v>
      </c>
      <c r="H1851" s="7"/>
      <c r="I1851" s="10">
        <v>44756</v>
      </c>
      <c r="J1851" s="7" t="s">
        <v>13</v>
      </c>
      <c r="K1851" s="7" t="s">
        <v>157</v>
      </c>
      <c r="L1851" s="7" t="s">
        <v>158</v>
      </c>
      <c r="M1851" s="7" t="s">
        <v>16</v>
      </c>
    </row>
    <row r="1852" spans="1:13" x14ac:dyDescent="0.3">
      <c r="A1852" s="7" t="str">
        <f>HYPERLINK("https://hsdes.intel.com/resource/14013177728","14013177728")</f>
        <v>14013177728</v>
      </c>
      <c r="B1852" s="7" t="s">
        <v>3170</v>
      </c>
      <c r="C1852" s="7" t="s">
        <v>1420</v>
      </c>
      <c r="D1852" s="7" t="s">
        <v>3171</v>
      </c>
      <c r="E1852" s="7" t="s">
        <v>37</v>
      </c>
      <c r="F1852" s="7"/>
      <c r="G1852" s="7" t="s">
        <v>1447</v>
      </c>
      <c r="H1852" s="7"/>
      <c r="I1852" s="10">
        <v>44757</v>
      </c>
      <c r="J1852" s="7" t="s">
        <v>13</v>
      </c>
      <c r="K1852" s="7" t="s">
        <v>14</v>
      </c>
      <c r="L1852" s="7" t="s">
        <v>88</v>
      </c>
      <c r="M1852" s="7" t="s">
        <v>16</v>
      </c>
    </row>
    <row r="1853" spans="1:13" x14ac:dyDescent="0.3">
      <c r="A1853" s="7" t="str">
        <f>HYPERLINK("https://hsdes.intel.com/resource/14013177730","14013177730")</f>
        <v>14013177730</v>
      </c>
      <c r="B1853" s="7" t="s">
        <v>3172</v>
      </c>
      <c r="C1853" s="7" t="s">
        <v>1420</v>
      </c>
      <c r="D1853" s="7" t="s">
        <v>3173</v>
      </c>
      <c r="E1853" s="7" t="s">
        <v>11</v>
      </c>
      <c r="F1853" s="7"/>
      <c r="G1853" s="7" t="s">
        <v>1849</v>
      </c>
      <c r="H1853" s="7"/>
      <c r="I1853" s="10">
        <v>44755</v>
      </c>
      <c r="J1853" s="7" t="s">
        <v>13</v>
      </c>
      <c r="K1853" s="7" t="s">
        <v>14</v>
      </c>
      <c r="L1853" s="7" t="s">
        <v>88</v>
      </c>
      <c r="M1853" s="7" t="s">
        <v>16</v>
      </c>
    </row>
    <row r="1854" spans="1:13" x14ac:dyDescent="0.3">
      <c r="A1854" s="7" t="str">
        <f>HYPERLINK("https://hsdes.intel.com/resource/14013177749","14013177749")</f>
        <v>14013177749</v>
      </c>
      <c r="B1854" s="7" t="s">
        <v>3174</v>
      </c>
      <c r="C1854" s="7" t="s">
        <v>1420</v>
      </c>
      <c r="D1854" s="7" t="s">
        <v>3175</v>
      </c>
      <c r="E1854" s="7" t="s">
        <v>37</v>
      </c>
      <c r="F1854" s="7"/>
      <c r="G1854" s="7" t="s">
        <v>1447</v>
      </c>
      <c r="H1854" s="7"/>
      <c r="I1854" s="10">
        <v>44757</v>
      </c>
      <c r="J1854" s="7" t="s">
        <v>13</v>
      </c>
      <c r="K1854" s="7" t="s">
        <v>14</v>
      </c>
      <c r="L1854" s="7" t="s">
        <v>88</v>
      </c>
      <c r="M1854" s="7" t="s">
        <v>16</v>
      </c>
    </row>
    <row r="1855" spans="1:13" x14ac:dyDescent="0.3">
      <c r="A1855" s="7" t="str">
        <f>HYPERLINK("https://hsdes.intel.com/resource/14013177771","14013177771")</f>
        <v>14013177771</v>
      </c>
      <c r="B1855" s="7" t="s">
        <v>3176</v>
      </c>
      <c r="C1855" s="7" t="s">
        <v>1420</v>
      </c>
      <c r="D1855" s="7" t="s">
        <v>3177</v>
      </c>
      <c r="E1855" s="7" t="s">
        <v>342</v>
      </c>
      <c r="F1855" s="7"/>
      <c r="G1855" s="7" t="s">
        <v>2963</v>
      </c>
      <c r="H1855" s="7"/>
      <c r="I1855" s="7"/>
      <c r="J1855" s="7" t="s">
        <v>13</v>
      </c>
      <c r="K1855" s="7" t="s">
        <v>14</v>
      </c>
      <c r="L1855" s="7" t="s">
        <v>88</v>
      </c>
      <c r="M1855" s="7" t="s">
        <v>16</v>
      </c>
    </row>
    <row r="1856" spans="1:13" x14ac:dyDescent="0.3">
      <c r="A1856" s="7" t="str">
        <f>HYPERLINK("https://hsdes.intel.com/resource/14013177780","14013177780")</f>
        <v>14013177780</v>
      </c>
      <c r="B1856" s="7" t="s">
        <v>3178</v>
      </c>
      <c r="C1856" s="7" t="s">
        <v>1420</v>
      </c>
      <c r="D1856" s="7" t="s">
        <v>3179</v>
      </c>
      <c r="E1856" s="7" t="s">
        <v>11</v>
      </c>
      <c r="F1856" s="7"/>
      <c r="G1856" s="7" t="s">
        <v>1700</v>
      </c>
      <c r="H1856" s="7"/>
      <c r="I1856" s="10">
        <v>44757</v>
      </c>
      <c r="J1856" s="7" t="s">
        <v>13</v>
      </c>
      <c r="K1856" s="7" t="s">
        <v>157</v>
      </c>
      <c r="L1856" s="7" t="s">
        <v>158</v>
      </c>
      <c r="M1856" s="7" t="s">
        <v>16</v>
      </c>
    </row>
    <row r="1857" spans="1:13" x14ac:dyDescent="0.3">
      <c r="A1857" s="7" t="str">
        <f>HYPERLINK("https://hsdes.intel.com/resource/14013177783","14013177783")</f>
        <v>14013177783</v>
      </c>
      <c r="B1857" s="7" t="s">
        <v>3180</v>
      </c>
      <c r="C1857" s="7" t="s">
        <v>1420</v>
      </c>
      <c r="D1857" s="7" t="s">
        <v>3181</v>
      </c>
      <c r="E1857" s="7" t="s">
        <v>11</v>
      </c>
      <c r="F1857" s="7"/>
      <c r="G1857" s="7" t="s">
        <v>841</v>
      </c>
      <c r="H1857" s="7"/>
      <c r="I1857" s="10">
        <v>44763</v>
      </c>
      <c r="J1857" s="7" t="s">
        <v>13</v>
      </c>
      <c r="K1857" s="7" t="s">
        <v>157</v>
      </c>
      <c r="L1857" s="7" t="s">
        <v>158</v>
      </c>
      <c r="M1857" s="7" t="s">
        <v>24</v>
      </c>
    </row>
    <row r="1858" spans="1:13" x14ac:dyDescent="0.3">
      <c r="A1858" s="7" t="str">
        <f>HYPERLINK("https://hsdes.intel.com/resource/14013177817","14013177817")</f>
        <v>14013177817</v>
      </c>
      <c r="B1858" s="7" t="s">
        <v>3182</v>
      </c>
      <c r="C1858" s="7" t="s">
        <v>1420</v>
      </c>
      <c r="D1858" s="7" t="s">
        <v>3183</v>
      </c>
      <c r="E1858" s="7" t="s">
        <v>37</v>
      </c>
      <c r="F1858" s="7"/>
      <c r="G1858" s="7" t="s">
        <v>2963</v>
      </c>
      <c r="H1858" s="7"/>
      <c r="I1858" s="7"/>
      <c r="J1858" s="7" t="s">
        <v>13</v>
      </c>
      <c r="K1858" s="7" t="s">
        <v>14</v>
      </c>
      <c r="L1858" s="7" t="s">
        <v>88</v>
      </c>
      <c r="M1858" s="7" t="s">
        <v>16</v>
      </c>
    </row>
    <row r="1859" spans="1:13" x14ac:dyDescent="0.3">
      <c r="A1859" s="7" t="str">
        <f>HYPERLINK("https://hsdes.intel.com/resource/14013177862","14013177862")</f>
        <v>14013177862</v>
      </c>
      <c r="B1859" s="7" t="s">
        <v>3184</v>
      </c>
      <c r="C1859" s="7" t="s">
        <v>1420</v>
      </c>
      <c r="D1859" s="7" t="s">
        <v>3185</v>
      </c>
      <c r="E1859" s="7" t="s">
        <v>342</v>
      </c>
      <c r="F1859" s="7"/>
      <c r="G1859" s="7" t="s">
        <v>2963</v>
      </c>
      <c r="H1859" s="7"/>
      <c r="I1859" s="7"/>
      <c r="J1859" s="7" t="s">
        <v>13</v>
      </c>
      <c r="K1859" s="7" t="s">
        <v>14</v>
      </c>
      <c r="L1859" s="7" t="s">
        <v>88</v>
      </c>
      <c r="M1859" s="7" t="s">
        <v>16</v>
      </c>
    </row>
    <row r="1860" spans="1:13" x14ac:dyDescent="0.3">
      <c r="A1860" s="7" t="str">
        <f>HYPERLINK("https://hsdes.intel.com/resource/14013177873","14013177873")</f>
        <v>14013177873</v>
      </c>
      <c r="B1860" s="7" t="s">
        <v>3186</v>
      </c>
      <c r="C1860" s="7" t="s">
        <v>1420</v>
      </c>
      <c r="D1860" s="7" t="s">
        <v>3187</v>
      </c>
      <c r="E1860" s="7" t="s">
        <v>342</v>
      </c>
      <c r="F1860" s="7"/>
      <c r="G1860" s="7" t="s">
        <v>2963</v>
      </c>
      <c r="H1860" s="7"/>
      <c r="I1860" s="7"/>
      <c r="J1860" s="7" t="s">
        <v>13</v>
      </c>
      <c r="K1860" s="7" t="s">
        <v>14</v>
      </c>
      <c r="L1860" s="7" t="s">
        <v>88</v>
      </c>
      <c r="M1860" s="7" t="s">
        <v>16</v>
      </c>
    </row>
    <row r="1861" spans="1:13" x14ac:dyDescent="0.3">
      <c r="A1861" s="7" t="str">
        <f>HYPERLINK("https://hsdes.intel.com/resource/14013177895","14013177895")</f>
        <v>14013177895</v>
      </c>
      <c r="B1861" s="7" t="s">
        <v>3188</v>
      </c>
      <c r="C1861" s="7" t="s">
        <v>1420</v>
      </c>
      <c r="D1861" s="7" t="s">
        <v>3189</v>
      </c>
      <c r="E1861" s="7" t="s">
        <v>11</v>
      </c>
      <c r="F1861" s="7"/>
      <c r="G1861" s="7" t="s">
        <v>836</v>
      </c>
      <c r="H1861" s="7"/>
      <c r="I1861" s="10">
        <v>44755</v>
      </c>
      <c r="J1861" s="7" t="s">
        <v>192</v>
      </c>
      <c r="K1861" s="7" t="s">
        <v>290</v>
      </c>
      <c r="L1861" s="7" t="s">
        <v>291</v>
      </c>
      <c r="M1861" s="7" t="s">
        <v>16</v>
      </c>
    </row>
    <row r="1862" spans="1:13" x14ac:dyDescent="0.3">
      <c r="A1862" s="7" t="str">
        <f>HYPERLINK("https://hsdes.intel.com/resource/14013177905","14013177905")</f>
        <v>14013177905</v>
      </c>
      <c r="B1862" s="7" t="s">
        <v>3190</v>
      </c>
      <c r="C1862" s="7" t="s">
        <v>1420</v>
      </c>
      <c r="D1862" s="7" t="s">
        <v>3191</v>
      </c>
      <c r="E1862" s="7" t="s">
        <v>11</v>
      </c>
      <c r="F1862" s="7"/>
      <c r="G1862" s="7" t="s">
        <v>1447</v>
      </c>
      <c r="H1862" s="7"/>
      <c r="I1862" s="10">
        <v>44757</v>
      </c>
      <c r="J1862" s="7" t="s">
        <v>13</v>
      </c>
      <c r="K1862" s="7" t="s">
        <v>157</v>
      </c>
      <c r="L1862" s="7" t="s">
        <v>158</v>
      </c>
      <c r="M1862" s="7" t="s">
        <v>16</v>
      </c>
    </row>
    <row r="1863" spans="1:13" x14ac:dyDescent="0.3">
      <c r="A1863" s="7" t="str">
        <f>HYPERLINK("https://hsdes.intel.com/resource/14013177912","14013177912")</f>
        <v>14013177912</v>
      </c>
      <c r="B1863" s="7" t="s">
        <v>3192</v>
      </c>
      <c r="C1863" s="7" t="s">
        <v>1420</v>
      </c>
      <c r="D1863" s="7" t="s">
        <v>3193</v>
      </c>
      <c r="E1863" s="7" t="s">
        <v>342</v>
      </c>
      <c r="F1863" s="7"/>
      <c r="G1863" s="7" t="s">
        <v>2963</v>
      </c>
      <c r="H1863" s="7"/>
      <c r="I1863" s="7"/>
      <c r="J1863" s="7" t="s">
        <v>192</v>
      </c>
      <c r="K1863" s="7" t="s">
        <v>290</v>
      </c>
      <c r="L1863" s="7" t="s">
        <v>291</v>
      </c>
      <c r="M1863" s="7" t="s">
        <v>16</v>
      </c>
    </row>
    <row r="1864" spans="1:13" x14ac:dyDescent="0.3">
      <c r="A1864" s="7" t="str">
        <f>HYPERLINK("https://hsdes.intel.com/resource/14013177951","14013177951")</f>
        <v>14013177951</v>
      </c>
      <c r="B1864" s="7" t="s">
        <v>3194</v>
      </c>
      <c r="C1864" s="7" t="s">
        <v>1420</v>
      </c>
      <c r="D1864" s="7" t="s">
        <v>3195</v>
      </c>
      <c r="E1864" s="7" t="s">
        <v>11</v>
      </c>
      <c r="F1864" s="7" t="s">
        <v>1920</v>
      </c>
      <c r="G1864" s="7" t="s">
        <v>354</v>
      </c>
      <c r="H1864" s="7"/>
      <c r="I1864" s="10">
        <v>44762</v>
      </c>
      <c r="J1864" s="7" t="s">
        <v>13</v>
      </c>
      <c r="K1864" s="7" t="s">
        <v>296</v>
      </c>
      <c r="L1864" s="7" t="s">
        <v>297</v>
      </c>
      <c r="M1864" s="7" t="s">
        <v>21</v>
      </c>
    </row>
    <row r="1865" spans="1:13" x14ac:dyDescent="0.3">
      <c r="A1865" s="7" t="str">
        <f>HYPERLINK("https://hsdes.intel.com/resource/14013177956","14013177956")</f>
        <v>14013177956</v>
      </c>
      <c r="B1865" s="7" t="s">
        <v>3196</v>
      </c>
      <c r="C1865" s="7" t="s">
        <v>1420</v>
      </c>
      <c r="D1865" s="7" t="s">
        <v>3197</v>
      </c>
      <c r="E1865" s="7" t="s">
        <v>32</v>
      </c>
      <c r="F1865" t="s">
        <v>3198</v>
      </c>
      <c r="G1865" s="7" t="s">
        <v>841</v>
      </c>
      <c r="H1865" s="7" t="s">
        <v>343</v>
      </c>
      <c r="I1865" s="10">
        <v>44763</v>
      </c>
      <c r="J1865" s="7" t="s">
        <v>13</v>
      </c>
      <c r="K1865" s="7" t="s">
        <v>14</v>
      </c>
      <c r="L1865" s="7" t="s">
        <v>88</v>
      </c>
      <c r="M1865" s="7" t="s">
        <v>24</v>
      </c>
    </row>
    <row r="1866" spans="1:13" x14ac:dyDescent="0.3">
      <c r="A1866" s="7" t="str">
        <f>HYPERLINK("https://hsdes.intel.com/resource/14013177997","14013177997")</f>
        <v>14013177997</v>
      </c>
      <c r="B1866" s="7" t="s">
        <v>3199</v>
      </c>
      <c r="C1866" s="7" t="s">
        <v>1420</v>
      </c>
      <c r="D1866" s="7" t="s">
        <v>3200</v>
      </c>
      <c r="E1866" s="7" t="s">
        <v>342</v>
      </c>
      <c r="F1866" s="7"/>
      <c r="G1866" s="7" t="s">
        <v>2963</v>
      </c>
      <c r="H1866" s="7"/>
      <c r="I1866" s="7"/>
      <c r="J1866" s="7" t="s">
        <v>13</v>
      </c>
      <c r="K1866" s="7" t="s">
        <v>553</v>
      </c>
      <c r="L1866" s="7" t="s">
        <v>291</v>
      </c>
      <c r="M1866" s="7" t="s">
        <v>16</v>
      </c>
    </row>
    <row r="1867" spans="1:13" x14ac:dyDescent="0.3">
      <c r="A1867" s="7" t="str">
        <f>HYPERLINK("https://hsdes.intel.com/resource/14013178034","14013178034")</f>
        <v>14013178034</v>
      </c>
      <c r="B1867" s="7" t="s">
        <v>3201</v>
      </c>
      <c r="C1867" s="7" t="s">
        <v>1420</v>
      </c>
      <c r="D1867" s="7" t="s">
        <v>3202</v>
      </c>
      <c r="E1867" s="7" t="s">
        <v>342</v>
      </c>
      <c r="F1867" s="7"/>
      <c r="G1867" s="7" t="s">
        <v>2963</v>
      </c>
      <c r="H1867" s="7"/>
      <c r="I1867" s="7"/>
      <c r="J1867" s="7" t="s">
        <v>13</v>
      </c>
      <c r="K1867" s="7" t="s">
        <v>1759</v>
      </c>
      <c r="L1867" s="7" t="s">
        <v>88</v>
      </c>
      <c r="M1867" s="7" t="s">
        <v>16</v>
      </c>
    </row>
    <row r="1868" spans="1:13" x14ac:dyDescent="0.3">
      <c r="A1868" s="7" t="str">
        <f>HYPERLINK("https://hsdes.intel.com/resource/14013178035","14013178035")</f>
        <v>14013178035</v>
      </c>
      <c r="B1868" s="7" t="s">
        <v>3203</v>
      </c>
      <c r="C1868" s="7" t="s">
        <v>1420</v>
      </c>
      <c r="D1868" s="7" t="s">
        <v>3204</v>
      </c>
      <c r="E1868" s="7" t="s">
        <v>342</v>
      </c>
      <c r="F1868" s="7"/>
      <c r="G1868" s="7" t="s">
        <v>2963</v>
      </c>
      <c r="H1868" s="7"/>
      <c r="I1868" s="7"/>
      <c r="J1868" s="7" t="s">
        <v>13</v>
      </c>
      <c r="K1868" s="7" t="s">
        <v>1759</v>
      </c>
      <c r="L1868" s="7" t="s">
        <v>88</v>
      </c>
      <c r="M1868" s="7" t="s">
        <v>16</v>
      </c>
    </row>
    <row r="1869" spans="1:13" x14ac:dyDescent="0.3">
      <c r="A1869" s="7" t="str">
        <f>HYPERLINK("https://hsdes.intel.com/resource/14013178072","14013178072")</f>
        <v>14013178072</v>
      </c>
      <c r="B1869" s="7" t="s">
        <v>3205</v>
      </c>
      <c r="C1869" s="7" t="s">
        <v>1420</v>
      </c>
      <c r="D1869" s="7" t="s">
        <v>3206</v>
      </c>
      <c r="E1869" s="7" t="s">
        <v>11</v>
      </c>
      <c r="F1869" s="7"/>
      <c r="G1869" s="7" t="s">
        <v>345</v>
      </c>
      <c r="H1869" s="7"/>
      <c r="I1869" s="10">
        <v>44760</v>
      </c>
      <c r="J1869" s="7" t="s">
        <v>13</v>
      </c>
      <c r="K1869" s="7" t="s">
        <v>147</v>
      </c>
      <c r="L1869" s="7" t="s">
        <v>29</v>
      </c>
      <c r="M1869" s="7" t="s">
        <v>24</v>
      </c>
    </row>
    <row r="1870" spans="1:13" x14ac:dyDescent="0.3">
      <c r="A1870" s="7">
        <v>14013178162</v>
      </c>
      <c r="B1870" s="7" t="s">
        <v>3207</v>
      </c>
      <c r="C1870" s="7" t="s">
        <v>1420</v>
      </c>
      <c r="D1870" s="7" t="s">
        <v>3208</v>
      </c>
      <c r="E1870" s="7" t="s">
        <v>37</v>
      </c>
      <c r="F1870" s="7" t="s">
        <v>3209</v>
      </c>
      <c r="G1870" s="7" t="s">
        <v>345</v>
      </c>
      <c r="H1870" s="7"/>
      <c r="I1870" s="10">
        <v>44760</v>
      </c>
      <c r="J1870" s="7" t="s">
        <v>13</v>
      </c>
      <c r="K1870" s="7" t="s">
        <v>147</v>
      </c>
      <c r="L1870" s="7" t="s">
        <v>29</v>
      </c>
      <c r="M1870" s="7" t="s">
        <v>16</v>
      </c>
    </row>
    <row r="1871" spans="1:13" x14ac:dyDescent="0.3">
      <c r="A1871" s="7" t="str">
        <f>HYPERLINK("https://hsdes.intel.com/resource/14013178197","14013178197")</f>
        <v>14013178197</v>
      </c>
      <c r="B1871" s="7" t="s">
        <v>3210</v>
      </c>
      <c r="C1871" s="7" t="s">
        <v>1420</v>
      </c>
      <c r="D1871" s="7" t="s">
        <v>3211</v>
      </c>
      <c r="E1871" s="7" t="s">
        <v>11</v>
      </c>
      <c r="F1871" s="7"/>
      <c r="G1871" s="7" t="s">
        <v>836</v>
      </c>
      <c r="H1871" s="7"/>
      <c r="I1871" s="10">
        <v>44755</v>
      </c>
      <c r="J1871" s="7" t="s">
        <v>192</v>
      </c>
      <c r="K1871" s="7" t="s">
        <v>14</v>
      </c>
      <c r="L1871" s="7" t="s">
        <v>291</v>
      </c>
      <c r="M1871" s="7" t="s">
        <v>16</v>
      </c>
    </row>
    <row r="1872" spans="1:13" x14ac:dyDescent="0.3">
      <c r="A1872" s="7" t="str">
        <f>HYPERLINK("https://hsdes.intel.com/resource/14013178206","14013178206")</f>
        <v>14013178206</v>
      </c>
      <c r="B1872" s="7" t="s">
        <v>3212</v>
      </c>
      <c r="C1872" s="7" t="s">
        <v>1420</v>
      </c>
      <c r="D1872" s="7" t="s">
        <v>3213</v>
      </c>
      <c r="E1872" s="7" t="s">
        <v>342</v>
      </c>
      <c r="F1872" s="7"/>
      <c r="G1872" s="7" t="s">
        <v>2963</v>
      </c>
      <c r="H1872" s="7"/>
      <c r="I1872" s="7"/>
      <c r="J1872" s="7" t="s">
        <v>192</v>
      </c>
      <c r="K1872" s="7" t="s">
        <v>14</v>
      </c>
      <c r="L1872" s="7" t="s">
        <v>291</v>
      </c>
      <c r="M1872" s="7" t="s">
        <v>16</v>
      </c>
    </row>
    <row r="1873" spans="1:13" x14ac:dyDescent="0.3">
      <c r="A1873" s="7" t="str">
        <f>HYPERLINK("https://hsdes.intel.com/resource/14013178209","14013178209")</f>
        <v>14013178209</v>
      </c>
      <c r="B1873" s="7" t="s">
        <v>1367</v>
      </c>
      <c r="C1873" s="7" t="s">
        <v>1420</v>
      </c>
      <c r="D1873" s="7" t="s">
        <v>1368</v>
      </c>
      <c r="E1873" s="7"/>
      <c r="F1873" s="7"/>
      <c r="G1873" s="7" t="s">
        <v>833</v>
      </c>
      <c r="H1873" s="7"/>
      <c r="I1873" s="7"/>
      <c r="J1873" s="7" t="s">
        <v>192</v>
      </c>
      <c r="K1873" s="7" t="s">
        <v>14</v>
      </c>
      <c r="L1873" s="7" t="s">
        <v>291</v>
      </c>
      <c r="M1873" s="7" t="s">
        <v>16</v>
      </c>
    </row>
    <row r="1874" spans="1:13" x14ac:dyDescent="0.3">
      <c r="A1874" s="7" t="str">
        <f>HYPERLINK("https://hsdes.intel.com/resource/14013178217","14013178217")</f>
        <v>14013178217</v>
      </c>
      <c r="B1874" s="7" t="s">
        <v>3214</v>
      </c>
      <c r="C1874" s="7" t="s">
        <v>1420</v>
      </c>
      <c r="D1874" s="7" t="s">
        <v>3215</v>
      </c>
      <c r="E1874" s="7" t="s">
        <v>342</v>
      </c>
      <c r="F1874" s="7"/>
      <c r="G1874" s="7" t="s">
        <v>2963</v>
      </c>
      <c r="H1874" s="7"/>
      <c r="I1874" s="7"/>
      <c r="J1874" s="7" t="s">
        <v>13</v>
      </c>
      <c r="K1874" s="7" t="s">
        <v>157</v>
      </c>
      <c r="L1874" s="7" t="s">
        <v>291</v>
      </c>
      <c r="M1874" s="7" t="s">
        <v>24</v>
      </c>
    </row>
    <row r="1875" spans="1:13" x14ac:dyDescent="0.3">
      <c r="A1875" s="7" t="str">
        <f>HYPERLINK("https://hsdes.intel.com/resource/14013178238","14013178238")</f>
        <v>14013178238</v>
      </c>
      <c r="B1875" s="7" t="s">
        <v>3216</v>
      </c>
      <c r="C1875" s="7" t="s">
        <v>1420</v>
      </c>
      <c r="D1875" s="7" t="s">
        <v>3217</v>
      </c>
      <c r="E1875" s="7" t="s">
        <v>342</v>
      </c>
      <c r="F1875" s="7"/>
      <c r="G1875" s="7" t="s">
        <v>2963</v>
      </c>
      <c r="H1875" s="7"/>
      <c r="I1875" s="7"/>
      <c r="J1875" s="7" t="s">
        <v>13</v>
      </c>
      <c r="K1875" s="7" t="s">
        <v>14</v>
      </c>
      <c r="L1875" s="7" t="s">
        <v>291</v>
      </c>
      <c r="M1875" s="7" t="s">
        <v>24</v>
      </c>
    </row>
    <row r="1876" spans="1:13" x14ac:dyDescent="0.3">
      <c r="A1876" s="7" t="str">
        <f>HYPERLINK("https://hsdes.intel.com/resource/14013178242","14013178242")</f>
        <v>14013178242</v>
      </c>
      <c r="B1876" s="7" t="s">
        <v>3218</v>
      </c>
      <c r="C1876" s="7" t="s">
        <v>1420</v>
      </c>
      <c r="D1876" s="7" t="s">
        <v>3219</v>
      </c>
      <c r="E1876" s="7" t="s">
        <v>342</v>
      </c>
      <c r="F1876" s="7"/>
      <c r="G1876" s="7" t="s">
        <v>2963</v>
      </c>
      <c r="H1876" s="7"/>
      <c r="I1876" s="7"/>
      <c r="J1876" s="7" t="s">
        <v>13</v>
      </c>
      <c r="K1876" s="7" t="s">
        <v>3220</v>
      </c>
      <c r="L1876" s="7" t="s">
        <v>291</v>
      </c>
      <c r="M1876" s="7" t="s">
        <v>24</v>
      </c>
    </row>
    <row r="1877" spans="1:13" x14ac:dyDescent="0.3">
      <c r="A1877" s="7" t="str">
        <f>HYPERLINK("https://hsdes.intel.com/resource/14013178267","14013178267")</f>
        <v>14013178267</v>
      </c>
      <c r="B1877" s="7" t="s">
        <v>3221</v>
      </c>
      <c r="C1877" s="7" t="s">
        <v>1420</v>
      </c>
      <c r="D1877" s="7" t="s">
        <v>3222</v>
      </c>
      <c r="E1877" s="7" t="s">
        <v>11</v>
      </c>
      <c r="F1877" s="27"/>
      <c r="G1877" s="7" t="s">
        <v>1447</v>
      </c>
      <c r="H1877" s="7" t="s">
        <v>345</v>
      </c>
      <c r="I1877" s="10">
        <v>44767</v>
      </c>
      <c r="J1877" s="7" t="s">
        <v>192</v>
      </c>
      <c r="K1877" s="7" t="s">
        <v>290</v>
      </c>
      <c r="L1877" s="7" t="s">
        <v>158</v>
      </c>
      <c r="M1877" s="7" t="s">
        <v>16</v>
      </c>
    </row>
    <row r="1878" spans="1:13" x14ac:dyDescent="0.3">
      <c r="A1878" s="7" t="str">
        <f>HYPERLINK("https://hsdes.intel.com/resource/14013178278","14013178278")</f>
        <v>14013178278</v>
      </c>
      <c r="B1878" s="7" t="s">
        <v>3223</v>
      </c>
      <c r="C1878" s="7" t="s">
        <v>1420</v>
      </c>
      <c r="D1878" s="7" t="s">
        <v>3224</v>
      </c>
      <c r="E1878" s="7" t="s">
        <v>342</v>
      </c>
      <c r="F1878" s="7"/>
      <c r="G1878" s="7" t="s">
        <v>2963</v>
      </c>
      <c r="H1878" s="7"/>
      <c r="I1878" s="7"/>
      <c r="J1878" s="7" t="s">
        <v>13</v>
      </c>
      <c r="K1878" s="7" t="s">
        <v>290</v>
      </c>
      <c r="L1878" s="7" t="s">
        <v>291</v>
      </c>
      <c r="M1878" s="7" t="s">
        <v>16</v>
      </c>
    </row>
    <row r="1879" spans="1:13" x14ac:dyDescent="0.3">
      <c r="A1879" s="7" t="str">
        <f>HYPERLINK("https://hsdes.intel.com/resource/14013178282","14013178282")</f>
        <v>14013178282</v>
      </c>
      <c r="B1879" s="7" t="s">
        <v>3225</v>
      </c>
      <c r="C1879" s="7" t="s">
        <v>1420</v>
      </c>
      <c r="D1879" s="7" t="s">
        <v>3226</v>
      </c>
      <c r="E1879" s="7" t="s">
        <v>11</v>
      </c>
      <c r="F1879" s="7"/>
      <c r="G1879" s="7" t="s">
        <v>836</v>
      </c>
      <c r="H1879" s="7"/>
      <c r="I1879" s="10">
        <v>44755</v>
      </c>
      <c r="J1879" s="7" t="s">
        <v>13</v>
      </c>
      <c r="K1879" s="7" t="s">
        <v>523</v>
      </c>
      <c r="L1879" s="7" t="s">
        <v>291</v>
      </c>
      <c r="M1879" s="7" t="s">
        <v>16</v>
      </c>
    </row>
    <row r="1880" spans="1:13" x14ac:dyDescent="0.3">
      <c r="A1880" s="7" t="str">
        <f>HYPERLINK("https://hsdes.intel.com/resource/14013178302","14013178302")</f>
        <v>14013178302</v>
      </c>
      <c r="B1880" s="7" t="s">
        <v>3227</v>
      </c>
      <c r="C1880" s="7" t="s">
        <v>1420</v>
      </c>
      <c r="D1880" s="7" t="s">
        <v>3228</v>
      </c>
      <c r="E1880" s="7" t="s">
        <v>11</v>
      </c>
      <c r="F1880" s="7"/>
      <c r="G1880" s="7" t="s">
        <v>836</v>
      </c>
      <c r="H1880" s="7"/>
      <c r="I1880" s="10">
        <v>44755</v>
      </c>
      <c r="J1880" s="7" t="s">
        <v>13</v>
      </c>
      <c r="K1880" s="7" t="s">
        <v>290</v>
      </c>
      <c r="L1880" s="7" t="s">
        <v>291</v>
      </c>
      <c r="M1880" s="7" t="s">
        <v>16</v>
      </c>
    </row>
    <row r="1881" spans="1:13" x14ac:dyDescent="0.3">
      <c r="A1881" s="7" t="str">
        <f>HYPERLINK("https://hsdes.intel.com/resource/14013178315","14013178315")</f>
        <v>14013178315</v>
      </c>
      <c r="B1881" s="7" t="s">
        <v>3229</v>
      </c>
      <c r="C1881" s="7" t="s">
        <v>1420</v>
      </c>
      <c r="D1881" s="7" t="s">
        <v>3230</v>
      </c>
      <c r="E1881" s="7" t="s">
        <v>342</v>
      </c>
      <c r="F1881" s="7"/>
      <c r="G1881" s="7" t="s">
        <v>2963</v>
      </c>
      <c r="H1881" s="7"/>
      <c r="I1881" s="7"/>
      <c r="J1881" s="7" t="s">
        <v>13</v>
      </c>
      <c r="K1881" s="7" t="s">
        <v>553</v>
      </c>
      <c r="L1881" s="7" t="s">
        <v>660</v>
      </c>
      <c r="M1881" s="7" t="s">
        <v>16</v>
      </c>
    </row>
    <row r="1882" spans="1:13" x14ac:dyDescent="0.3">
      <c r="A1882" s="25" t="str">
        <f>HYPERLINK("https://hsdes.intel.com/resource/14013178333","14013178333")</f>
        <v>14013178333</v>
      </c>
      <c r="B1882" s="7" t="s">
        <v>3231</v>
      </c>
      <c r="C1882" s="7" t="s">
        <v>1420</v>
      </c>
      <c r="D1882" s="7" t="s">
        <v>3232</v>
      </c>
      <c r="E1882" s="7" t="s">
        <v>11</v>
      </c>
      <c r="F1882" s="7"/>
      <c r="G1882" s="7" t="s">
        <v>1783</v>
      </c>
      <c r="H1882" s="7"/>
      <c r="I1882" s="10">
        <v>44757</v>
      </c>
      <c r="J1882" s="7" t="s">
        <v>13</v>
      </c>
      <c r="K1882" s="7" t="s">
        <v>523</v>
      </c>
      <c r="L1882" s="7" t="s">
        <v>660</v>
      </c>
      <c r="M1882" s="7" t="s">
        <v>16</v>
      </c>
    </row>
    <row r="1883" spans="1:13" x14ac:dyDescent="0.3">
      <c r="A1883" s="7" t="str">
        <f>HYPERLINK("https://hsdes.intel.com/resource/14013178335","14013178335")</f>
        <v>14013178335</v>
      </c>
      <c r="B1883" s="7" t="s">
        <v>3233</v>
      </c>
      <c r="C1883" s="7" t="s">
        <v>1420</v>
      </c>
      <c r="D1883" s="7" t="s">
        <v>3234</v>
      </c>
      <c r="E1883" s="7" t="s">
        <v>11</v>
      </c>
      <c r="F1883" s="7"/>
      <c r="G1883" s="7" t="s">
        <v>1770</v>
      </c>
      <c r="H1883" s="7"/>
      <c r="I1883" s="10">
        <v>44761</v>
      </c>
      <c r="J1883" s="7" t="s">
        <v>13</v>
      </c>
      <c r="K1883" s="7" t="s">
        <v>523</v>
      </c>
      <c r="L1883" s="7" t="s">
        <v>660</v>
      </c>
      <c r="M1883" s="7" t="s">
        <v>16</v>
      </c>
    </row>
    <row r="1884" spans="1:13" x14ac:dyDescent="0.3">
      <c r="A1884" s="25" t="str">
        <f>HYPERLINK("https://hsdes.intel.com/resource/14013178349","14013178349")</f>
        <v>14013178349</v>
      </c>
      <c r="B1884" s="7" t="s">
        <v>3235</v>
      </c>
      <c r="C1884" s="7" t="s">
        <v>1420</v>
      </c>
      <c r="D1884" s="7" t="s">
        <v>3236</v>
      </c>
      <c r="E1884" s="7" t="s">
        <v>342</v>
      </c>
      <c r="F1884" s="7"/>
      <c r="G1884" s="7" t="s">
        <v>1783</v>
      </c>
      <c r="H1884" s="7"/>
      <c r="I1884" s="10">
        <v>44757</v>
      </c>
      <c r="J1884" s="7" t="s">
        <v>13</v>
      </c>
      <c r="K1884" s="7" t="s">
        <v>523</v>
      </c>
      <c r="L1884" s="7" t="s">
        <v>660</v>
      </c>
      <c r="M1884" s="7" t="s">
        <v>24</v>
      </c>
    </row>
    <row r="1885" spans="1:13" x14ac:dyDescent="0.3">
      <c r="A1885" s="7" t="str">
        <f>HYPERLINK("https://hsdes.intel.com/resource/14013178351","14013178351")</f>
        <v>14013178351</v>
      </c>
      <c r="B1885" s="7" t="s">
        <v>3237</v>
      </c>
      <c r="C1885" s="7" t="s">
        <v>1420</v>
      </c>
      <c r="D1885" s="7" t="s">
        <v>3238</v>
      </c>
      <c r="E1885" s="7" t="s">
        <v>342</v>
      </c>
      <c r="F1885" s="7"/>
      <c r="G1885" s="7" t="s">
        <v>1770</v>
      </c>
      <c r="H1885" s="7"/>
      <c r="I1885" s="10">
        <v>44761</v>
      </c>
      <c r="J1885" s="7" t="s">
        <v>13</v>
      </c>
      <c r="K1885" s="7" t="s">
        <v>523</v>
      </c>
      <c r="L1885" s="7" t="s">
        <v>660</v>
      </c>
      <c r="M1885" s="7" t="s">
        <v>24</v>
      </c>
    </row>
    <row r="1886" spans="1:13" x14ac:dyDescent="0.3">
      <c r="A1886" s="7" t="str">
        <f>HYPERLINK("https://hsdes.intel.com/resource/14013178354","14013178354")</f>
        <v>14013178354</v>
      </c>
      <c r="B1886" s="7" t="s">
        <v>1370</v>
      </c>
      <c r="C1886" s="7" t="s">
        <v>1420</v>
      </c>
      <c r="D1886" s="7" t="s">
        <v>1371</v>
      </c>
      <c r="E1886" s="7"/>
      <c r="F1886" s="7"/>
      <c r="G1886" s="7" t="s">
        <v>833</v>
      </c>
      <c r="H1886" s="7"/>
      <c r="I1886" s="7"/>
      <c r="J1886" s="7" t="s">
        <v>192</v>
      </c>
      <c r="K1886" s="7" t="s">
        <v>523</v>
      </c>
      <c r="L1886" s="7" t="s">
        <v>291</v>
      </c>
      <c r="M1886" s="7" t="s">
        <v>16</v>
      </c>
    </row>
    <row r="1887" spans="1:13" x14ac:dyDescent="0.3">
      <c r="A1887" s="7" t="str">
        <f>HYPERLINK("https://hsdes.intel.com/resource/14013178355","14013178355")</f>
        <v>14013178355</v>
      </c>
      <c r="B1887" s="7" t="s">
        <v>3239</v>
      </c>
      <c r="C1887" s="7" t="s">
        <v>1420</v>
      </c>
      <c r="D1887" s="7" t="s">
        <v>3240</v>
      </c>
      <c r="E1887" s="7" t="s">
        <v>342</v>
      </c>
      <c r="F1887" s="7"/>
      <c r="G1887" s="7" t="s">
        <v>1783</v>
      </c>
      <c r="H1887" s="7"/>
      <c r="I1887" s="10">
        <v>44757</v>
      </c>
      <c r="J1887" s="7" t="s">
        <v>13</v>
      </c>
      <c r="K1887" s="7" t="s">
        <v>523</v>
      </c>
      <c r="L1887" s="7" t="s">
        <v>660</v>
      </c>
      <c r="M1887" s="7" t="s">
        <v>24</v>
      </c>
    </row>
    <row r="1888" spans="1:13" x14ac:dyDescent="0.3">
      <c r="A1888" s="25" t="str">
        <f>HYPERLINK("https://hsdes.intel.com/resource/14013178356","14013178356")</f>
        <v>14013178356</v>
      </c>
      <c r="B1888" s="7" t="s">
        <v>3241</v>
      </c>
      <c r="C1888" s="7" t="s">
        <v>1420</v>
      </c>
      <c r="D1888" s="7" t="s">
        <v>3242</v>
      </c>
      <c r="E1888" s="7" t="s">
        <v>11</v>
      </c>
      <c r="F1888" s="7"/>
      <c r="G1888" s="7" t="s">
        <v>1770</v>
      </c>
      <c r="H1888" s="7"/>
      <c r="I1888" s="10">
        <v>44761</v>
      </c>
      <c r="J1888" s="7" t="s">
        <v>13</v>
      </c>
      <c r="K1888" s="7" t="s">
        <v>523</v>
      </c>
      <c r="L1888" s="7" t="s">
        <v>660</v>
      </c>
      <c r="M1888" s="7" t="s">
        <v>24</v>
      </c>
    </row>
    <row r="1889" spans="1:13" x14ac:dyDescent="0.3">
      <c r="A1889" s="7" t="str">
        <f>HYPERLINK("https://hsdes.intel.com/resource/14013178358","14013178358")</f>
        <v>14013178358</v>
      </c>
      <c r="B1889" s="7" t="s">
        <v>3243</v>
      </c>
      <c r="C1889" s="7" t="s">
        <v>1420</v>
      </c>
      <c r="D1889" s="7" t="s">
        <v>3244</v>
      </c>
      <c r="E1889" s="7" t="s">
        <v>11</v>
      </c>
      <c r="F1889" s="7"/>
      <c r="G1889" s="7" t="s">
        <v>1700</v>
      </c>
      <c r="H1889" s="7"/>
      <c r="I1889" s="10">
        <v>44757</v>
      </c>
      <c r="J1889" s="7" t="s">
        <v>13</v>
      </c>
      <c r="K1889" s="7" t="s">
        <v>523</v>
      </c>
      <c r="L1889" s="7" t="s">
        <v>660</v>
      </c>
      <c r="M1889" s="7" t="s">
        <v>24</v>
      </c>
    </row>
    <row r="1890" spans="1:13" x14ac:dyDescent="0.3">
      <c r="A1890" s="7" t="str">
        <f>HYPERLINK("https://hsdes.intel.com/resource/14013178359","14013178359")</f>
        <v>14013178359</v>
      </c>
      <c r="B1890" s="7" t="s">
        <v>3245</v>
      </c>
      <c r="C1890" s="7" t="s">
        <v>1420</v>
      </c>
      <c r="D1890" s="7" t="s">
        <v>3246</v>
      </c>
      <c r="E1890" s="7" t="s">
        <v>11</v>
      </c>
      <c r="F1890" s="7"/>
      <c r="G1890" s="7" t="s">
        <v>1770</v>
      </c>
      <c r="H1890" s="7"/>
      <c r="I1890" s="10">
        <v>44761</v>
      </c>
      <c r="J1890" s="7" t="s">
        <v>13</v>
      </c>
      <c r="K1890" s="7" t="s">
        <v>523</v>
      </c>
      <c r="L1890" s="7" t="s">
        <v>660</v>
      </c>
      <c r="M1890" s="7" t="s">
        <v>24</v>
      </c>
    </row>
    <row r="1891" spans="1:13" x14ac:dyDescent="0.3">
      <c r="A1891" s="7" t="str">
        <f>HYPERLINK("https://hsdes.intel.com/resource/14013178383","14013178383")</f>
        <v>14013178383</v>
      </c>
      <c r="B1891" s="7" t="s">
        <v>3247</v>
      </c>
      <c r="C1891" s="7" t="s">
        <v>1420</v>
      </c>
      <c r="D1891" s="7" t="s">
        <v>3248</v>
      </c>
      <c r="E1891" s="7" t="s">
        <v>37</v>
      </c>
      <c r="F1891" s="7"/>
      <c r="G1891" s="7" t="s">
        <v>1700</v>
      </c>
      <c r="H1891" s="7"/>
      <c r="I1891" s="7"/>
      <c r="J1891" s="7" t="s">
        <v>13</v>
      </c>
      <c r="K1891" s="7" t="s">
        <v>157</v>
      </c>
      <c r="L1891" s="7" t="s">
        <v>158</v>
      </c>
      <c r="M1891" s="7" t="s">
        <v>21</v>
      </c>
    </row>
    <row r="1892" spans="1:13" x14ac:dyDescent="0.3">
      <c r="A1892" s="7" t="str">
        <f>HYPERLINK("https://hsdes.intel.com/resource/14013178384","14013178384")</f>
        <v>14013178384</v>
      </c>
      <c r="B1892" s="7" t="s">
        <v>3249</v>
      </c>
      <c r="C1892" s="7" t="s">
        <v>1420</v>
      </c>
      <c r="D1892" s="7" t="s">
        <v>3250</v>
      </c>
      <c r="E1892" s="7" t="s">
        <v>37</v>
      </c>
      <c r="F1892" s="7"/>
      <c r="G1892" s="7" t="s">
        <v>1700</v>
      </c>
      <c r="H1892" s="7"/>
      <c r="I1892" s="7"/>
      <c r="J1892" s="7" t="s">
        <v>13</v>
      </c>
      <c r="K1892" s="7" t="s">
        <v>157</v>
      </c>
      <c r="L1892" s="7" t="s">
        <v>158</v>
      </c>
      <c r="M1892" s="7" t="s">
        <v>21</v>
      </c>
    </row>
    <row r="1893" spans="1:13" x14ac:dyDescent="0.3">
      <c r="A1893" s="25" t="str">
        <f>HYPERLINK("https://hsdes.intel.com/resource/14013178394","14013178394")</f>
        <v>14013178394</v>
      </c>
      <c r="B1893" s="7" t="s">
        <v>3251</v>
      </c>
      <c r="C1893" s="7" t="s">
        <v>1420</v>
      </c>
      <c r="D1893" s="7" t="s">
        <v>3252</v>
      </c>
      <c r="E1893" s="7" t="s">
        <v>11</v>
      </c>
      <c r="F1893" s="7"/>
      <c r="G1893" s="7" t="s">
        <v>1783</v>
      </c>
      <c r="H1893" s="7"/>
      <c r="I1893" s="10">
        <v>44757</v>
      </c>
      <c r="J1893" s="7" t="s">
        <v>13</v>
      </c>
      <c r="K1893" s="7" t="s">
        <v>523</v>
      </c>
      <c r="L1893" s="7" t="s">
        <v>291</v>
      </c>
      <c r="M1893" s="7" t="s">
        <v>16</v>
      </c>
    </row>
    <row r="1894" spans="1:13" x14ac:dyDescent="0.3">
      <c r="A1894" s="7" t="str">
        <f>HYPERLINK("https://hsdes.intel.com/resource/14013178404","14013178404")</f>
        <v>14013178404</v>
      </c>
      <c r="B1894" s="7" t="s">
        <v>3253</v>
      </c>
      <c r="C1894" s="7" t="s">
        <v>1420</v>
      </c>
      <c r="D1894" s="7" t="s">
        <v>3254</v>
      </c>
      <c r="E1894" s="7" t="s">
        <v>11</v>
      </c>
      <c r="F1894" s="7"/>
      <c r="G1894" s="7" t="s">
        <v>1783</v>
      </c>
      <c r="H1894" s="7"/>
      <c r="I1894" s="10">
        <v>44757</v>
      </c>
      <c r="J1894" s="7" t="s">
        <v>13</v>
      </c>
      <c r="K1894" s="7" t="s">
        <v>523</v>
      </c>
      <c r="L1894" s="7" t="s">
        <v>291</v>
      </c>
      <c r="M1894" s="7" t="s">
        <v>16</v>
      </c>
    </row>
    <row r="1895" spans="1:13" x14ac:dyDescent="0.3">
      <c r="A1895" s="7" t="str">
        <f>HYPERLINK("https://hsdes.intel.com/resource/14013178491","14013178491")</f>
        <v>14013178491</v>
      </c>
      <c r="B1895" s="7" t="s">
        <v>3255</v>
      </c>
      <c r="C1895" s="7" t="s">
        <v>1420</v>
      </c>
      <c r="D1895" s="7" t="s">
        <v>3256</v>
      </c>
      <c r="E1895" s="7" t="s">
        <v>11</v>
      </c>
      <c r="F1895" s="7"/>
      <c r="G1895" s="7" t="s">
        <v>1447</v>
      </c>
      <c r="H1895" s="7"/>
      <c r="I1895" s="10">
        <v>44755</v>
      </c>
      <c r="J1895" s="7" t="s">
        <v>13</v>
      </c>
      <c r="K1895" s="7" t="s">
        <v>157</v>
      </c>
      <c r="L1895" s="7" t="s">
        <v>158</v>
      </c>
      <c r="M1895" s="7" t="s">
        <v>16</v>
      </c>
    </row>
    <row r="1896" spans="1:13" x14ac:dyDescent="0.3">
      <c r="A1896" s="7" t="str">
        <f>HYPERLINK("https://hsdes.intel.com/resource/14013178746","14013178746")</f>
        <v>14013178746</v>
      </c>
      <c r="B1896" s="7" t="s">
        <v>3257</v>
      </c>
      <c r="C1896" s="7" t="s">
        <v>1420</v>
      </c>
      <c r="D1896" s="7" t="s">
        <v>3258</v>
      </c>
      <c r="E1896" s="7" t="s">
        <v>37</v>
      </c>
      <c r="F1896" s="7"/>
      <c r="G1896" s="7" t="s">
        <v>1700</v>
      </c>
      <c r="H1896" s="7"/>
      <c r="I1896" s="7"/>
      <c r="J1896" s="7" t="s">
        <v>13</v>
      </c>
      <c r="K1896" s="7" t="s">
        <v>157</v>
      </c>
      <c r="L1896" s="7" t="s">
        <v>158</v>
      </c>
      <c r="M1896" s="7" t="s">
        <v>21</v>
      </c>
    </row>
    <row r="1897" spans="1:13" x14ac:dyDescent="0.3">
      <c r="A1897" s="7" t="str">
        <f>HYPERLINK("https://hsdes.intel.com/resource/14013178749","14013178749")</f>
        <v>14013178749</v>
      </c>
      <c r="B1897" s="7" t="s">
        <v>3259</v>
      </c>
      <c r="C1897" s="7" t="s">
        <v>1420</v>
      </c>
      <c r="D1897" s="7" t="s">
        <v>3260</v>
      </c>
      <c r="E1897" s="7" t="s">
        <v>37</v>
      </c>
      <c r="F1897" s="7"/>
      <c r="G1897" s="7" t="s">
        <v>1700</v>
      </c>
      <c r="H1897" s="7"/>
      <c r="I1897" s="7"/>
      <c r="J1897" s="7" t="s">
        <v>13</v>
      </c>
      <c r="K1897" s="7" t="s">
        <v>157</v>
      </c>
      <c r="L1897" s="7" t="s">
        <v>158</v>
      </c>
      <c r="M1897" s="7" t="s">
        <v>21</v>
      </c>
    </row>
    <row r="1898" spans="1:13" x14ac:dyDescent="0.3">
      <c r="A1898" s="7" t="str">
        <f>HYPERLINK("https://hsdes.intel.com/resource/14013178756","14013178756")</f>
        <v>14013178756</v>
      </c>
      <c r="B1898" s="7" t="s">
        <v>3261</v>
      </c>
      <c r="C1898" s="7" t="s">
        <v>1420</v>
      </c>
      <c r="D1898" s="7" t="s">
        <v>3262</v>
      </c>
      <c r="E1898" s="7" t="s">
        <v>37</v>
      </c>
      <c r="F1898" s="7"/>
      <c r="G1898" s="7" t="s">
        <v>1700</v>
      </c>
      <c r="H1898" s="7"/>
      <c r="I1898" s="7"/>
      <c r="J1898" s="7" t="s">
        <v>13</v>
      </c>
      <c r="K1898" s="7" t="s">
        <v>157</v>
      </c>
      <c r="L1898" s="7" t="s">
        <v>158</v>
      </c>
      <c r="M1898" s="7" t="s">
        <v>21</v>
      </c>
    </row>
    <row r="1899" spans="1:13" x14ac:dyDescent="0.3">
      <c r="A1899" s="7" t="str">
        <f>HYPERLINK("https://hsdes.intel.com/resource/14013178763","14013178763")</f>
        <v>14013178763</v>
      </c>
      <c r="B1899" s="7" t="s">
        <v>3263</v>
      </c>
      <c r="C1899" s="7" t="s">
        <v>1420</v>
      </c>
      <c r="D1899" s="7" t="s">
        <v>3264</v>
      </c>
      <c r="E1899" s="7" t="s">
        <v>37</v>
      </c>
      <c r="F1899" s="7"/>
      <c r="G1899" s="7" t="s">
        <v>1700</v>
      </c>
      <c r="H1899" s="7"/>
      <c r="I1899" s="7"/>
      <c r="J1899" s="7" t="s">
        <v>13</v>
      </c>
      <c r="K1899" s="7" t="s">
        <v>157</v>
      </c>
      <c r="L1899" s="7" t="s">
        <v>158</v>
      </c>
      <c r="M1899" s="7" t="s">
        <v>21</v>
      </c>
    </row>
    <row r="1900" spans="1:13" x14ac:dyDescent="0.3">
      <c r="A1900" s="7" t="str">
        <f>HYPERLINK("https://hsdes.intel.com/resource/14013178799","14013178799")</f>
        <v>14013178799</v>
      </c>
      <c r="B1900" s="7" t="s">
        <v>3265</v>
      </c>
      <c r="C1900" s="7" t="s">
        <v>1420</v>
      </c>
      <c r="D1900" s="7" t="s">
        <v>3266</v>
      </c>
      <c r="E1900" s="7" t="s">
        <v>37</v>
      </c>
      <c r="F1900" s="7"/>
      <c r="G1900" s="7" t="s">
        <v>1447</v>
      </c>
      <c r="H1900" s="7"/>
      <c r="I1900" s="10">
        <v>44762</v>
      </c>
      <c r="J1900" s="7" t="s">
        <v>13</v>
      </c>
      <c r="K1900" s="7" t="s">
        <v>157</v>
      </c>
      <c r="L1900" s="7" t="s">
        <v>158</v>
      </c>
      <c r="M1900" s="7" t="s">
        <v>21</v>
      </c>
    </row>
    <row r="1901" spans="1:13" x14ac:dyDescent="0.3">
      <c r="A1901" s="7" t="str">
        <f>HYPERLINK("https://hsdes.intel.com/resource/14013178891","14013178891")</f>
        <v>14013178891</v>
      </c>
      <c r="B1901" s="7" t="s">
        <v>3267</v>
      </c>
      <c r="C1901" s="7" t="s">
        <v>1420</v>
      </c>
      <c r="D1901" s="7" t="s">
        <v>3268</v>
      </c>
      <c r="E1901" s="7" t="s">
        <v>11</v>
      </c>
      <c r="F1901" s="7"/>
      <c r="G1901" s="7" t="s">
        <v>1783</v>
      </c>
      <c r="H1901" s="7"/>
      <c r="I1901" s="10">
        <v>44757</v>
      </c>
      <c r="J1901" s="7" t="s">
        <v>13</v>
      </c>
      <c r="K1901" s="7" t="s">
        <v>290</v>
      </c>
      <c r="L1901" s="7" t="s">
        <v>291</v>
      </c>
      <c r="M1901" s="7" t="s">
        <v>16</v>
      </c>
    </row>
    <row r="1902" spans="1:13" x14ac:dyDescent="0.3">
      <c r="A1902" s="7" t="str">
        <f>HYPERLINK("https://hsdes.intel.com/resource/14013178897","14013178897")</f>
        <v>14013178897</v>
      </c>
      <c r="B1902" s="7" t="s">
        <v>3269</v>
      </c>
      <c r="C1902" s="7" t="s">
        <v>1420</v>
      </c>
      <c r="D1902" s="7" t="s">
        <v>3270</v>
      </c>
      <c r="E1902" s="7" t="s">
        <v>11</v>
      </c>
      <c r="F1902" s="7"/>
      <c r="G1902" s="7" t="s">
        <v>369</v>
      </c>
      <c r="H1902" s="7"/>
      <c r="I1902" s="10">
        <v>44762</v>
      </c>
      <c r="J1902" s="7" t="s">
        <v>13</v>
      </c>
      <c r="K1902" s="7" t="s">
        <v>147</v>
      </c>
      <c r="L1902" s="7" t="s">
        <v>29</v>
      </c>
      <c r="M1902" s="7" t="s">
        <v>24</v>
      </c>
    </row>
    <row r="1903" spans="1:13" x14ac:dyDescent="0.3">
      <c r="A1903" s="7" t="str">
        <f>HYPERLINK("https://hsdes.intel.com/resource/14013178922","14013178922")</f>
        <v>14013178922</v>
      </c>
      <c r="B1903" s="7" t="s">
        <v>3271</v>
      </c>
      <c r="C1903" s="7" t="s">
        <v>1420</v>
      </c>
      <c r="D1903" s="7" t="s">
        <v>3272</v>
      </c>
      <c r="E1903" s="7" t="s">
        <v>11</v>
      </c>
      <c r="F1903" s="7"/>
      <c r="G1903" s="7" t="s">
        <v>369</v>
      </c>
      <c r="H1903" s="7" t="s">
        <v>369</v>
      </c>
      <c r="I1903" s="10">
        <v>44768</v>
      </c>
      <c r="J1903" s="7" t="s">
        <v>13</v>
      </c>
      <c r="K1903" s="7" t="s">
        <v>296</v>
      </c>
      <c r="L1903" s="7" t="s">
        <v>297</v>
      </c>
      <c r="M1903" s="7" t="s">
        <v>24</v>
      </c>
    </row>
    <row r="1904" spans="1:13" x14ac:dyDescent="0.3">
      <c r="A1904" s="7" t="str">
        <f>HYPERLINK("https://hsdes.intel.com/resource/14013178949","14013178949")</f>
        <v>14013178949</v>
      </c>
      <c r="B1904" s="7" t="s">
        <v>797</v>
      </c>
      <c r="C1904" s="7" t="s">
        <v>1420</v>
      </c>
      <c r="D1904" s="7" t="s">
        <v>798</v>
      </c>
      <c r="E1904" s="7"/>
      <c r="F1904" s="7"/>
      <c r="G1904" s="7" t="s">
        <v>541</v>
      </c>
      <c r="H1904" s="7"/>
      <c r="I1904" s="7"/>
      <c r="J1904" s="7" t="s">
        <v>13</v>
      </c>
      <c r="K1904" s="7" t="s">
        <v>147</v>
      </c>
      <c r="L1904" s="7" t="s">
        <v>29</v>
      </c>
      <c r="M1904" s="7" t="s">
        <v>16</v>
      </c>
    </row>
    <row r="1905" spans="1:13" x14ac:dyDescent="0.3">
      <c r="A1905" s="7" t="str">
        <f>HYPERLINK("https://hsdes.intel.com/resource/14013178954","14013178954")</f>
        <v>14013178954</v>
      </c>
      <c r="B1905" s="7" t="s">
        <v>799</v>
      </c>
      <c r="C1905" s="7" t="s">
        <v>1420</v>
      </c>
      <c r="D1905" s="7" t="s">
        <v>800</v>
      </c>
      <c r="E1905" s="7"/>
      <c r="F1905" s="7"/>
      <c r="G1905" s="7" t="s">
        <v>541</v>
      </c>
      <c r="H1905" s="7"/>
      <c r="I1905" s="7"/>
      <c r="J1905" s="7" t="s">
        <v>13</v>
      </c>
      <c r="K1905" s="7" t="s">
        <v>147</v>
      </c>
      <c r="L1905" s="7" t="s">
        <v>29</v>
      </c>
      <c r="M1905" s="7" t="s">
        <v>16</v>
      </c>
    </row>
    <row r="1906" spans="1:13" x14ac:dyDescent="0.3">
      <c r="A1906" s="25" t="str">
        <f>HYPERLINK("https://hsdes.intel.com/resource/14013178960","14013178960")</f>
        <v>14013178960</v>
      </c>
      <c r="B1906" s="7" t="s">
        <v>3273</v>
      </c>
      <c r="C1906" s="7" t="s">
        <v>1420</v>
      </c>
      <c r="D1906" s="7" t="s">
        <v>3274</v>
      </c>
      <c r="E1906" s="7"/>
      <c r="F1906" s="7"/>
      <c r="G1906" s="7" t="s">
        <v>833</v>
      </c>
      <c r="H1906" s="7"/>
      <c r="I1906" s="7"/>
      <c r="J1906" s="7" t="s">
        <v>192</v>
      </c>
      <c r="K1906" s="7" t="s">
        <v>3220</v>
      </c>
      <c r="L1906" s="7" t="s">
        <v>291</v>
      </c>
      <c r="M1906" s="7" t="s">
        <v>21</v>
      </c>
    </row>
    <row r="1907" spans="1:13" x14ac:dyDescent="0.3">
      <c r="A1907" s="7" t="str">
        <f>HYPERLINK("https://hsdes.intel.com/resource/14013179007","14013179007")</f>
        <v>14013179007</v>
      </c>
      <c r="B1907" s="7" t="s">
        <v>3275</v>
      </c>
      <c r="C1907" s="7" t="s">
        <v>1420</v>
      </c>
      <c r="D1907" s="7" t="s">
        <v>3276</v>
      </c>
      <c r="E1907" s="7" t="s">
        <v>37</v>
      </c>
      <c r="F1907" s="7"/>
      <c r="G1907" s="7" t="s">
        <v>1700</v>
      </c>
      <c r="H1907" s="7"/>
      <c r="I1907" s="7"/>
      <c r="J1907" s="7" t="s">
        <v>13</v>
      </c>
      <c r="K1907" s="7" t="s">
        <v>157</v>
      </c>
      <c r="L1907" s="7" t="s">
        <v>158</v>
      </c>
      <c r="M1907" s="7" t="s">
        <v>21</v>
      </c>
    </row>
    <row r="1908" spans="1:13" x14ac:dyDescent="0.3">
      <c r="A1908" s="7" t="str">
        <f>HYPERLINK("https://hsdes.intel.com/resource/14013179011","14013179011")</f>
        <v>14013179011</v>
      </c>
      <c r="B1908" s="7" t="s">
        <v>3277</v>
      </c>
      <c r="C1908" s="7" t="s">
        <v>1420</v>
      </c>
      <c r="D1908" s="7" t="s">
        <v>3278</v>
      </c>
      <c r="E1908" s="7" t="s">
        <v>11</v>
      </c>
      <c r="F1908" s="7"/>
      <c r="G1908" s="7" t="s">
        <v>3279</v>
      </c>
      <c r="H1908" s="7"/>
      <c r="I1908" s="10">
        <v>44761</v>
      </c>
      <c r="J1908" s="7" t="s">
        <v>13</v>
      </c>
      <c r="K1908" s="7" t="s">
        <v>157</v>
      </c>
      <c r="L1908" s="7" t="s">
        <v>158</v>
      </c>
      <c r="M1908" s="7" t="s">
        <v>24</v>
      </c>
    </row>
    <row r="1909" spans="1:13" x14ac:dyDescent="0.3">
      <c r="A1909" s="7" t="str">
        <f>HYPERLINK("https://hsdes.intel.com/resource/14013179046","14013179046")</f>
        <v>14013179046</v>
      </c>
      <c r="B1909" s="7" t="s">
        <v>3280</v>
      </c>
      <c r="C1909" s="7" t="s">
        <v>1420</v>
      </c>
      <c r="D1909" s="7" t="s">
        <v>3281</v>
      </c>
      <c r="E1909" s="7" t="s">
        <v>342</v>
      </c>
      <c r="F1909" s="7"/>
      <c r="G1909" s="7" t="s">
        <v>369</v>
      </c>
      <c r="H1909" s="7"/>
      <c r="I1909" s="10">
        <v>44762</v>
      </c>
      <c r="J1909" s="7" t="s">
        <v>13</v>
      </c>
      <c r="K1909" s="7" t="s">
        <v>147</v>
      </c>
      <c r="L1909" s="7" t="s">
        <v>29</v>
      </c>
      <c r="M1909" s="7" t="s">
        <v>24</v>
      </c>
    </row>
    <row r="1910" spans="1:13" x14ac:dyDescent="0.3">
      <c r="A1910" s="7" t="str">
        <f>HYPERLINK("https://hsdes.intel.com/resource/14013179076","14013179076")</f>
        <v>14013179076</v>
      </c>
      <c r="B1910" s="7" t="s">
        <v>3282</v>
      </c>
      <c r="C1910" s="7" t="s">
        <v>1420</v>
      </c>
      <c r="D1910" s="7" t="s">
        <v>3283</v>
      </c>
      <c r="E1910" s="7" t="s">
        <v>11</v>
      </c>
      <c r="F1910" s="7"/>
      <c r="G1910" s="7" t="s">
        <v>345</v>
      </c>
      <c r="H1910" s="7"/>
      <c r="I1910" s="10">
        <v>44757</v>
      </c>
      <c r="J1910" s="7" t="s">
        <v>13</v>
      </c>
      <c r="K1910" s="7" t="s">
        <v>93</v>
      </c>
      <c r="L1910" s="7" t="s">
        <v>94</v>
      </c>
      <c r="M1910" s="7" t="s">
        <v>16</v>
      </c>
    </row>
    <row r="1911" spans="1:13" x14ac:dyDescent="0.3">
      <c r="A1911" s="7" t="str">
        <f>HYPERLINK("https://hsdes.intel.com/resource/14013179078","14013179078")</f>
        <v>14013179078</v>
      </c>
      <c r="B1911" s="7" t="s">
        <v>3284</v>
      </c>
      <c r="C1911" s="7" t="s">
        <v>1420</v>
      </c>
      <c r="D1911" s="7" t="s">
        <v>3285</v>
      </c>
      <c r="E1911" s="7" t="s">
        <v>11</v>
      </c>
      <c r="F1911" s="7"/>
      <c r="G1911" s="7" t="s">
        <v>345</v>
      </c>
      <c r="H1911" s="7"/>
      <c r="I1911" s="10">
        <v>44757</v>
      </c>
      <c r="J1911" s="7" t="s">
        <v>13</v>
      </c>
      <c r="K1911" s="7" t="s">
        <v>28</v>
      </c>
      <c r="L1911" s="7" t="s">
        <v>29</v>
      </c>
      <c r="M1911" s="7" t="s">
        <v>16</v>
      </c>
    </row>
    <row r="1912" spans="1:13" x14ac:dyDescent="0.3">
      <c r="A1912" s="7" t="str">
        <f>HYPERLINK("https://hsdes.intel.com/resource/14013179082","14013179082")</f>
        <v>14013179082</v>
      </c>
      <c r="B1912" s="7" t="s">
        <v>3286</v>
      </c>
      <c r="C1912" s="7" t="s">
        <v>1420</v>
      </c>
      <c r="D1912" s="7" t="s">
        <v>3287</v>
      </c>
      <c r="E1912" s="7" t="s">
        <v>11</v>
      </c>
      <c r="F1912" s="7" t="s">
        <v>1135</v>
      </c>
      <c r="G1912" s="7" t="s">
        <v>2449</v>
      </c>
      <c r="H1912" s="7"/>
      <c r="I1912" s="10">
        <v>44760</v>
      </c>
      <c r="J1912" s="7" t="s">
        <v>13</v>
      </c>
      <c r="K1912" s="7" t="s">
        <v>93</v>
      </c>
      <c r="L1912" s="7" t="s">
        <v>94</v>
      </c>
      <c r="M1912" s="7" t="s">
        <v>21</v>
      </c>
    </row>
    <row r="1913" spans="1:13" x14ac:dyDescent="0.3">
      <c r="A1913" s="7" t="str">
        <f>HYPERLINK("https://hsdes.intel.com/resource/14013179126","14013179126")</f>
        <v>14013179126</v>
      </c>
      <c r="B1913" s="7" t="s">
        <v>3288</v>
      </c>
      <c r="C1913" s="7" t="s">
        <v>1420</v>
      </c>
      <c r="D1913" s="7" t="s">
        <v>3289</v>
      </c>
      <c r="E1913" s="7" t="s">
        <v>342</v>
      </c>
      <c r="F1913" s="7"/>
      <c r="G1913" s="7" t="s">
        <v>841</v>
      </c>
      <c r="H1913" s="7"/>
      <c r="I1913" s="10">
        <v>44762</v>
      </c>
      <c r="J1913" s="7" t="s">
        <v>13</v>
      </c>
      <c r="K1913" s="7" t="s">
        <v>157</v>
      </c>
      <c r="L1913" s="7" t="s">
        <v>158</v>
      </c>
      <c r="M1913" s="7" t="s">
        <v>16</v>
      </c>
    </row>
    <row r="1914" spans="1:13" x14ac:dyDescent="0.3">
      <c r="A1914" s="7" t="str">
        <f>HYPERLINK("https://hsdes.intel.com/resource/14013179154","14013179154")</f>
        <v>14013179154</v>
      </c>
      <c r="B1914" s="7" t="s">
        <v>3290</v>
      </c>
      <c r="C1914" s="7" t="s">
        <v>1420</v>
      </c>
      <c r="D1914" s="7" t="s">
        <v>3291</v>
      </c>
      <c r="E1914" s="7" t="s">
        <v>11</v>
      </c>
      <c r="F1914" s="7"/>
      <c r="G1914" s="7" t="s">
        <v>345</v>
      </c>
      <c r="H1914" s="7"/>
      <c r="I1914" s="10">
        <v>44757</v>
      </c>
      <c r="J1914" s="7" t="s">
        <v>13</v>
      </c>
      <c r="K1914" s="7" t="s">
        <v>147</v>
      </c>
      <c r="L1914" s="7" t="s">
        <v>29</v>
      </c>
      <c r="M1914" s="7" t="s">
        <v>24</v>
      </c>
    </row>
    <row r="1915" spans="1:13" x14ac:dyDescent="0.3">
      <c r="A1915" s="7" t="str">
        <f>HYPERLINK("https://hsdes.intel.com/resource/14013179158","14013179158")</f>
        <v>14013179158</v>
      </c>
      <c r="B1915" s="7" t="s">
        <v>3292</v>
      </c>
      <c r="C1915" s="7" t="s">
        <v>1420</v>
      </c>
      <c r="D1915" s="7" t="s">
        <v>3293</v>
      </c>
      <c r="E1915" s="7" t="s">
        <v>342</v>
      </c>
      <c r="F1915" s="7"/>
      <c r="G1915" s="7" t="s">
        <v>1700</v>
      </c>
      <c r="H1915" s="7"/>
      <c r="I1915" s="10">
        <v>44760</v>
      </c>
      <c r="J1915" s="7" t="s">
        <v>13</v>
      </c>
      <c r="K1915" s="7" t="s">
        <v>439</v>
      </c>
      <c r="L1915" s="7" t="s">
        <v>158</v>
      </c>
      <c r="M1915" s="7" t="s">
        <v>21</v>
      </c>
    </row>
    <row r="1916" spans="1:13" x14ac:dyDescent="0.3">
      <c r="A1916" s="7" t="str">
        <f>HYPERLINK("https://hsdes.intel.com/resource/14013179160","14013179160")</f>
        <v>14013179160</v>
      </c>
      <c r="B1916" s="7" t="s">
        <v>3294</v>
      </c>
      <c r="C1916" s="7" t="s">
        <v>1420</v>
      </c>
      <c r="D1916" s="7" t="s">
        <v>3295</v>
      </c>
      <c r="E1916" s="7" t="s">
        <v>11</v>
      </c>
      <c r="F1916" s="7"/>
      <c r="G1916" s="7" t="s">
        <v>345</v>
      </c>
      <c r="H1916" s="7"/>
      <c r="I1916" s="10">
        <v>44757</v>
      </c>
      <c r="J1916" s="7" t="s">
        <v>13</v>
      </c>
      <c r="K1916" s="7" t="s">
        <v>147</v>
      </c>
      <c r="L1916" s="7" t="s">
        <v>29</v>
      </c>
      <c r="M1916" s="7" t="s">
        <v>21</v>
      </c>
    </row>
    <row r="1917" spans="1:13" x14ac:dyDescent="0.3">
      <c r="A1917" s="7" t="str">
        <f>HYPERLINK("https://hsdes.intel.com/resource/14013179182","14013179182")</f>
        <v>14013179182</v>
      </c>
      <c r="B1917" s="7" t="s">
        <v>3296</v>
      </c>
      <c r="C1917" s="7" t="s">
        <v>1420</v>
      </c>
      <c r="D1917" s="7" t="s">
        <v>3297</v>
      </c>
      <c r="E1917" s="7" t="s">
        <v>11</v>
      </c>
      <c r="F1917" s="7"/>
      <c r="G1917" s="7" t="s">
        <v>345</v>
      </c>
      <c r="H1917" s="7"/>
      <c r="I1917" s="10">
        <v>44759</v>
      </c>
      <c r="J1917" s="7" t="s">
        <v>13</v>
      </c>
      <c r="K1917" s="7" t="s">
        <v>19</v>
      </c>
      <c r="L1917" s="7" t="s">
        <v>20</v>
      </c>
      <c r="M1917" s="7" t="s">
        <v>21</v>
      </c>
    </row>
    <row r="1918" spans="1:13" x14ac:dyDescent="0.3">
      <c r="A1918" s="7" t="str">
        <f>HYPERLINK("https://hsdes.intel.com/resource/14013179188","14013179188")</f>
        <v>14013179188</v>
      </c>
      <c r="B1918" s="7" t="s">
        <v>3298</v>
      </c>
      <c r="C1918" s="7" t="s">
        <v>1420</v>
      </c>
      <c r="D1918" s="7" t="s">
        <v>3299</v>
      </c>
      <c r="E1918" s="7" t="s">
        <v>342</v>
      </c>
      <c r="F1918" s="7"/>
      <c r="G1918" s="7" t="s">
        <v>2449</v>
      </c>
      <c r="H1918" s="7"/>
      <c r="I1918" s="10">
        <v>44758</v>
      </c>
      <c r="J1918" s="7" t="s">
        <v>13</v>
      </c>
      <c r="K1918" s="7" t="s">
        <v>19</v>
      </c>
      <c r="L1918" s="7" t="s">
        <v>20</v>
      </c>
      <c r="M1918" s="7" t="s">
        <v>24</v>
      </c>
    </row>
    <row r="1919" spans="1:13" x14ac:dyDescent="0.3">
      <c r="A1919" s="7" t="str">
        <f>HYPERLINK("https://hsdes.intel.com/resource/14013179194","14013179194")</f>
        <v>14013179194</v>
      </c>
      <c r="B1919" s="7" t="s">
        <v>3300</v>
      </c>
      <c r="C1919" s="7" t="s">
        <v>1420</v>
      </c>
      <c r="D1919" s="7" t="s">
        <v>3301</v>
      </c>
      <c r="E1919" s="7" t="s">
        <v>342</v>
      </c>
      <c r="F1919" s="7"/>
      <c r="G1919" s="7" t="s">
        <v>1700</v>
      </c>
      <c r="H1919" s="7"/>
      <c r="I1919" s="10">
        <v>44757</v>
      </c>
      <c r="J1919" s="7" t="s">
        <v>13</v>
      </c>
      <c r="K1919" s="7" t="s">
        <v>439</v>
      </c>
      <c r="L1919" s="7" t="s">
        <v>158</v>
      </c>
      <c r="M1919" s="7" t="s">
        <v>16</v>
      </c>
    </row>
    <row r="1920" spans="1:13" x14ac:dyDescent="0.3">
      <c r="A1920" s="7" t="str">
        <f>HYPERLINK("https://hsdes.intel.com/resource/14013179201","14013179201")</f>
        <v>14013179201</v>
      </c>
      <c r="B1920" s="7" t="s">
        <v>3302</v>
      </c>
      <c r="C1920" s="7" t="s">
        <v>1420</v>
      </c>
      <c r="D1920" s="7" t="s">
        <v>3303</v>
      </c>
      <c r="E1920" s="7" t="s">
        <v>11</v>
      </c>
      <c r="F1920" s="7"/>
      <c r="G1920" s="7" t="s">
        <v>1770</v>
      </c>
      <c r="H1920" s="7"/>
      <c r="I1920" s="10">
        <v>44760</v>
      </c>
      <c r="J1920" s="7" t="s">
        <v>192</v>
      </c>
      <c r="K1920" s="7" t="s">
        <v>523</v>
      </c>
      <c r="L1920" s="7" t="s">
        <v>291</v>
      </c>
      <c r="M1920" s="7" t="s">
        <v>16</v>
      </c>
    </row>
    <row r="1921" spans="1:13" x14ac:dyDescent="0.3">
      <c r="A1921" s="7" t="str">
        <f>HYPERLINK("https://hsdes.intel.com/resource/14013179352","14013179352")</f>
        <v>14013179352</v>
      </c>
      <c r="B1921" s="7" t="s">
        <v>293</v>
      </c>
      <c r="C1921" s="7" t="s">
        <v>1420</v>
      </c>
      <c r="D1921" s="7" t="s">
        <v>294</v>
      </c>
      <c r="E1921" s="7" t="s">
        <v>11</v>
      </c>
      <c r="F1921" s="6" t="s">
        <v>3064</v>
      </c>
      <c r="G1921" s="7" t="s">
        <v>1770</v>
      </c>
      <c r="H1921" s="7"/>
      <c r="I1921" s="10">
        <v>44762</v>
      </c>
      <c r="J1921" s="7" t="s">
        <v>192</v>
      </c>
      <c r="K1921" s="7" t="s">
        <v>296</v>
      </c>
      <c r="L1921" s="7" t="s">
        <v>297</v>
      </c>
      <c r="M1921" s="7" t="s">
        <v>21</v>
      </c>
    </row>
    <row r="1922" spans="1:13" x14ac:dyDescent="0.3">
      <c r="A1922" s="7" t="str">
        <f>HYPERLINK("https://hsdes.intel.com/resource/14013179362","14013179362")</f>
        <v>14013179362</v>
      </c>
      <c r="B1922" s="7" t="s">
        <v>299</v>
      </c>
      <c r="C1922" s="7" t="s">
        <v>1420</v>
      </c>
      <c r="D1922" s="7" t="s">
        <v>300</v>
      </c>
      <c r="E1922" s="7" t="s">
        <v>32</v>
      </c>
      <c r="F1922" s="6" t="s">
        <v>301</v>
      </c>
      <c r="G1922" s="7" t="s">
        <v>1770</v>
      </c>
      <c r="H1922" s="7" t="s">
        <v>345</v>
      </c>
      <c r="I1922" s="10">
        <v>44767</v>
      </c>
      <c r="J1922" s="7" t="s">
        <v>13</v>
      </c>
      <c r="K1922" s="7" t="s">
        <v>296</v>
      </c>
      <c r="L1922" s="7" t="s">
        <v>297</v>
      </c>
      <c r="M1922" s="7" t="s">
        <v>24</v>
      </c>
    </row>
    <row r="1923" spans="1:13" x14ac:dyDescent="0.3">
      <c r="A1923" s="7" t="str">
        <f>HYPERLINK("https://hsdes.intel.com/resource/14013179366","14013179366")</f>
        <v>14013179366</v>
      </c>
      <c r="B1923" s="7" t="s">
        <v>303</v>
      </c>
      <c r="C1923" s="7" t="s">
        <v>1420</v>
      </c>
      <c r="D1923" s="7" t="s">
        <v>304</v>
      </c>
      <c r="E1923" s="7" t="s">
        <v>32</v>
      </c>
      <c r="F1923" s="6" t="s">
        <v>301</v>
      </c>
      <c r="G1923" s="7" t="s">
        <v>1770</v>
      </c>
      <c r="H1923" s="7" t="s">
        <v>345</v>
      </c>
      <c r="I1923" s="10">
        <v>44767</v>
      </c>
      <c r="J1923" s="7" t="s">
        <v>13</v>
      </c>
      <c r="K1923" s="7" t="s">
        <v>296</v>
      </c>
      <c r="L1923" s="7" t="s">
        <v>297</v>
      </c>
      <c r="M1923" s="7" t="s">
        <v>24</v>
      </c>
    </row>
    <row r="1924" spans="1:13" x14ac:dyDescent="0.3">
      <c r="A1924" s="7" t="str">
        <f>HYPERLINK("https://hsdes.intel.com/resource/14013179370","14013179370")</f>
        <v>14013179370</v>
      </c>
      <c r="B1924" s="7" t="s">
        <v>3304</v>
      </c>
      <c r="C1924" s="7" t="s">
        <v>1420</v>
      </c>
      <c r="D1924" s="7" t="s">
        <v>3305</v>
      </c>
      <c r="E1924" s="7" t="s">
        <v>342</v>
      </c>
      <c r="F1924" s="6" t="s">
        <v>3064</v>
      </c>
      <c r="G1924" s="7" t="s">
        <v>3021</v>
      </c>
      <c r="H1924" s="7"/>
      <c r="I1924" s="10">
        <v>44761</v>
      </c>
      <c r="J1924" s="7" t="s">
        <v>192</v>
      </c>
      <c r="K1924" s="7" t="s">
        <v>296</v>
      </c>
      <c r="L1924" s="7" t="s">
        <v>297</v>
      </c>
      <c r="M1924" s="7" t="s">
        <v>24</v>
      </c>
    </row>
    <row r="1925" spans="1:13" x14ac:dyDescent="0.3">
      <c r="A1925" s="7" t="str">
        <f>HYPERLINK("https://hsdes.intel.com/resource/14013179385","14013179385")</f>
        <v>14013179385</v>
      </c>
      <c r="B1925" s="7" t="s">
        <v>3306</v>
      </c>
      <c r="C1925" s="7" t="s">
        <v>1420</v>
      </c>
      <c r="D1925" s="7" t="s">
        <v>3307</v>
      </c>
      <c r="E1925" s="7" t="s">
        <v>11</v>
      </c>
      <c r="F1925" s="7"/>
      <c r="G1925" s="7" t="s">
        <v>1447</v>
      </c>
      <c r="H1925" s="7"/>
      <c r="I1925" s="10">
        <v>44755</v>
      </c>
      <c r="J1925" s="7" t="s">
        <v>13</v>
      </c>
      <c r="K1925" s="7" t="s">
        <v>439</v>
      </c>
      <c r="L1925" s="7" t="s">
        <v>158</v>
      </c>
      <c r="M1925" s="7" t="s">
        <v>24</v>
      </c>
    </row>
    <row r="1926" spans="1:13" x14ac:dyDescent="0.3">
      <c r="A1926" s="7" t="str">
        <f>HYPERLINK("https://hsdes.intel.com/resource/14013179407","14013179407")</f>
        <v>14013179407</v>
      </c>
      <c r="B1926" s="7" t="s">
        <v>3308</v>
      </c>
      <c r="C1926" s="7" t="s">
        <v>1420</v>
      </c>
      <c r="D1926" s="7" t="s">
        <v>3309</v>
      </c>
      <c r="E1926" s="7" t="s">
        <v>11</v>
      </c>
      <c r="F1926" s="7"/>
      <c r="G1926" s="7" t="s">
        <v>345</v>
      </c>
      <c r="H1926" s="7"/>
      <c r="I1926" s="10">
        <v>44757</v>
      </c>
      <c r="J1926" s="7" t="s">
        <v>13</v>
      </c>
      <c r="K1926" s="7" t="s">
        <v>93</v>
      </c>
      <c r="L1926" s="7" t="s">
        <v>94</v>
      </c>
      <c r="M1926" s="7" t="s">
        <v>16</v>
      </c>
    </row>
    <row r="1927" spans="1:13" x14ac:dyDescent="0.3">
      <c r="A1927" s="7" t="str">
        <f>HYPERLINK("https://hsdes.intel.com/resource/14013179427","14013179427")</f>
        <v>14013179427</v>
      </c>
      <c r="B1927" s="7" t="s">
        <v>3310</v>
      </c>
      <c r="C1927" s="7" t="s">
        <v>1420</v>
      </c>
      <c r="D1927" s="7" t="s">
        <v>3311</v>
      </c>
      <c r="E1927" s="7" t="s">
        <v>11</v>
      </c>
      <c r="F1927" s="7"/>
      <c r="G1927" s="7" t="s">
        <v>345</v>
      </c>
      <c r="H1927" s="7"/>
      <c r="I1927" s="10">
        <v>44757</v>
      </c>
      <c r="J1927" s="7" t="s">
        <v>13</v>
      </c>
      <c r="K1927" s="7" t="s">
        <v>93</v>
      </c>
      <c r="L1927" s="7" t="s">
        <v>94</v>
      </c>
      <c r="M1927" s="7" t="s">
        <v>16</v>
      </c>
    </row>
    <row r="1928" spans="1:13" x14ac:dyDescent="0.3">
      <c r="A1928" s="7" t="str">
        <f>HYPERLINK("https://hsdes.intel.com/resource/14013179515","14013179515")</f>
        <v>14013179515</v>
      </c>
      <c r="B1928" s="7" t="s">
        <v>3312</v>
      </c>
      <c r="C1928" s="7" t="s">
        <v>1420</v>
      </c>
      <c r="D1928" s="7" t="s">
        <v>3313</v>
      </c>
      <c r="E1928" s="7" t="s">
        <v>32</v>
      </c>
      <c r="F1928" s="33" t="s">
        <v>3637</v>
      </c>
      <c r="G1928" s="7" t="s">
        <v>2449</v>
      </c>
      <c r="H1928" s="7"/>
      <c r="I1928" s="10">
        <v>44760</v>
      </c>
      <c r="J1928" s="7" t="s">
        <v>13</v>
      </c>
      <c r="K1928" s="7" t="s">
        <v>93</v>
      </c>
      <c r="L1928" s="7" t="s">
        <v>94</v>
      </c>
      <c r="M1928" s="7" t="s">
        <v>24</v>
      </c>
    </row>
    <row r="1929" spans="1:13" x14ac:dyDescent="0.3">
      <c r="A1929" s="7" t="str">
        <f>HYPERLINK("https://hsdes.intel.com/resource/14013179580","14013179580")</f>
        <v>14013179580</v>
      </c>
      <c r="B1929" s="7" t="s">
        <v>3314</v>
      </c>
      <c r="C1929" s="7" t="s">
        <v>1420</v>
      </c>
      <c r="D1929" s="7" t="s">
        <v>3315</v>
      </c>
      <c r="E1929" s="7" t="s">
        <v>11</v>
      </c>
      <c r="F1929" s="7"/>
      <c r="G1929" s="7" t="s">
        <v>1475</v>
      </c>
      <c r="H1929" s="7"/>
      <c r="I1929" s="7"/>
      <c r="J1929" s="7" t="s">
        <v>13</v>
      </c>
      <c r="K1929" s="7" t="s">
        <v>71</v>
      </c>
      <c r="L1929" s="7" t="s">
        <v>34</v>
      </c>
      <c r="M1929" s="7" t="s">
        <v>16</v>
      </c>
    </row>
    <row r="1930" spans="1:13" x14ac:dyDescent="0.3">
      <c r="A1930" s="7" t="str">
        <f>HYPERLINK("https://hsdes.intel.com/resource/14013179689","14013179689")</f>
        <v>14013179689</v>
      </c>
      <c r="B1930" s="7" t="s">
        <v>3316</v>
      </c>
      <c r="C1930" s="7" t="s">
        <v>1420</v>
      </c>
      <c r="D1930" s="7" t="s">
        <v>3317</v>
      </c>
      <c r="E1930" s="7" t="s">
        <v>11</v>
      </c>
      <c r="F1930" s="7"/>
      <c r="G1930" s="7" t="s">
        <v>1432</v>
      </c>
      <c r="H1930" s="7"/>
      <c r="I1930" s="10">
        <v>44755</v>
      </c>
      <c r="J1930" s="7" t="s">
        <v>13</v>
      </c>
      <c r="K1930" s="7" t="s">
        <v>1433</v>
      </c>
      <c r="L1930" s="7" t="s">
        <v>1434</v>
      </c>
      <c r="M1930" s="7" t="s">
        <v>24</v>
      </c>
    </row>
    <row r="1931" spans="1:13" x14ac:dyDescent="0.3">
      <c r="A1931" s="7" t="str">
        <f>HYPERLINK("https://hsdes.intel.com/resource/14013179691","14013179691")</f>
        <v>14013179691</v>
      </c>
      <c r="B1931" s="7" t="s">
        <v>3318</v>
      </c>
      <c r="C1931" s="7" t="s">
        <v>1420</v>
      </c>
      <c r="D1931" s="7" t="s">
        <v>3319</v>
      </c>
      <c r="E1931" s="7" t="s">
        <v>342</v>
      </c>
      <c r="F1931" s="7"/>
      <c r="G1931" s="7" t="s">
        <v>2791</v>
      </c>
      <c r="H1931" s="7"/>
      <c r="I1931" s="7"/>
      <c r="J1931" s="7" t="s">
        <v>13</v>
      </c>
      <c r="K1931" s="7" t="s">
        <v>1433</v>
      </c>
      <c r="L1931" s="7" t="s">
        <v>1434</v>
      </c>
      <c r="M1931" s="7" t="s">
        <v>16</v>
      </c>
    </row>
    <row r="1932" spans="1:13" x14ac:dyDescent="0.3">
      <c r="A1932" s="7" t="str">
        <f>HYPERLINK("https://hsdes.intel.com/resource/14013179692","14013179692")</f>
        <v>14013179692</v>
      </c>
      <c r="B1932" s="7" t="s">
        <v>3320</v>
      </c>
      <c r="C1932" s="7" t="s">
        <v>1420</v>
      </c>
      <c r="D1932" s="7" t="s">
        <v>3321</v>
      </c>
      <c r="E1932" s="7" t="s">
        <v>11</v>
      </c>
      <c r="F1932" s="7"/>
      <c r="G1932" s="7" t="s">
        <v>1432</v>
      </c>
      <c r="H1932" s="7"/>
      <c r="I1932" s="10">
        <v>44755</v>
      </c>
      <c r="J1932" s="7" t="s">
        <v>13</v>
      </c>
      <c r="K1932" s="7" t="s">
        <v>1433</v>
      </c>
      <c r="L1932" s="7" t="s">
        <v>1434</v>
      </c>
      <c r="M1932" s="7" t="s">
        <v>16</v>
      </c>
    </row>
    <row r="1933" spans="1:13" x14ac:dyDescent="0.3">
      <c r="A1933" s="7" t="str">
        <f>HYPERLINK("https://hsdes.intel.com/resource/14013179698","14013179698")</f>
        <v>14013179698</v>
      </c>
      <c r="B1933" s="7" t="s">
        <v>3322</v>
      </c>
      <c r="C1933" s="7" t="s">
        <v>1420</v>
      </c>
      <c r="D1933" s="7" t="s">
        <v>3323</v>
      </c>
      <c r="E1933" s="7" t="s">
        <v>11</v>
      </c>
      <c r="F1933" s="7"/>
      <c r="G1933" s="7" t="s">
        <v>1447</v>
      </c>
      <c r="H1933" s="7"/>
      <c r="I1933" s="10">
        <v>44764</v>
      </c>
      <c r="J1933" s="7" t="s">
        <v>13</v>
      </c>
      <c r="K1933" s="7" t="s">
        <v>14</v>
      </c>
      <c r="L1933" s="7" t="s">
        <v>88</v>
      </c>
      <c r="M1933" s="7" t="s">
        <v>16</v>
      </c>
    </row>
    <row r="1934" spans="1:13" x14ac:dyDescent="0.3">
      <c r="A1934" s="25" t="str">
        <f>HYPERLINK("https://hsdes.intel.com/resource/14013179861","14013179861")</f>
        <v>14013179861</v>
      </c>
      <c r="B1934" s="7" t="s">
        <v>3324</v>
      </c>
      <c r="C1934" s="7" t="s">
        <v>1420</v>
      </c>
      <c r="D1934" s="7" t="s">
        <v>3325</v>
      </c>
      <c r="E1934" s="7" t="s">
        <v>11</v>
      </c>
      <c r="F1934" s="7"/>
      <c r="G1934" s="7" t="s">
        <v>3326</v>
      </c>
      <c r="H1934" s="7"/>
      <c r="I1934" s="10">
        <v>44757</v>
      </c>
      <c r="J1934" s="7" t="s">
        <v>13</v>
      </c>
      <c r="K1934" s="7" t="s">
        <v>14</v>
      </c>
      <c r="L1934" s="7" t="s">
        <v>88</v>
      </c>
      <c r="M1934" s="7" t="s">
        <v>24</v>
      </c>
    </row>
    <row r="1935" spans="1:13" x14ac:dyDescent="0.3">
      <c r="A1935" s="7" t="str">
        <f>HYPERLINK("https://hsdes.intel.com/resource/14013179900","14013179900")</f>
        <v>14013179900</v>
      </c>
      <c r="B1935" s="7" t="s">
        <v>3327</v>
      </c>
      <c r="C1935" s="7" t="s">
        <v>1420</v>
      </c>
      <c r="D1935" s="7" t="s">
        <v>3328</v>
      </c>
      <c r="E1935" s="7" t="s">
        <v>11</v>
      </c>
      <c r="F1935" s="7"/>
      <c r="G1935" s="7" t="s">
        <v>1482</v>
      </c>
      <c r="H1935" s="7"/>
      <c r="I1935" s="10">
        <v>44755</v>
      </c>
      <c r="J1935" s="7" t="s">
        <v>13</v>
      </c>
      <c r="K1935" s="7" t="s">
        <v>147</v>
      </c>
      <c r="L1935" s="7" t="s">
        <v>660</v>
      </c>
      <c r="M1935" s="7" t="s">
        <v>16</v>
      </c>
    </row>
    <row r="1936" spans="1:13" x14ac:dyDescent="0.3">
      <c r="A1936" s="7" t="str">
        <f>HYPERLINK("https://hsdes.intel.com/resource/14013179902","14013179902")</f>
        <v>14013179902</v>
      </c>
      <c r="B1936" s="7" t="s">
        <v>3329</v>
      </c>
      <c r="C1936" s="7" t="s">
        <v>1420</v>
      </c>
      <c r="D1936" s="7" t="s">
        <v>3330</v>
      </c>
      <c r="E1936" s="7" t="s">
        <v>11</v>
      </c>
      <c r="F1936" s="7"/>
      <c r="G1936" s="7" t="s">
        <v>1783</v>
      </c>
      <c r="H1936" s="7"/>
      <c r="I1936" s="10">
        <v>44757</v>
      </c>
      <c r="J1936" s="7" t="s">
        <v>13</v>
      </c>
      <c r="K1936" s="7" t="s">
        <v>14</v>
      </c>
      <c r="L1936" s="7" t="s">
        <v>15</v>
      </c>
      <c r="M1936" s="7" t="s">
        <v>16</v>
      </c>
    </row>
    <row r="1937" spans="1:13" x14ac:dyDescent="0.3">
      <c r="A1937" s="7" t="str">
        <f>HYPERLINK("https://hsdes.intel.com/resource/14013179993","14013179993")</f>
        <v>14013179993</v>
      </c>
      <c r="B1937" s="7" t="s">
        <v>3331</v>
      </c>
      <c r="C1937" s="7" t="s">
        <v>1420</v>
      </c>
      <c r="D1937" s="7" t="s">
        <v>3332</v>
      </c>
      <c r="E1937" s="7" t="s">
        <v>342</v>
      </c>
      <c r="F1937" s="7" t="s">
        <v>296</v>
      </c>
      <c r="G1937" s="7" t="s">
        <v>2791</v>
      </c>
      <c r="H1937" s="7"/>
      <c r="I1937" s="7"/>
      <c r="J1937" s="7" t="s">
        <v>13</v>
      </c>
      <c r="K1937" s="7" t="s">
        <v>296</v>
      </c>
      <c r="L1937" s="7" t="s">
        <v>297</v>
      </c>
      <c r="M1937" s="7" t="s">
        <v>24</v>
      </c>
    </row>
    <row r="1938" spans="1:13" x14ac:dyDescent="0.3">
      <c r="A1938" s="7" t="str">
        <f>HYPERLINK("https://hsdes.intel.com/resource/14013179998","14013179998")</f>
        <v>14013179998</v>
      </c>
      <c r="B1938" s="7" t="s">
        <v>3333</v>
      </c>
      <c r="C1938" s="7" t="s">
        <v>1420</v>
      </c>
      <c r="D1938" s="7" t="s">
        <v>3334</v>
      </c>
      <c r="E1938" s="7" t="s">
        <v>11</v>
      </c>
      <c r="F1938" s="7"/>
      <c r="G1938" s="7" t="s">
        <v>1429</v>
      </c>
      <c r="H1938" s="7"/>
      <c r="I1938" s="10">
        <v>44754</v>
      </c>
      <c r="J1938" s="7" t="s">
        <v>13</v>
      </c>
      <c r="K1938" s="7" t="s">
        <v>553</v>
      </c>
      <c r="L1938" s="7" t="s">
        <v>544</v>
      </c>
      <c r="M1938" s="7" t="s">
        <v>16</v>
      </c>
    </row>
    <row r="1939" spans="1:13" x14ac:dyDescent="0.3">
      <c r="A1939" s="7" t="str">
        <f>HYPERLINK("https://hsdes.intel.com/resource/14013180032","14013180032")</f>
        <v>14013180032</v>
      </c>
      <c r="B1939" s="7" t="s">
        <v>3335</v>
      </c>
      <c r="C1939" s="7" t="s">
        <v>1420</v>
      </c>
      <c r="D1939" s="7" t="s">
        <v>3336</v>
      </c>
      <c r="E1939" s="7" t="s">
        <v>11</v>
      </c>
      <c r="F1939" s="7"/>
      <c r="G1939" s="7" t="s">
        <v>1605</v>
      </c>
      <c r="H1939" s="7"/>
      <c r="I1939" s="10">
        <v>44758</v>
      </c>
      <c r="J1939" s="7" t="s">
        <v>13</v>
      </c>
      <c r="K1939" s="7" t="s">
        <v>67</v>
      </c>
      <c r="L1939" s="7" t="s">
        <v>68</v>
      </c>
      <c r="M1939" s="7" t="s">
        <v>21</v>
      </c>
    </row>
    <row r="1940" spans="1:13" x14ac:dyDescent="0.3">
      <c r="A1940" s="7" t="str">
        <f>HYPERLINK("https://hsdes.intel.com/resource/14013180090","14013180090")</f>
        <v>14013180090</v>
      </c>
      <c r="B1940" s="7" t="s">
        <v>3337</v>
      </c>
      <c r="C1940" s="7" t="s">
        <v>1420</v>
      </c>
      <c r="D1940" s="7" t="s">
        <v>3338</v>
      </c>
      <c r="E1940" s="7" t="s">
        <v>11</v>
      </c>
      <c r="F1940" s="7"/>
      <c r="G1940" s="7" t="s">
        <v>2449</v>
      </c>
      <c r="H1940" s="7"/>
      <c r="I1940" s="10">
        <v>44755</v>
      </c>
      <c r="J1940" s="7" t="s">
        <v>13</v>
      </c>
      <c r="K1940" s="7" t="s">
        <v>67</v>
      </c>
      <c r="L1940" s="7" t="s">
        <v>68</v>
      </c>
      <c r="M1940" s="7" t="s">
        <v>24</v>
      </c>
    </row>
    <row r="1941" spans="1:13" x14ac:dyDescent="0.3">
      <c r="A1941" s="7" t="str">
        <f>HYPERLINK("https://hsdes.intel.com/resource/14013180134","14013180134")</f>
        <v>14013180134</v>
      </c>
      <c r="B1941" s="7" t="s">
        <v>3339</v>
      </c>
      <c r="C1941" s="7" t="s">
        <v>1420</v>
      </c>
      <c r="D1941" s="7" t="s">
        <v>3340</v>
      </c>
      <c r="E1941" s="7" t="s">
        <v>11</v>
      </c>
      <c r="F1941" s="7"/>
      <c r="G1941" s="7" t="s">
        <v>1605</v>
      </c>
      <c r="H1941" s="7"/>
      <c r="I1941" s="10">
        <v>44757</v>
      </c>
      <c r="J1941" s="7" t="s">
        <v>13</v>
      </c>
      <c r="K1941" s="7" t="s">
        <v>67</v>
      </c>
      <c r="L1941" s="7" t="s">
        <v>68</v>
      </c>
      <c r="M1941" s="7" t="s">
        <v>21</v>
      </c>
    </row>
    <row r="1942" spans="1:13" x14ac:dyDescent="0.3">
      <c r="A1942" s="7" t="str">
        <f>HYPERLINK("https://hsdes.intel.com/resource/14013180149","14013180149")</f>
        <v>14013180149</v>
      </c>
      <c r="B1942" s="7" t="s">
        <v>3341</v>
      </c>
      <c r="C1942" s="7" t="s">
        <v>1420</v>
      </c>
      <c r="D1942" s="7" t="s">
        <v>3342</v>
      </c>
      <c r="E1942" s="7" t="s">
        <v>11</v>
      </c>
      <c r="F1942" s="7"/>
      <c r="G1942" s="7" t="s">
        <v>2449</v>
      </c>
      <c r="H1942" s="7"/>
      <c r="I1942" s="10">
        <v>44755</v>
      </c>
      <c r="J1942" s="7" t="s">
        <v>13</v>
      </c>
      <c r="K1942" s="7" t="s">
        <v>67</v>
      </c>
      <c r="L1942" s="7" t="s">
        <v>68</v>
      </c>
      <c r="M1942" s="7" t="s">
        <v>16</v>
      </c>
    </row>
    <row r="1943" spans="1:13" x14ac:dyDescent="0.3">
      <c r="A1943" s="7" t="str">
        <f>HYPERLINK("https://hsdes.intel.com/resource/14013180187","14013180187")</f>
        <v>14013180187</v>
      </c>
      <c r="B1943" s="7" t="s">
        <v>3343</v>
      </c>
      <c r="C1943" s="7" t="s">
        <v>1420</v>
      </c>
      <c r="D1943" s="7" t="s">
        <v>3344</v>
      </c>
      <c r="E1943" s="7" t="s">
        <v>11</v>
      </c>
      <c r="F1943" s="7"/>
      <c r="G1943" s="7" t="s">
        <v>1482</v>
      </c>
      <c r="H1943" s="7"/>
      <c r="I1943" s="10">
        <v>44755</v>
      </c>
      <c r="J1943" s="7" t="s">
        <v>13</v>
      </c>
      <c r="K1943" s="7" t="s">
        <v>67</v>
      </c>
      <c r="L1943" s="7" t="s">
        <v>660</v>
      </c>
      <c r="M1943" s="7" t="s">
        <v>16</v>
      </c>
    </row>
    <row r="1944" spans="1:13" x14ac:dyDescent="0.3">
      <c r="A1944" s="7" t="str">
        <f>HYPERLINK("https://hsdes.intel.com/resource/14013180190","14013180190")</f>
        <v>14013180190</v>
      </c>
      <c r="B1944" s="7" t="s">
        <v>3345</v>
      </c>
      <c r="C1944" s="7" t="s">
        <v>1420</v>
      </c>
      <c r="D1944" s="7" t="s">
        <v>3346</v>
      </c>
      <c r="E1944" s="7" t="s">
        <v>11</v>
      </c>
      <c r="F1944" s="7"/>
      <c r="G1944" s="7" t="s">
        <v>1482</v>
      </c>
      <c r="H1944" s="7"/>
      <c r="I1944" s="10">
        <v>44755</v>
      </c>
      <c r="J1944" s="7" t="s">
        <v>13</v>
      </c>
      <c r="K1944" s="7" t="s">
        <v>67</v>
      </c>
      <c r="L1944" s="7" t="s">
        <v>660</v>
      </c>
      <c r="M1944" s="7" t="s">
        <v>16</v>
      </c>
    </row>
    <row r="1945" spans="1:13" x14ac:dyDescent="0.3">
      <c r="A1945" s="7" t="str">
        <f>HYPERLINK("https://hsdes.intel.com/resource/14013180191","14013180191")</f>
        <v>14013180191</v>
      </c>
      <c r="B1945" s="7" t="s">
        <v>3347</v>
      </c>
      <c r="C1945" s="7" t="s">
        <v>1420</v>
      </c>
      <c r="D1945" s="7" t="s">
        <v>3348</v>
      </c>
      <c r="E1945" s="7" t="s">
        <v>11</v>
      </c>
      <c r="F1945" s="7"/>
      <c r="G1945" s="7" t="s">
        <v>1482</v>
      </c>
      <c r="H1945" s="7"/>
      <c r="I1945" s="10">
        <v>44755</v>
      </c>
      <c r="J1945" s="7" t="s">
        <v>13</v>
      </c>
      <c r="K1945" s="7" t="s">
        <v>67</v>
      </c>
      <c r="L1945" s="7" t="s">
        <v>660</v>
      </c>
      <c r="M1945" s="7" t="s">
        <v>16</v>
      </c>
    </row>
    <row r="1946" spans="1:13" x14ac:dyDescent="0.3">
      <c r="A1946" s="7" t="str">
        <f>HYPERLINK("https://hsdes.intel.com/resource/14013180193","14013180193")</f>
        <v>14013180193</v>
      </c>
      <c r="B1946" s="7" t="s">
        <v>3349</v>
      </c>
      <c r="C1946" s="7" t="s">
        <v>1420</v>
      </c>
      <c r="D1946" s="7" t="s">
        <v>3350</v>
      </c>
      <c r="E1946" s="7" t="s">
        <v>11</v>
      </c>
      <c r="F1946" s="7"/>
      <c r="G1946" s="7" t="s">
        <v>1770</v>
      </c>
      <c r="H1946" s="7"/>
      <c r="I1946" s="10">
        <v>44760</v>
      </c>
      <c r="J1946" s="7" t="s">
        <v>13</v>
      </c>
      <c r="K1946" s="7" t="s">
        <v>296</v>
      </c>
      <c r="L1946" s="7" t="s">
        <v>297</v>
      </c>
      <c r="M1946" s="7" t="s">
        <v>16</v>
      </c>
    </row>
    <row r="1947" spans="1:13" x14ac:dyDescent="0.3">
      <c r="A1947" s="7" t="str">
        <f>HYPERLINK("https://hsdes.intel.com/resource/14013180197","14013180197")</f>
        <v>14013180197</v>
      </c>
      <c r="B1947" s="7" t="s">
        <v>3351</v>
      </c>
      <c r="C1947" s="7" t="s">
        <v>1420</v>
      </c>
      <c r="D1947" s="7" t="s">
        <v>3352</v>
      </c>
      <c r="E1947" s="7" t="s">
        <v>11</v>
      </c>
      <c r="F1947" s="7"/>
      <c r="G1947" s="7" t="s">
        <v>1605</v>
      </c>
      <c r="H1947" s="7"/>
      <c r="I1947" s="10">
        <v>44758</v>
      </c>
      <c r="J1947" s="7" t="s">
        <v>13</v>
      </c>
      <c r="K1947" s="7" t="s">
        <v>67</v>
      </c>
      <c r="L1947" s="7" t="s">
        <v>68</v>
      </c>
      <c r="M1947" s="7" t="s">
        <v>16</v>
      </c>
    </row>
    <row r="1948" spans="1:13" x14ac:dyDescent="0.3">
      <c r="A1948" s="7" t="str">
        <f>HYPERLINK("https://hsdes.intel.com/resource/14013180208","14013180208")</f>
        <v>14013180208</v>
      </c>
      <c r="B1948" s="7" t="s">
        <v>3353</v>
      </c>
      <c r="C1948" s="7" t="s">
        <v>1420</v>
      </c>
      <c r="D1948" s="7" t="s">
        <v>3354</v>
      </c>
      <c r="E1948" s="7" t="s">
        <v>11</v>
      </c>
      <c r="F1948" s="7"/>
      <c r="G1948" s="7" t="s">
        <v>1605</v>
      </c>
      <c r="H1948" s="7"/>
      <c r="I1948" s="10">
        <v>44758</v>
      </c>
      <c r="J1948" s="7" t="s">
        <v>13</v>
      </c>
      <c r="K1948" s="7" t="s">
        <v>67</v>
      </c>
      <c r="L1948" s="7" t="s">
        <v>68</v>
      </c>
      <c r="M1948" s="7" t="s">
        <v>16</v>
      </c>
    </row>
    <row r="1949" spans="1:13" x14ac:dyDescent="0.3">
      <c r="A1949" s="7" t="str">
        <f>HYPERLINK("https://hsdes.intel.com/resource/14013180214","14013180214")</f>
        <v>14013180214</v>
      </c>
      <c r="B1949" s="7" t="s">
        <v>3355</v>
      </c>
      <c r="C1949" s="7" t="s">
        <v>1420</v>
      </c>
      <c r="D1949" s="7" t="s">
        <v>3356</v>
      </c>
      <c r="E1949" s="7" t="s">
        <v>11</v>
      </c>
      <c r="F1949" s="7"/>
      <c r="G1949" s="7" t="s">
        <v>2449</v>
      </c>
      <c r="H1949" s="7"/>
      <c r="I1949" s="10">
        <v>44755</v>
      </c>
      <c r="J1949" s="7" t="s">
        <v>13</v>
      </c>
      <c r="K1949" s="7" t="s">
        <v>67</v>
      </c>
      <c r="L1949" s="7" t="s">
        <v>68</v>
      </c>
      <c r="M1949" s="7" t="s">
        <v>16</v>
      </c>
    </row>
    <row r="1950" spans="1:13" x14ac:dyDescent="0.3">
      <c r="A1950" s="7" t="str">
        <f>HYPERLINK("https://hsdes.intel.com/resource/14013180217","14013180217")</f>
        <v>14013180217</v>
      </c>
      <c r="B1950" s="7" t="s">
        <v>3357</v>
      </c>
      <c r="C1950" s="7" t="s">
        <v>1420</v>
      </c>
      <c r="D1950" s="7" t="s">
        <v>3358</v>
      </c>
      <c r="E1950" s="7" t="s">
        <v>11</v>
      </c>
      <c r="F1950" s="7"/>
      <c r="G1950" s="7" t="s">
        <v>1482</v>
      </c>
      <c r="H1950" s="7"/>
      <c r="I1950" s="10">
        <v>44755</v>
      </c>
      <c r="J1950" s="7" t="s">
        <v>13</v>
      </c>
      <c r="K1950" s="7" t="s">
        <v>67</v>
      </c>
      <c r="L1950" s="7" t="s">
        <v>660</v>
      </c>
      <c r="M1950" s="7" t="s">
        <v>16</v>
      </c>
    </row>
    <row r="1951" spans="1:13" x14ac:dyDescent="0.3">
      <c r="A1951" s="7" t="str">
        <f>HYPERLINK("https://hsdes.intel.com/resource/14013180228","14013180228")</f>
        <v>14013180228</v>
      </c>
      <c r="B1951" s="7" t="s">
        <v>3359</v>
      </c>
      <c r="C1951" s="7" t="s">
        <v>1420</v>
      </c>
      <c r="D1951" s="7" t="s">
        <v>3360</v>
      </c>
      <c r="E1951" s="7"/>
      <c r="F1951" s="7"/>
      <c r="G1951" s="7" t="s">
        <v>833</v>
      </c>
      <c r="H1951" s="7"/>
      <c r="I1951" s="7"/>
      <c r="J1951" s="7" t="s">
        <v>13</v>
      </c>
      <c r="K1951" s="7" t="s">
        <v>523</v>
      </c>
      <c r="L1951" s="7" t="s">
        <v>660</v>
      </c>
      <c r="M1951" s="7" t="s">
        <v>24</v>
      </c>
    </row>
    <row r="1952" spans="1:13" x14ac:dyDescent="0.3">
      <c r="A1952" s="7" t="str">
        <f>HYPERLINK("https://hsdes.intel.com/resource/14013180236","14013180236")</f>
        <v>14013180236</v>
      </c>
      <c r="B1952" s="7" t="s">
        <v>3361</v>
      </c>
      <c r="C1952" s="7" t="s">
        <v>1420</v>
      </c>
      <c r="D1952" s="7" t="s">
        <v>3362</v>
      </c>
      <c r="E1952" s="7" t="s">
        <v>11</v>
      </c>
      <c r="F1952" s="7"/>
      <c r="G1952" s="7" t="s">
        <v>1482</v>
      </c>
      <c r="H1952" s="7"/>
      <c r="I1952" s="10">
        <v>44756</v>
      </c>
      <c r="J1952" s="7" t="s">
        <v>13</v>
      </c>
      <c r="K1952" s="7" t="s">
        <v>523</v>
      </c>
      <c r="L1952" s="7" t="s">
        <v>660</v>
      </c>
      <c r="M1952" s="7" t="s">
        <v>24</v>
      </c>
    </row>
    <row r="1953" spans="1:13" x14ac:dyDescent="0.3">
      <c r="A1953" s="7" t="str">
        <f>HYPERLINK("https://hsdes.intel.com/resource/14013180239","14013180239")</f>
        <v>14013180239</v>
      </c>
      <c r="B1953" s="7" t="s">
        <v>3363</v>
      </c>
      <c r="C1953" s="7" t="s">
        <v>1420</v>
      </c>
      <c r="D1953" s="7" t="s">
        <v>3364</v>
      </c>
      <c r="E1953" s="7" t="s">
        <v>11</v>
      </c>
      <c r="F1953" s="7"/>
      <c r="G1953" s="7" t="s">
        <v>3279</v>
      </c>
      <c r="H1953" s="7"/>
      <c r="I1953" s="10">
        <v>44761</v>
      </c>
      <c r="J1953" s="7" t="s">
        <v>13</v>
      </c>
      <c r="K1953" s="7" t="s">
        <v>523</v>
      </c>
      <c r="L1953" s="7" t="s">
        <v>660</v>
      </c>
      <c r="M1953" s="7" t="s">
        <v>24</v>
      </c>
    </row>
    <row r="1954" spans="1:13" x14ac:dyDescent="0.3">
      <c r="A1954" s="25" t="str">
        <f>HYPERLINK("https://hsdes.intel.com/resource/14013180247","14013180247")</f>
        <v>14013180247</v>
      </c>
      <c r="B1954" s="7" t="s">
        <v>3365</v>
      </c>
      <c r="C1954" s="7" t="s">
        <v>1420</v>
      </c>
      <c r="D1954" s="7" t="s">
        <v>3366</v>
      </c>
      <c r="E1954" s="7"/>
      <c r="F1954" s="7"/>
      <c r="G1954" s="7" t="s">
        <v>833</v>
      </c>
      <c r="H1954" s="7"/>
      <c r="I1954" s="7"/>
      <c r="J1954" s="7" t="s">
        <v>13</v>
      </c>
      <c r="K1954" s="7" t="s">
        <v>523</v>
      </c>
      <c r="L1954" s="7" t="s">
        <v>660</v>
      </c>
      <c r="M1954" s="7" t="s">
        <v>24</v>
      </c>
    </row>
    <row r="1955" spans="1:13" x14ac:dyDescent="0.3">
      <c r="A1955" s="7" t="str">
        <f>HYPERLINK("https://hsdes.intel.com/resource/14013180248","14013180248")</f>
        <v>14013180248</v>
      </c>
      <c r="B1955" s="7" t="s">
        <v>3367</v>
      </c>
      <c r="C1955" s="7" t="s">
        <v>1420</v>
      </c>
      <c r="D1955" s="7" t="s">
        <v>3368</v>
      </c>
      <c r="E1955" s="7" t="s">
        <v>11</v>
      </c>
      <c r="F1955" s="7"/>
      <c r="G1955" s="7" t="s">
        <v>1482</v>
      </c>
      <c r="H1955" s="7"/>
      <c r="I1955" s="10">
        <v>44756</v>
      </c>
      <c r="J1955" s="7" t="s">
        <v>13</v>
      </c>
      <c r="K1955" s="7" t="s">
        <v>523</v>
      </c>
      <c r="L1955" s="7" t="s">
        <v>660</v>
      </c>
      <c r="M1955" s="7" t="s">
        <v>24</v>
      </c>
    </row>
    <row r="1956" spans="1:13" x14ac:dyDescent="0.3">
      <c r="A1956" s="7" t="str">
        <f>HYPERLINK("https://hsdes.intel.com/resource/14013180276","14013180276")</f>
        <v>14013180276</v>
      </c>
      <c r="B1956" s="7" t="s">
        <v>3369</v>
      </c>
      <c r="C1956" s="7" t="s">
        <v>1420</v>
      </c>
      <c r="D1956" s="7" t="s">
        <v>3370</v>
      </c>
      <c r="E1956" s="7" t="s">
        <v>11</v>
      </c>
      <c r="F1956" s="7"/>
      <c r="G1956" s="7" t="s">
        <v>1605</v>
      </c>
      <c r="H1956" s="7"/>
      <c r="I1956" s="10">
        <v>44757</v>
      </c>
      <c r="J1956" s="7" t="s">
        <v>192</v>
      </c>
      <c r="K1956" s="7" t="s">
        <v>67</v>
      </c>
      <c r="L1956" s="7" t="s">
        <v>68</v>
      </c>
      <c r="M1956" s="7" t="s">
        <v>16</v>
      </c>
    </row>
    <row r="1957" spans="1:13" x14ac:dyDescent="0.3">
      <c r="A1957" s="7" t="str">
        <f>HYPERLINK("https://hsdes.intel.com/resource/14013180283","14013180283")</f>
        <v>14013180283</v>
      </c>
      <c r="B1957" s="7" t="s">
        <v>3371</v>
      </c>
      <c r="C1957" s="7" t="s">
        <v>1420</v>
      </c>
      <c r="D1957" s="7" t="s">
        <v>3372</v>
      </c>
      <c r="E1957" s="7" t="s">
        <v>11</v>
      </c>
      <c r="F1957" s="7"/>
      <c r="G1957" s="7" t="s">
        <v>1605</v>
      </c>
      <c r="H1957" s="7"/>
      <c r="I1957" s="10">
        <v>44762</v>
      </c>
      <c r="J1957" s="7" t="s">
        <v>192</v>
      </c>
      <c r="K1957" s="7" t="s">
        <v>67</v>
      </c>
      <c r="L1957" s="7" t="s">
        <v>68</v>
      </c>
      <c r="M1957" s="7" t="s">
        <v>16</v>
      </c>
    </row>
    <row r="1958" spans="1:13" x14ac:dyDescent="0.3">
      <c r="A1958" s="7" t="str">
        <f>HYPERLINK("https://hsdes.intel.com/resource/14013180286","14013180286")</f>
        <v>14013180286</v>
      </c>
      <c r="B1958" s="7" t="s">
        <v>3373</v>
      </c>
      <c r="C1958" s="7" t="s">
        <v>1420</v>
      </c>
      <c r="D1958" s="7" t="s">
        <v>3374</v>
      </c>
      <c r="E1958" s="7" t="s">
        <v>11</v>
      </c>
      <c r="F1958" s="7"/>
      <c r="G1958" s="7" t="s">
        <v>1482</v>
      </c>
      <c r="H1958" s="7"/>
      <c r="I1958" s="10">
        <v>44755</v>
      </c>
      <c r="J1958" s="7" t="s">
        <v>13</v>
      </c>
      <c r="K1958" s="7" t="s">
        <v>67</v>
      </c>
      <c r="L1958" s="7" t="s">
        <v>660</v>
      </c>
      <c r="M1958" s="7" t="s">
        <v>16</v>
      </c>
    </row>
    <row r="1959" spans="1:13" x14ac:dyDescent="0.3">
      <c r="A1959" s="7" t="str">
        <f>HYPERLINK("https://hsdes.intel.com/resource/14013180355","14013180355")</f>
        <v>14013180355</v>
      </c>
      <c r="B1959" s="7" t="s">
        <v>3375</v>
      </c>
      <c r="C1959" s="7" t="s">
        <v>1420</v>
      </c>
      <c r="D1959" s="7" t="s">
        <v>3376</v>
      </c>
      <c r="E1959" s="7" t="s">
        <v>11</v>
      </c>
      <c r="F1959" s="7"/>
      <c r="G1959" s="7" t="s">
        <v>1482</v>
      </c>
      <c r="H1959" s="7"/>
      <c r="I1959" s="10">
        <v>44755</v>
      </c>
      <c r="J1959" s="7" t="s">
        <v>13</v>
      </c>
      <c r="K1959" s="7" t="s">
        <v>105</v>
      </c>
      <c r="L1959" s="7" t="s">
        <v>660</v>
      </c>
      <c r="M1959" s="7" t="s">
        <v>24</v>
      </c>
    </row>
    <row r="1960" spans="1:13" x14ac:dyDescent="0.3">
      <c r="A1960" s="7" t="str">
        <f>HYPERLINK("https://hsdes.intel.com/resource/14013180397","14013180397")</f>
        <v>14013180397</v>
      </c>
      <c r="B1960" s="7" t="s">
        <v>3377</v>
      </c>
      <c r="C1960" s="7" t="s">
        <v>1420</v>
      </c>
      <c r="D1960" s="7" t="s">
        <v>3378</v>
      </c>
      <c r="E1960" s="7" t="s">
        <v>11</v>
      </c>
      <c r="F1960" s="7"/>
      <c r="G1960" s="7" t="s">
        <v>2449</v>
      </c>
      <c r="H1960" s="7"/>
      <c r="I1960" s="10">
        <v>44755</v>
      </c>
      <c r="J1960" s="7" t="s">
        <v>13</v>
      </c>
      <c r="K1960" s="7" t="s">
        <v>67</v>
      </c>
      <c r="L1960" s="7" t="s">
        <v>68</v>
      </c>
      <c r="M1960" s="7" t="s">
        <v>24</v>
      </c>
    </row>
    <row r="1961" spans="1:13" x14ac:dyDescent="0.3">
      <c r="A1961" s="7" t="str">
        <f>HYPERLINK("https://hsdes.intel.com/resource/14013180445","14013180445")</f>
        <v>14013180445</v>
      </c>
      <c r="B1961" s="7" t="s">
        <v>3379</v>
      </c>
      <c r="C1961" s="7" t="s">
        <v>1420</v>
      </c>
      <c r="D1961" s="7" t="s">
        <v>3380</v>
      </c>
      <c r="E1961" s="7" t="s">
        <v>11</v>
      </c>
      <c r="F1961" s="7"/>
      <c r="G1961" s="7" t="s">
        <v>2449</v>
      </c>
      <c r="H1961" s="7"/>
      <c r="I1961" s="10">
        <v>44755</v>
      </c>
      <c r="J1961" s="7" t="s">
        <v>13</v>
      </c>
      <c r="K1961" s="7" t="s">
        <v>67</v>
      </c>
      <c r="L1961" s="7" t="s">
        <v>68</v>
      </c>
      <c r="M1961" s="7" t="s">
        <v>16</v>
      </c>
    </row>
    <row r="1962" spans="1:13" x14ac:dyDescent="0.3">
      <c r="A1962" s="7" t="str">
        <f>HYPERLINK("https://hsdes.intel.com/resource/14013180617","14013180617")</f>
        <v>14013180617</v>
      </c>
      <c r="B1962" s="7" t="s">
        <v>3381</v>
      </c>
      <c r="C1962" s="7" t="s">
        <v>1420</v>
      </c>
      <c r="D1962" s="7" t="s">
        <v>3382</v>
      </c>
      <c r="E1962" s="7" t="s">
        <v>11</v>
      </c>
      <c r="F1962" s="7"/>
      <c r="G1962" s="7" t="s">
        <v>1605</v>
      </c>
      <c r="H1962" s="7"/>
      <c r="I1962" s="10">
        <v>44757</v>
      </c>
      <c r="J1962" s="7" t="s">
        <v>13</v>
      </c>
      <c r="K1962" s="7" t="s">
        <v>67</v>
      </c>
      <c r="L1962" s="7" t="s">
        <v>68</v>
      </c>
      <c r="M1962" s="7" t="s">
        <v>16</v>
      </c>
    </row>
    <row r="1963" spans="1:13" x14ac:dyDescent="0.3">
      <c r="A1963" s="7" t="str">
        <f>HYPERLINK("https://hsdes.intel.com/resource/14013184048","14013184048")</f>
        <v>14013184048</v>
      </c>
      <c r="B1963" s="7" t="s">
        <v>3383</v>
      </c>
      <c r="C1963" s="7" t="s">
        <v>1420</v>
      </c>
      <c r="D1963" s="7" t="s">
        <v>3384</v>
      </c>
      <c r="E1963" s="7" t="s">
        <v>11</v>
      </c>
      <c r="F1963" s="7"/>
      <c r="G1963" s="7" t="s">
        <v>2449</v>
      </c>
      <c r="H1963" s="7"/>
      <c r="I1963" s="10">
        <v>44757</v>
      </c>
      <c r="J1963" s="7" t="s">
        <v>13</v>
      </c>
      <c r="K1963" s="7" t="s">
        <v>19</v>
      </c>
      <c r="L1963" s="7" t="s">
        <v>20</v>
      </c>
      <c r="M1963" s="7" t="s">
        <v>24</v>
      </c>
    </row>
    <row r="1964" spans="1:13" x14ac:dyDescent="0.3">
      <c r="A1964" s="7" t="str">
        <f>HYPERLINK("https://hsdes.intel.com/resource/14013184052","14013184052")</f>
        <v>14013184052</v>
      </c>
      <c r="B1964" s="7" t="s">
        <v>3385</v>
      </c>
      <c r="C1964" s="7" t="s">
        <v>1420</v>
      </c>
      <c r="D1964" s="7" t="s">
        <v>3386</v>
      </c>
      <c r="E1964" s="7" t="s">
        <v>11</v>
      </c>
      <c r="F1964" s="7"/>
      <c r="G1964" s="7" t="s">
        <v>2449</v>
      </c>
      <c r="H1964" s="7"/>
      <c r="I1964" s="10">
        <v>44757</v>
      </c>
      <c r="J1964" s="7" t="s">
        <v>13</v>
      </c>
      <c r="K1964" s="7" t="s">
        <v>19</v>
      </c>
      <c r="L1964" s="7" t="s">
        <v>20</v>
      </c>
      <c r="M1964" s="7" t="s">
        <v>24</v>
      </c>
    </row>
    <row r="1965" spans="1:13" x14ac:dyDescent="0.3">
      <c r="A1965" s="7" t="str">
        <f>HYPERLINK("https://hsdes.intel.com/resource/14013184070","14013184070")</f>
        <v>14013184070</v>
      </c>
      <c r="B1965" s="7" t="s">
        <v>3387</v>
      </c>
      <c r="C1965" s="7" t="s">
        <v>1420</v>
      </c>
      <c r="D1965" s="7" t="s">
        <v>3388</v>
      </c>
      <c r="E1965" s="7" t="s">
        <v>11</v>
      </c>
      <c r="F1965" s="7" t="s">
        <v>3389</v>
      </c>
      <c r="G1965" s="7" t="s">
        <v>2449</v>
      </c>
      <c r="H1965" s="7"/>
      <c r="I1965" s="10">
        <v>44757</v>
      </c>
      <c r="J1965" s="7" t="s">
        <v>13</v>
      </c>
      <c r="K1965" s="7" t="s">
        <v>19</v>
      </c>
      <c r="L1965" s="7" t="s">
        <v>20</v>
      </c>
      <c r="M1965" s="7" t="s">
        <v>24</v>
      </c>
    </row>
    <row r="1966" spans="1:13" x14ac:dyDescent="0.3">
      <c r="A1966" s="7" t="str">
        <f>HYPERLINK("https://hsdes.intel.com/resource/14013184074","14013184074")</f>
        <v>14013184074</v>
      </c>
      <c r="B1966" s="7" t="s">
        <v>3390</v>
      </c>
      <c r="C1966" s="7" t="s">
        <v>1420</v>
      </c>
      <c r="D1966" s="7" t="s">
        <v>3391</v>
      </c>
      <c r="E1966" s="7" t="s">
        <v>11</v>
      </c>
      <c r="F1966" s="7"/>
      <c r="G1966" s="7" t="s">
        <v>2449</v>
      </c>
      <c r="H1966" s="7"/>
      <c r="I1966" s="10">
        <v>44757</v>
      </c>
      <c r="J1966" s="7" t="s">
        <v>13</v>
      </c>
      <c r="K1966" s="7" t="s">
        <v>19</v>
      </c>
      <c r="L1966" s="7" t="s">
        <v>20</v>
      </c>
      <c r="M1966" s="7" t="s">
        <v>24</v>
      </c>
    </row>
    <row r="1967" spans="1:13" x14ac:dyDescent="0.3">
      <c r="A1967" s="7" t="str">
        <f>HYPERLINK("https://hsdes.intel.com/resource/14013184079","14013184079")</f>
        <v>14013184079</v>
      </c>
      <c r="B1967" s="7" t="s">
        <v>3392</v>
      </c>
      <c r="C1967" s="7" t="s">
        <v>1420</v>
      </c>
      <c r="D1967" s="7" t="s">
        <v>3393</v>
      </c>
      <c r="E1967" s="7" t="s">
        <v>11</v>
      </c>
      <c r="F1967" s="7"/>
      <c r="G1967" s="7" t="s">
        <v>2449</v>
      </c>
      <c r="H1967" s="7"/>
      <c r="I1967" s="10">
        <v>44757</v>
      </c>
      <c r="J1967" s="7" t="s">
        <v>13</v>
      </c>
      <c r="K1967" s="7" t="s">
        <v>19</v>
      </c>
      <c r="L1967" s="7" t="s">
        <v>20</v>
      </c>
      <c r="M1967" s="7" t="s">
        <v>24</v>
      </c>
    </row>
    <row r="1968" spans="1:13" x14ac:dyDescent="0.3">
      <c r="A1968" s="7" t="str">
        <f>HYPERLINK("https://hsdes.intel.com/resource/14013184081","14013184081")</f>
        <v>14013184081</v>
      </c>
      <c r="B1968" s="7" t="s">
        <v>3394</v>
      </c>
      <c r="C1968" s="7" t="s">
        <v>1420</v>
      </c>
      <c r="D1968" s="7" t="s">
        <v>3395</v>
      </c>
      <c r="E1968" s="7" t="s">
        <v>11</v>
      </c>
      <c r="F1968" s="7"/>
      <c r="G1968" s="7" t="s">
        <v>2449</v>
      </c>
      <c r="H1968" s="7"/>
      <c r="I1968" s="10">
        <v>44757</v>
      </c>
      <c r="J1968" s="7" t="s">
        <v>13</v>
      </c>
      <c r="K1968" s="7" t="s">
        <v>19</v>
      </c>
      <c r="L1968" s="7" t="s">
        <v>20</v>
      </c>
      <c r="M1968" s="7" t="s">
        <v>24</v>
      </c>
    </row>
    <row r="1969" spans="1:13" x14ac:dyDescent="0.3">
      <c r="A1969" s="7" t="str">
        <f>HYPERLINK("https://hsdes.intel.com/resource/14013184549","14013184549")</f>
        <v>14013184549</v>
      </c>
      <c r="B1969" s="7" t="s">
        <v>322</v>
      </c>
      <c r="C1969" s="7" t="s">
        <v>1420</v>
      </c>
      <c r="D1969" s="7" t="s">
        <v>323</v>
      </c>
      <c r="E1969" s="7" t="s">
        <v>342</v>
      </c>
      <c r="F1969" s="7"/>
      <c r="G1969" s="7" t="s">
        <v>1447</v>
      </c>
      <c r="H1969" s="7"/>
      <c r="I1969" s="10">
        <v>44762</v>
      </c>
      <c r="J1969" s="7" t="s">
        <v>13</v>
      </c>
      <c r="K1969" s="7" t="s">
        <v>28</v>
      </c>
      <c r="L1969" s="7" t="s">
        <v>29</v>
      </c>
      <c r="M1969" s="7" t="s">
        <v>16</v>
      </c>
    </row>
    <row r="1970" spans="1:13" x14ac:dyDescent="0.3">
      <c r="A1970" s="7" t="str">
        <f>HYPERLINK("https://hsdes.intel.com/resource/14013184882","14013184882")</f>
        <v>14013184882</v>
      </c>
      <c r="B1970" s="7" t="s">
        <v>3396</v>
      </c>
      <c r="C1970" s="7" t="s">
        <v>1420</v>
      </c>
      <c r="D1970" s="7" t="s">
        <v>3397</v>
      </c>
      <c r="E1970" s="7" t="s">
        <v>11</v>
      </c>
      <c r="F1970" s="7"/>
      <c r="G1970" s="7" t="s">
        <v>836</v>
      </c>
      <c r="H1970" s="7"/>
      <c r="I1970" s="10">
        <v>44755</v>
      </c>
      <c r="J1970" s="7" t="s">
        <v>13</v>
      </c>
      <c r="K1970" s="7" t="s">
        <v>328</v>
      </c>
      <c r="L1970" s="7" t="s">
        <v>29</v>
      </c>
      <c r="M1970" s="7" t="s">
        <v>16</v>
      </c>
    </row>
    <row r="1971" spans="1:13" x14ac:dyDescent="0.3">
      <c r="A1971" s="7" t="str">
        <f>HYPERLINK("https://hsdes.intel.com/resource/14013184884","14013184884")</f>
        <v>14013184884</v>
      </c>
      <c r="B1971" s="7" t="s">
        <v>3398</v>
      </c>
      <c r="C1971" s="7" t="s">
        <v>1420</v>
      </c>
      <c r="D1971" s="7" t="s">
        <v>3399</v>
      </c>
      <c r="E1971" s="7" t="s">
        <v>11</v>
      </c>
      <c r="F1971" s="7"/>
      <c r="G1971" s="7" t="s">
        <v>836</v>
      </c>
      <c r="H1971" s="7"/>
      <c r="I1971" s="10">
        <v>44755</v>
      </c>
      <c r="J1971" s="7" t="s">
        <v>13</v>
      </c>
      <c r="K1971" s="7" t="s">
        <v>328</v>
      </c>
      <c r="L1971" s="7" t="s">
        <v>29</v>
      </c>
      <c r="M1971" s="7" t="s">
        <v>24</v>
      </c>
    </row>
    <row r="1972" spans="1:13" x14ac:dyDescent="0.3">
      <c r="A1972" s="7" t="str">
        <f>HYPERLINK("https://hsdes.intel.com/resource/14013184885","14013184885")</f>
        <v>14013184885</v>
      </c>
      <c r="B1972" s="7" t="s">
        <v>3400</v>
      </c>
      <c r="C1972" s="7" t="s">
        <v>1420</v>
      </c>
      <c r="D1972" s="7" t="s">
        <v>3401</v>
      </c>
      <c r="E1972" s="7" t="s">
        <v>11</v>
      </c>
      <c r="F1972" s="7"/>
      <c r="G1972" s="7" t="s">
        <v>2449</v>
      </c>
      <c r="H1972" s="7"/>
      <c r="I1972" s="10">
        <v>44758</v>
      </c>
      <c r="J1972" s="7" t="s">
        <v>13</v>
      </c>
      <c r="K1972" s="7" t="s">
        <v>328</v>
      </c>
      <c r="L1972" s="7" t="s">
        <v>29</v>
      </c>
      <c r="M1972" s="7" t="s">
        <v>16</v>
      </c>
    </row>
    <row r="1973" spans="1:13" x14ac:dyDescent="0.3">
      <c r="A1973" s="7" t="str">
        <f>HYPERLINK("https://hsdes.intel.com/resource/14013184886","14013184886")</f>
        <v>14013184886</v>
      </c>
      <c r="B1973" s="7" t="s">
        <v>3402</v>
      </c>
      <c r="C1973" s="7" t="s">
        <v>1420</v>
      </c>
      <c r="D1973" s="7" t="s">
        <v>3403</v>
      </c>
      <c r="E1973" s="7" t="s">
        <v>11</v>
      </c>
      <c r="F1973" s="7"/>
      <c r="G1973" s="7" t="s">
        <v>2449</v>
      </c>
      <c r="H1973" s="7"/>
      <c r="I1973" s="10">
        <v>44758</v>
      </c>
      <c r="J1973" s="7" t="s">
        <v>13</v>
      </c>
      <c r="K1973" s="7" t="s">
        <v>328</v>
      </c>
      <c r="L1973" s="7" t="s">
        <v>29</v>
      </c>
      <c r="M1973" s="7" t="s">
        <v>21</v>
      </c>
    </row>
    <row r="1974" spans="1:13" x14ac:dyDescent="0.3">
      <c r="A1974" s="7" t="str">
        <f>HYPERLINK("https://hsdes.intel.com/resource/14013184965","14013184965")</f>
        <v>14013184965</v>
      </c>
      <c r="B1974" s="7" t="s">
        <v>326</v>
      </c>
      <c r="C1974" s="7" t="s">
        <v>1420</v>
      </c>
      <c r="D1974" s="7" t="s">
        <v>327</v>
      </c>
      <c r="E1974" s="7" t="s">
        <v>342</v>
      </c>
      <c r="F1974" s="7"/>
      <c r="G1974" s="7" t="s">
        <v>841</v>
      </c>
      <c r="H1974" s="7"/>
      <c r="I1974" s="10">
        <v>44763</v>
      </c>
      <c r="J1974" s="7" t="s">
        <v>13</v>
      </c>
      <c r="K1974" s="7" t="s">
        <v>328</v>
      </c>
      <c r="L1974" s="7" t="s">
        <v>29</v>
      </c>
      <c r="M1974" s="7" t="s">
        <v>16</v>
      </c>
    </row>
    <row r="1975" spans="1:13" x14ac:dyDescent="0.3">
      <c r="A1975" s="7" t="str">
        <f>HYPERLINK("https://hsdes.intel.com/resource/14013185088","14013185088")</f>
        <v>14013185088</v>
      </c>
      <c r="B1975" s="7" t="s">
        <v>3404</v>
      </c>
      <c r="C1975" s="7" t="s">
        <v>1420</v>
      </c>
      <c r="D1975" s="7" t="s">
        <v>3405</v>
      </c>
      <c r="E1975" s="7" t="s">
        <v>11</v>
      </c>
      <c r="F1975" s="7"/>
      <c r="G1975" s="7" t="s">
        <v>836</v>
      </c>
      <c r="H1975" s="7"/>
      <c r="I1975" s="10">
        <v>44755</v>
      </c>
      <c r="J1975" s="7" t="s">
        <v>13</v>
      </c>
      <c r="K1975" s="7" t="s">
        <v>328</v>
      </c>
      <c r="L1975" s="7" t="s">
        <v>29</v>
      </c>
      <c r="M1975" s="7" t="s">
        <v>24</v>
      </c>
    </row>
    <row r="1976" spans="1:13" x14ac:dyDescent="0.3">
      <c r="A1976" s="7" t="str">
        <f>HYPERLINK("https://hsdes.intel.com/resource/14013185094","14013185094")</f>
        <v>14013185094</v>
      </c>
      <c r="B1976" s="7" t="s">
        <v>3406</v>
      </c>
      <c r="C1976" s="7" t="s">
        <v>1420</v>
      </c>
      <c r="D1976" s="7" t="s">
        <v>3407</v>
      </c>
      <c r="E1976" s="7" t="s">
        <v>11</v>
      </c>
      <c r="F1976" s="7"/>
      <c r="G1976" s="7" t="s">
        <v>836</v>
      </c>
      <c r="H1976" s="7"/>
      <c r="I1976" s="10">
        <v>44755</v>
      </c>
      <c r="J1976" s="7" t="s">
        <v>13</v>
      </c>
      <c r="K1976" s="7" t="s">
        <v>328</v>
      </c>
      <c r="L1976" s="7" t="s">
        <v>29</v>
      </c>
      <c r="M1976" s="7" t="s">
        <v>24</v>
      </c>
    </row>
    <row r="1977" spans="1:13" x14ac:dyDescent="0.3">
      <c r="A1977" s="7" t="str">
        <f>HYPERLINK("https://hsdes.intel.com/resource/14013185096","14013185096")</f>
        <v>14013185096</v>
      </c>
      <c r="B1977" s="7" t="s">
        <v>3408</v>
      </c>
      <c r="C1977" s="7" t="s">
        <v>1420</v>
      </c>
      <c r="D1977" s="7" t="s">
        <v>3409</v>
      </c>
      <c r="E1977" s="7" t="s">
        <v>11</v>
      </c>
      <c r="F1977" s="7"/>
      <c r="G1977" s="7" t="s">
        <v>2449</v>
      </c>
      <c r="H1977" s="7"/>
      <c r="I1977" s="10">
        <v>44758</v>
      </c>
      <c r="J1977" s="7" t="s">
        <v>13</v>
      </c>
      <c r="K1977" s="7" t="s">
        <v>328</v>
      </c>
      <c r="L1977" s="7" t="s">
        <v>29</v>
      </c>
      <c r="M1977" s="7" t="s">
        <v>24</v>
      </c>
    </row>
    <row r="1978" spans="1:13" x14ac:dyDescent="0.3">
      <c r="A1978" s="7" t="str">
        <f>HYPERLINK("https://hsdes.intel.com/resource/14013185098","14013185098")</f>
        <v>14013185098</v>
      </c>
      <c r="B1978" s="7" t="s">
        <v>3410</v>
      </c>
      <c r="C1978" s="7" t="s">
        <v>1420</v>
      </c>
      <c r="D1978" s="7" t="s">
        <v>3411</v>
      </c>
      <c r="E1978" s="7" t="s">
        <v>11</v>
      </c>
      <c r="F1978" s="7"/>
      <c r="G1978" s="7" t="s">
        <v>2449</v>
      </c>
      <c r="H1978" s="7"/>
      <c r="I1978" s="10">
        <v>44758</v>
      </c>
      <c r="J1978" s="7" t="s">
        <v>13</v>
      </c>
      <c r="K1978" s="7" t="s">
        <v>328</v>
      </c>
      <c r="L1978" s="7" t="s">
        <v>29</v>
      </c>
      <c r="M1978" s="7" t="s">
        <v>24</v>
      </c>
    </row>
    <row r="1979" spans="1:13" x14ac:dyDescent="0.3">
      <c r="A1979" s="7" t="str">
        <f>HYPERLINK("https://hsdes.intel.com/resource/14013185100","14013185100")</f>
        <v>14013185100</v>
      </c>
      <c r="B1979" s="7" t="s">
        <v>3412</v>
      </c>
      <c r="C1979" s="7" t="s">
        <v>1420</v>
      </c>
      <c r="D1979" s="7" t="s">
        <v>3413</v>
      </c>
      <c r="E1979" s="7" t="s">
        <v>11</v>
      </c>
      <c r="F1979" s="7"/>
      <c r="G1979" s="7" t="s">
        <v>345</v>
      </c>
      <c r="H1979" s="7"/>
      <c r="I1979" s="10">
        <v>44760</v>
      </c>
      <c r="J1979" s="7" t="s">
        <v>13</v>
      </c>
      <c r="K1979" s="7" t="s">
        <v>328</v>
      </c>
      <c r="L1979" s="7" t="s">
        <v>29</v>
      </c>
      <c r="M1979" s="7" t="s">
        <v>24</v>
      </c>
    </row>
    <row r="1980" spans="1:13" x14ac:dyDescent="0.3">
      <c r="A1980" s="7" t="str">
        <f>HYPERLINK("https://hsdes.intel.com/resource/14013185127","14013185127")</f>
        <v>14013185127</v>
      </c>
      <c r="B1980" s="7" t="s">
        <v>3414</v>
      </c>
      <c r="C1980" s="7" t="s">
        <v>1420</v>
      </c>
      <c r="D1980" s="7" t="s">
        <v>3415</v>
      </c>
      <c r="E1980" s="7" t="s">
        <v>838</v>
      </c>
      <c r="F1980" s="7" t="s">
        <v>1873</v>
      </c>
      <c r="G1980" s="7" t="s">
        <v>345</v>
      </c>
      <c r="H1980" s="7"/>
      <c r="I1980" s="10">
        <v>44757</v>
      </c>
      <c r="J1980" s="7" t="s">
        <v>13</v>
      </c>
      <c r="K1980" s="7" t="s">
        <v>93</v>
      </c>
      <c r="L1980" s="7" t="s">
        <v>94</v>
      </c>
      <c r="M1980" s="7" t="s">
        <v>24</v>
      </c>
    </row>
    <row r="1981" spans="1:13" x14ac:dyDescent="0.3">
      <c r="A1981" s="7" t="str">
        <f>HYPERLINK("https://hsdes.intel.com/resource/14013185192","14013185192")</f>
        <v>14013185192</v>
      </c>
      <c r="B1981" s="7" t="s">
        <v>3416</v>
      </c>
      <c r="C1981" s="7" t="s">
        <v>1420</v>
      </c>
      <c r="D1981" s="7" t="s">
        <v>3417</v>
      </c>
      <c r="E1981" s="7" t="s">
        <v>838</v>
      </c>
      <c r="F1981" s="7" t="s">
        <v>1873</v>
      </c>
      <c r="G1981" s="7" t="s">
        <v>345</v>
      </c>
      <c r="H1981" s="7"/>
      <c r="I1981" s="10">
        <v>44757</v>
      </c>
      <c r="J1981" s="7" t="s">
        <v>13</v>
      </c>
      <c r="K1981" s="7" t="s">
        <v>93</v>
      </c>
      <c r="L1981" s="7" t="s">
        <v>94</v>
      </c>
      <c r="M1981" s="7" t="s">
        <v>24</v>
      </c>
    </row>
    <row r="1982" spans="1:13" x14ac:dyDescent="0.3">
      <c r="A1982" s="7" t="str">
        <f>HYPERLINK("https://hsdes.intel.com/resource/14013185197","14013185197")</f>
        <v>14013185197</v>
      </c>
      <c r="B1982" s="7" t="s">
        <v>831</v>
      </c>
      <c r="C1982" s="7" t="s">
        <v>1420</v>
      </c>
      <c r="D1982" s="7" t="s">
        <v>832</v>
      </c>
      <c r="E1982" s="7"/>
      <c r="F1982" s="7"/>
      <c r="G1982" s="7" t="s">
        <v>541</v>
      </c>
      <c r="H1982" s="7"/>
      <c r="I1982" s="7"/>
      <c r="J1982" s="7" t="s">
        <v>13</v>
      </c>
      <c r="K1982" s="7" t="s">
        <v>328</v>
      </c>
      <c r="L1982" s="7" t="s">
        <v>29</v>
      </c>
      <c r="M1982" s="7" t="s">
        <v>24</v>
      </c>
    </row>
    <row r="1983" spans="1:13" x14ac:dyDescent="0.3">
      <c r="A1983" s="7" t="str">
        <f>HYPERLINK("https://hsdes.intel.com/resource/14013185495","14013185495")</f>
        <v>14013185495</v>
      </c>
      <c r="B1983" s="7" t="s">
        <v>3418</v>
      </c>
      <c r="C1983" s="7" t="s">
        <v>1420</v>
      </c>
      <c r="D1983" s="7" t="s">
        <v>3419</v>
      </c>
      <c r="E1983" s="7" t="s">
        <v>11</v>
      </c>
      <c r="F1983" s="7"/>
      <c r="G1983" s="7" t="s">
        <v>345</v>
      </c>
      <c r="H1983" s="7"/>
      <c r="I1983" s="10">
        <v>44760</v>
      </c>
      <c r="J1983" s="7" t="s">
        <v>13</v>
      </c>
      <c r="K1983" s="7" t="s">
        <v>28</v>
      </c>
      <c r="L1983" s="7" t="s">
        <v>29</v>
      </c>
      <c r="M1983" s="7" t="s">
        <v>16</v>
      </c>
    </row>
    <row r="1984" spans="1:13" x14ac:dyDescent="0.3">
      <c r="A1984" s="7" t="str">
        <f>HYPERLINK("https://hsdes.intel.com/resource/14013185512","14013185512")</f>
        <v>14013185512</v>
      </c>
      <c r="B1984" s="7" t="s">
        <v>3420</v>
      </c>
      <c r="C1984" s="7" t="s">
        <v>1420</v>
      </c>
      <c r="D1984" s="7" t="s">
        <v>3421</v>
      </c>
      <c r="E1984" s="7" t="s">
        <v>11</v>
      </c>
      <c r="F1984" s="7"/>
      <c r="G1984" s="7" t="s">
        <v>345</v>
      </c>
      <c r="H1984" s="7"/>
      <c r="I1984" s="10">
        <v>44760</v>
      </c>
      <c r="J1984" s="7" t="s">
        <v>13</v>
      </c>
      <c r="K1984" s="7" t="s">
        <v>328</v>
      </c>
      <c r="L1984" s="7" t="s">
        <v>29</v>
      </c>
      <c r="M1984" s="7" t="s">
        <v>16</v>
      </c>
    </row>
    <row r="1985" spans="1:13" x14ac:dyDescent="0.3">
      <c r="A1985" s="7" t="str">
        <f>HYPERLINK("https://hsdes.intel.com/resource/14013185636","14013185636")</f>
        <v>14013185636</v>
      </c>
      <c r="B1985" s="7" t="s">
        <v>3422</v>
      </c>
      <c r="C1985" s="7" t="s">
        <v>1420</v>
      </c>
      <c r="D1985" s="7" t="s">
        <v>3423</v>
      </c>
      <c r="E1985" s="7" t="s">
        <v>11</v>
      </c>
      <c r="F1985" s="7"/>
      <c r="G1985" s="7" t="s">
        <v>2449</v>
      </c>
      <c r="H1985" s="7"/>
      <c r="I1985" s="10">
        <v>44758</v>
      </c>
      <c r="J1985" s="7" t="s">
        <v>13</v>
      </c>
      <c r="K1985" s="7" t="s">
        <v>19</v>
      </c>
      <c r="L1985" s="7" t="s">
        <v>20</v>
      </c>
      <c r="M1985" s="7" t="s">
        <v>24</v>
      </c>
    </row>
    <row r="1986" spans="1:13" x14ac:dyDescent="0.3">
      <c r="A1986" s="7" t="str">
        <f>HYPERLINK("https://hsdes.intel.com/resource/14013185659","14013185659")</f>
        <v>14013185659</v>
      </c>
      <c r="B1986" s="7" t="s">
        <v>3424</v>
      </c>
      <c r="C1986" s="7" t="s">
        <v>1420</v>
      </c>
      <c r="D1986" s="7" t="s">
        <v>3425</v>
      </c>
      <c r="E1986" s="7" t="s">
        <v>11</v>
      </c>
      <c r="F1986" s="7" t="s">
        <v>1135</v>
      </c>
      <c r="G1986" s="7" t="s">
        <v>2449</v>
      </c>
      <c r="H1986" s="7"/>
      <c r="I1986" s="10">
        <v>44760</v>
      </c>
      <c r="J1986" s="7" t="s">
        <v>13</v>
      </c>
      <c r="K1986" s="7" t="s">
        <v>93</v>
      </c>
      <c r="L1986" s="7" t="s">
        <v>94</v>
      </c>
      <c r="M1986" s="7" t="s">
        <v>16</v>
      </c>
    </row>
    <row r="1987" spans="1:13" x14ac:dyDescent="0.3">
      <c r="A1987" s="7" t="str">
        <f>HYPERLINK("https://hsdes.intel.com/resource/14013185672","14013185672")</f>
        <v>14013185672</v>
      </c>
      <c r="B1987" s="7" t="s">
        <v>3426</v>
      </c>
      <c r="C1987" s="7" t="s">
        <v>1420</v>
      </c>
      <c r="D1987" s="7" t="s">
        <v>3427</v>
      </c>
      <c r="E1987" s="7" t="s">
        <v>342</v>
      </c>
      <c r="F1987" s="7" t="s">
        <v>1135</v>
      </c>
      <c r="G1987" s="7" t="s">
        <v>2449</v>
      </c>
      <c r="H1987" s="7"/>
      <c r="I1987" s="10">
        <v>44760</v>
      </c>
      <c r="J1987" s="7" t="s">
        <v>13</v>
      </c>
      <c r="K1987" s="7" t="s">
        <v>93</v>
      </c>
      <c r="L1987" s="7" t="s">
        <v>94</v>
      </c>
      <c r="M1987" s="7" t="s">
        <v>16</v>
      </c>
    </row>
    <row r="1988" spans="1:13" x14ac:dyDescent="0.3">
      <c r="A1988" s="7" t="str">
        <f>HYPERLINK("https://hsdes.intel.com/resource/14013185716","14013185716")</f>
        <v>14013185716</v>
      </c>
      <c r="B1988" s="7" t="s">
        <v>3428</v>
      </c>
      <c r="C1988" s="7" t="s">
        <v>1420</v>
      </c>
      <c r="D1988" s="7" t="s">
        <v>3429</v>
      </c>
      <c r="E1988" s="7" t="s">
        <v>342</v>
      </c>
      <c r="F1988" s="7"/>
      <c r="G1988" s="7" t="s">
        <v>1475</v>
      </c>
      <c r="H1988" s="7"/>
      <c r="I1988" s="7"/>
      <c r="J1988" s="7" t="s">
        <v>13</v>
      </c>
      <c r="K1988" s="7" t="s">
        <v>45</v>
      </c>
      <c r="L1988" s="7" t="s">
        <v>581</v>
      </c>
      <c r="M1988" s="7" t="s">
        <v>16</v>
      </c>
    </row>
    <row r="1989" spans="1:13" x14ac:dyDescent="0.3">
      <c r="A1989" s="7" t="str">
        <f>HYPERLINK("https://hsdes.intel.com/resource/14013185802","14013185802")</f>
        <v>14013185802</v>
      </c>
      <c r="B1989" s="7" t="s">
        <v>3430</v>
      </c>
      <c r="C1989" s="7" t="s">
        <v>1420</v>
      </c>
      <c r="D1989" s="7" t="s">
        <v>3431</v>
      </c>
      <c r="E1989" s="7" t="s">
        <v>11</v>
      </c>
      <c r="F1989" s="7"/>
      <c r="G1989" s="7" t="s">
        <v>2449</v>
      </c>
      <c r="H1989" s="7"/>
      <c r="I1989" s="10">
        <v>44761</v>
      </c>
      <c r="J1989" s="7" t="s">
        <v>13</v>
      </c>
      <c r="K1989" s="7" t="s">
        <v>19</v>
      </c>
      <c r="L1989" s="7" t="s">
        <v>20</v>
      </c>
      <c r="M1989" s="7" t="s">
        <v>24</v>
      </c>
    </row>
    <row r="1990" spans="1:13" x14ac:dyDescent="0.3">
      <c r="A1990" s="7" t="str">
        <f>HYPERLINK("https://hsdes.intel.com/resource/14013186099","14013186099")</f>
        <v>14013186099</v>
      </c>
      <c r="B1990" s="7" t="s">
        <v>3432</v>
      </c>
      <c r="C1990" s="7" t="s">
        <v>1420</v>
      </c>
      <c r="D1990" s="7" t="s">
        <v>3433</v>
      </c>
      <c r="E1990" s="7" t="s">
        <v>11</v>
      </c>
      <c r="F1990" s="7"/>
      <c r="G1990" s="7" t="s">
        <v>1605</v>
      </c>
      <c r="H1990" s="7"/>
      <c r="I1990" s="10">
        <v>44758</v>
      </c>
      <c r="J1990" s="7" t="s">
        <v>13</v>
      </c>
      <c r="K1990" s="7" t="s">
        <v>67</v>
      </c>
      <c r="L1990" s="7" t="s">
        <v>68</v>
      </c>
      <c r="M1990" s="7" t="s">
        <v>24</v>
      </c>
    </row>
    <row r="1991" spans="1:13" x14ac:dyDescent="0.3">
      <c r="A1991" s="7" t="str">
        <f>HYPERLINK("https://hsdes.intel.com/resource/14013186245","14013186245")</f>
        <v>14013186245</v>
      </c>
      <c r="B1991" s="7" t="s">
        <v>1493</v>
      </c>
      <c r="C1991" s="7" t="s">
        <v>1420</v>
      </c>
      <c r="D1991" s="7" t="s">
        <v>3434</v>
      </c>
      <c r="E1991" s="7" t="s">
        <v>37</v>
      </c>
      <c r="F1991" s="7" t="s">
        <v>37</v>
      </c>
      <c r="G1991" s="7" t="s">
        <v>369</v>
      </c>
      <c r="H1991" s="7"/>
      <c r="I1991" s="7"/>
      <c r="J1991" s="7" t="s">
        <v>13</v>
      </c>
      <c r="K1991" s="7" t="s">
        <v>33</v>
      </c>
      <c r="L1991" s="7" t="s">
        <v>34</v>
      </c>
      <c r="M1991" s="7" t="s">
        <v>24</v>
      </c>
    </row>
    <row r="1992" spans="1:13" x14ac:dyDescent="0.3">
      <c r="A1992" s="7" t="str">
        <f>HYPERLINK("https://hsdes.intel.com/resource/14013186411","14013186411")</f>
        <v>14013186411</v>
      </c>
      <c r="B1992" s="7" t="s">
        <v>3435</v>
      </c>
      <c r="C1992" s="7" t="s">
        <v>1420</v>
      </c>
      <c r="D1992" s="7" t="s">
        <v>3436</v>
      </c>
      <c r="E1992" s="7" t="s">
        <v>37</v>
      </c>
      <c r="F1992" s="7"/>
      <c r="G1992" s="7" t="s">
        <v>2449</v>
      </c>
      <c r="H1992" s="7"/>
      <c r="I1992" s="10">
        <v>44694</v>
      </c>
      <c r="J1992" s="7" t="s">
        <v>13</v>
      </c>
      <c r="K1992" s="7" t="s">
        <v>67</v>
      </c>
      <c r="L1992" s="7" t="s">
        <v>68</v>
      </c>
      <c r="M1992" s="7" t="s">
        <v>16</v>
      </c>
    </row>
    <row r="1993" spans="1:13" x14ac:dyDescent="0.3">
      <c r="A1993" s="7" t="str">
        <f>HYPERLINK("https://hsdes.intel.com/resource/14013186567","14013186567")</f>
        <v>14013186567</v>
      </c>
      <c r="B1993" s="7" t="s">
        <v>3437</v>
      </c>
      <c r="C1993" s="7" t="s">
        <v>1420</v>
      </c>
      <c r="D1993" s="7" t="s">
        <v>3438</v>
      </c>
      <c r="E1993" s="7" t="s">
        <v>37</v>
      </c>
      <c r="F1993" s="7"/>
      <c r="G1993" s="7" t="s">
        <v>2449</v>
      </c>
      <c r="H1993" s="7"/>
      <c r="I1993" s="10">
        <v>44694</v>
      </c>
      <c r="J1993" s="7" t="s">
        <v>13</v>
      </c>
      <c r="K1993" s="7" t="s">
        <v>67</v>
      </c>
      <c r="L1993" s="7" t="s">
        <v>68</v>
      </c>
      <c r="M1993" s="7" t="s">
        <v>16</v>
      </c>
    </row>
    <row r="1994" spans="1:13" x14ac:dyDescent="0.3">
      <c r="A1994" s="7" t="str">
        <f>HYPERLINK("https://hsdes.intel.com/resource/14013186568","14013186568")</f>
        <v>14013186568</v>
      </c>
      <c r="B1994" s="7" t="s">
        <v>2501</v>
      </c>
      <c r="C1994" s="7" t="s">
        <v>1420</v>
      </c>
      <c r="D1994" s="7" t="s">
        <v>3439</v>
      </c>
      <c r="E1994" s="7" t="s">
        <v>11</v>
      </c>
      <c r="F1994" s="7"/>
      <c r="G1994" s="7" t="s">
        <v>1605</v>
      </c>
      <c r="H1994" s="7"/>
      <c r="I1994" s="10">
        <v>44757</v>
      </c>
      <c r="J1994" s="7" t="s">
        <v>13</v>
      </c>
      <c r="K1994" s="7" t="s">
        <v>67</v>
      </c>
      <c r="L1994" s="7" t="s">
        <v>68</v>
      </c>
      <c r="M1994" s="7" t="s">
        <v>16</v>
      </c>
    </row>
    <row r="1995" spans="1:13" x14ac:dyDescent="0.3">
      <c r="A1995" s="7" t="str">
        <f>HYPERLINK("https://hsdes.intel.com/resource/14013186578","14013186578")</f>
        <v>14013186578</v>
      </c>
      <c r="B1995" s="7" t="s">
        <v>3440</v>
      </c>
      <c r="C1995" s="7" t="s">
        <v>1420</v>
      </c>
      <c r="D1995" s="7" t="s">
        <v>3441</v>
      </c>
      <c r="E1995" s="7" t="s">
        <v>11</v>
      </c>
      <c r="F1995" s="7"/>
      <c r="G1995" s="7" t="s">
        <v>1605</v>
      </c>
      <c r="H1995" s="7"/>
      <c r="I1995" s="10">
        <v>44758</v>
      </c>
      <c r="J1995" s="7" t="s">
        <v>13</v>
      </c>
      <c r="K1995" s="7" t="s">
        <v>67</v>
      </c>
      <c r="L1995" s="7" t="s">
        <v>68</v>
      </c>
      <c r="M1995" s="7" t="s">
        <v>24</v>
      </c>
    </row>
    <row r="1996" spans="1:13" ht="15" x14ac:dyDescent="0.35">
      <c r="A1996" s="7" t="str">
        <f>HYPERLINK("https://hsdes.intel.com/resource/14013186641","14013186641")</f>
        <v>14013186641</v>
      </c>
      <c r="B1996" s="7" t="s">
        <v>3442</v>
      </c>
      <c r="C1996" s="7" t="s">
        <v>1420</v>
      </c>
      <c r="D1996" s="7" t="s">
        <v>3443</v>
      </c>
      <c r="E1996" s="7" t="s">
        <v>87</v>
      </c>
      <c r="F1996" s="26" t="s">
        <v>1618</v>
      </c>
      <c r="G1996" s="7" t="s">
        <v>1605</v>
      </c>
      <c r="H1996" s="7"/>
      <c r="I1996" s="10">
        <v>44762</v>
      </c>
      <c r="J1996" s="7" t="s">
        <v>13</v>
      </c>
      <c r="K1996" s="7" t="s">
        <v>67</v>
      </c>
      <c r="L1996" s="7" t="s">
        <v>68</v>
      </c>
      <c r="M1996" s="7" t="s">
        <v>16</v>
      </c>
    </row>
    <row r="1997" spans="1:13" x14ac:dyDescent="0.3">
      <c r="A1997" s="7" t="str">
        <f>HYPERLINK("https://hsdes.intel.com/resource/14013186872","14013186872")</f>
        <v>14013186872</v>
      </c>
      <c r="B1997" s="7" t="s">
        <v>3444</v>
      </c>
      <c r="C1997" s="7" t="s">
        <v>1420</v>
      </c>
      <c r="D1997" s="7" t="s">
        <v>3445</v>
      </c>
      <c r="E1997" s="7" t="s">
        <v>11</v>
      </c>
      <c r="F1997" s="7"/>
      <c r="G1997" s="7" t="s">
        <v>1605</v>
      </c>
      <c r="H1997" s="7"/>
      <c r="I1997" s="10">
        <v>44758</v>
      </c>
      <c r="J1997" s="7" t="s">
        <v>13</v>
      </c>
      <c r="K1997" s="7" t="s">
        <v>67</v>
      </c>
      <c r="L1997" s="7" t="s">
        <v>68</v>
      </c>
      <c r="M1997" s="7" t="s">
        <v>16</v>
      </c>
    </row>
    <row r="1998" spans="1:13" x14ac:dyDescent="0.3">
      <c r="A1998" s="7" t="str">
        <f>HYPERLINK("https://hsdes.intel.com/resource/14013186916","14013186916")</f>
        <v>14013186916</v>
      </c>
      <c r="B1998" s="7" t="s">
        <v>3339</v>
      </c>
      <c r="C1998" s="7" t="s">
        <v>1420</v>
      </c>
      <c r="D1998" s="7" t="s">
        <v>3446</v>
      </c>
      <c r="E1998" s="7" t="s">
        <v>11</v>
      </c>
      <c r="F1998" s="7"/>
      <c r="G1998" s="7" t="s">
        <v>1605</v>
      </c>
      <c r="H1998" s="7"/>
      <c r="I1998" s="10">
        <v>44757</v>
      </c>
      <c r="J1998" s="7" t="s">
        <v>13</v>
      </c>
      <c r="K1998" s="7" t="s">
        <v>67</v>
      </c>
      <c r="L1998" s="7" t="s">
        <v>68</v>
      </c>
      <c r="M1998" s="7" t="s">
        <v>16</v>
      </c>
    </row>
    <row r="1999" spans="1:13" x14ac:dyDescent="0.3">
      <c r="A1999" s="7" t="str">
        <f>HYPERLINK("https://hsdes.intel.com/resource/14013186917","14013186917")</f>
        <v>14013186917</v>
      </c>
      <c r="B1999" s="7" t="s">
        <v>3447</v>
      </c>
      <c r="C1999" s="7" t="s">
        <v>1420</v>
      </c>
      <c r="D1999" s="7" t="s">
        <v>3448</v>
      </c>
      <c r="E1999" s="7" t="s">
        <v>11</v>
      </c>
      <c r="F1999" s="7"/>
      <c r="G1999" s="7" t="s">
        <v>2449</v>
      </c>
      <c r="H1999" s="7"/>
      <c r="I1999" s="10">
        <v>44755</v>
      </c>
      <c r="J1999" s="7" t="s">
        <v>13</v>
      </c>
      <c r="K1999" s="7" t="s">
        <v>67</v>
      </c>
      <c r="L1999" s="7" t="s">
        <v>68</v>
      </c>
      <c r="M1999" s="7" t="s">
        <v>16</v>
      </c>
    </row>
    <row r="2000" spans="1:13" x14ac:dyDescent="0.3">
      <c r="A2000" s="7" t="str">
        <f>HYPERLINK("https://hsdes.intel.com/resource/14013186929","14013186929")</f>
        <v>14013186929</v>
      </c>
      <c r="B2000" s="7" t="s">
        <v>3449</v>
      </c>
      <c r="C2000" s="7" t="s">
        <v>1420</v>
      </c>
      <c r="D2000" s="7" t="s">
        <v>3450</v>
      </c>
      <c r="E2000" s="7" t="s">
        <v>11</v>
      </c>
      <c r="F2000" s="7"/>
      <c r="G2000" s="7" t="s">
        <v>1605</v>
      </c>
      <c r="H2000" s="7"/>
      <c r="I2000" s="10">
        <v>44757</v>
      </c>
      <c r="J2000" s="7" t="s">
        <v>13</v>
      </c>
      <c r="K2000" s="7" t="s">
        <v>67</v>
      </c>
      <c r="L2000" s="7" t="s">
        <v>68</v>
      </c>
      <c r="M2000" s="7" t="s">
        <v>16</v>
      </c>
    </row>
    <row r="2001" spans="1:14" x14ac:dyDescent="0.3">
      <c r="A2001" s="7" t="str">
        <f>HYPERLINK("https://hsdes.intel.com/resource/14013186958","14013186958")</f>
        <v>14013186958</v>
      </c>
      <c r="B2001" s="7" t="s">
        <v>3451</v>
      </c>
      <c r="C2001" s="7" t="s">
        <v>1420</v>
      </c>
      <c r="D2001" s="7" t="s">
        <v>3452</v>
      </c>
      <c r="E2001" s="7" t="s">
        <v>11</v>
      </c>
      <c r="F2001" s="7"/>
      <c r="G2001" s="7" t="s">
        <v>2449</v>
      </c>
      <c r="H2001" s="7"/>
      <c r="I2001" s="10">
        <v>44755</v>
      </c>
      <c r="J2001" s="7" t="s">
        <v>13</v>
      </c>
      <c r="K2001" s="7" t="s">
        <v>67</v>
      </c>
      <c r="L2001" s="7" t="s">
        <v>68</v>
      </c>
      <c r="M2001" s="7" t="s">
        <v>16</v>
      </c>
    </row>
    <row r="2002" spans="1:14" x14ac:dyDescent="0.3">
      <c r="A2002" s="7" t="str">
        <f>HYPERLINK("https://hsdes.intel.com/resource/14013187966","14013187966")</f>
        <v>14013187966</v>
      </c>
      <c r="B2002" s="7" t="s">
        <v>3453</v>
      </c>
      <c r="C2002" s="7" t="s">
        <v>1420</v>
      </c>
      <c r="D2002" s="7" t="s">
        <v>3454</v>
      </c>
      <c r="E2002" s="7" t="s">
        <v>11</v>
      </c>
      <c r="F2002" s="7"/>
      <c r="G2002" s="7" t="s">
        <v>1605</v>
      </c>
      <c r="H2002" s="7"/>
      <c r="I2002" s="10">
        <v>44758</v>
      </c>
      <c r="J2002" s="7" t="s">
        <v>13</v>
      </c>
      <c r="K2002" s="7" t="s">
        <v>67</v>
      </c>
      <c r="L2002" s="7" t="s">
        <v>68</v>
      </c>
      <c r="M2002" s="7" t="s">
        <v>16</v>
      </c>
    </row>
    <row r="2003" spans="1:14" x14ac:dyDescent="0.3">
      <c r="A2003" s="7" t="str">
        <f>HYPERLINK("https://hsdes.intel.com/resource/14013187971","14013187971")</f>
        <v>14013187971</v>
      </c>
      <c r="B2003" s="7" t="s">
        <v>3455</v>
      </c>
      <c r="C2003" s="7" t="s">
        <v>1420</v>
      </c>
      <c r="D2003" s="7" t="s">
        <v>3456</v>
      </c>
      <c r="E2003" s="7" t="s">
        <v>11</v>
      </c>
      <c r="F2003" s="7"/>
      <c r="G2003" s="7" t="s">
        <v>345</v>
      </c>
      <c r="H2003" s="7"/>
      <c r="I2003" s="10">
        <v>44760</v>
      </c>
      <c r="J2003" s="7" t="s">
        <v>13</v>
      </c>
      <c r="K2003" s="7" t="s">
        <v>740</v>
      </c>
      <c r="L2003" s="7" t="s">
        <v>29</v>
      </c>
      <c r="M2003" s="7" t="s">
        <v>16</v>
      </c>
    </row>
    <row r="2004" spans="1:14" x14ac:dyDescent="0.3">
      <c r="A2004" s="7" t="str">
        <f>HYPERLINK("https://hsdes.intel.com/resource/14013187973","14013187973")</f>
        <v>14013187973</v>
      </c>
      <c r="B2004" s="7" t="s">
        <v>3457</v>
      </c>
      <c r="C2004" s="7" t="s">
        <v>1420</v>
      </c>
      <c r="D2004" s="7" t="s">
        <v>3458</v>
      </c>
      <c r="E2004" s="7" t="s">
        <v>32</v>
      </c>
      <c r="F2004" s="42" t="s">
        <v>2978</v>
      </c>
      <c r="G2004" s="7" t="s">
        <v>369</v>
      </c>
      <c r="H2004" s="7" t="s">
        <v>369</v>
      </c>
      <c r="I2004" s="30" t="s">
        <v>2978</v>
      </c>
      <c r="J2004" s="7" t="s">
        <v>13</v>
      </c>
      <c r="K2004" s="7" t="s">
        <v>740</v>
      </c>
      <c r="L2004" s="7" t="s">
        <v>29</v>
      </c>
      <c r="M2004" s="7" t="s">
        <v>21</v>
      </c>
      <c r="N2004" s="9" t="s">
        <v>3629</v>
      </c>
    </row>
    <row r="2005" spans="1:14" x14ac:dyDescent="0.3">
      <c r="A2005" s="7" t="str">
        <f>HYPERLINK("https://hsdes.intel.com/resource/14013187976","14013187976")</f>
        <v>14013187976</v>
      </c>
      <c r="B2005" s="7" t="s">
        <v>2976</v>
      </c>
      <c r="C2005" s="7" t="s">
        <v>1420</v>
      </c>
      <c r="D2005" s="7" t="s">
        <v>3459</v>
      </c>
      <c r="E2005" s="7" t="s">
        <v>32</v>
      </c>
      <c r="F2005" s="42" t="s">
        <v>2978</v>
      </c>
      <c r="G2005" s="7" t="s">
        <v>369</v>
      </c>
      <c r="H2005" s="7" t="s">
        <v>369</v>
      </c>
      <c r="I2005" s="30" t="s">
        <v>2978</v>
      </c>
      <c r="J2005" s="7" t="s">
        <v>13</v>
      </c>
      <c r="K2005" s="7" t="s">
        <v>740</v>
      </c>
      <c r="L2005" s="7" t="s">
        <v>29</v>
      </c>
      <c r="M2005" s="7" t="s">
        <v>16</v>
      </c>
      <c r="N2005" s="9" t="s">
        <v>3629</v>
      </c>
    </row>
    <row r="2006" spans="1:14" x14ac:dyDescent="0.3">
      <c r="A2006" s="7" t="str">
        <f>HYPERLINK("https://hsdes.intel.com/resource/14013187977","14013187977")</f>
        <v>14013187977</v>
      </c>
      <c r="B2006" s="7" t="s">
        <v>2979</v>
      </c>
      <c r="C2006" s="7" t="s">
        <v>1420</v>
      </c>
      <c r="D2006" s="7" t="s">
        <v>3460</v>
      </c>
      <c r="E2006" s="7" t="s">
        <v>32</v>
      </c>
      <c r="F2006" s="42" t="s">
        <v>2978</v>
      </c>
      <c r="G2006" s="7" t="s">
        <v>369</v>
      </c>
      <c r="H2006" s="7" t="s">
        <v>369</v>
      </c>
      <c r="I2006" s="30" t="s">
        <v>2978</v>
      </c>
      <c r="J2006" s="7" t="s">
        <v>13</v>
      </c>
      <c r="K2006" s="7" t="s">
        <v>740</v>
      </c>
      <c r="L2006" s="7" t="s">
        <v>29</v>
      </c>
      <c r="M2006" s="7" t="s">
        <v>16</v>
      </c>
      <c r="N2006" s="9" t="s">
        <v>3629</v>
      </c>
    </row>
    <row r="2007" spans="1:14" x14ac:dyDescent="0.3">
      <c r="A2007" s="7" t="str">
        <f>HYPERLINK("https://hsdes.intel.com/resource/14013187979","14013187979")</f>
        <v>14013187979</v>
      </c>
      <c r="B2007" s="7" t="s">
        <v>2981</v>
      </c>
      <c r="C2007" s="7" t="s">
        <v>1420</v>
      </c>
      <c r="D2007" s="7" t="s">
        <v>3461</v>
      </c>
      <c r="E2007" s="7" t="s">
        <v>11</v>
      </c>
      <c r="F2007" s="7"/>
      <c r="G2007" s="7" t="s">
        <v>345</v>
      </c>
      <c r="H2007" s="7"/>
      <c r="I2007" s="10">
        <v>44760</v>
      </c>
      <c r="J2007" s="7" t="s">
        <v>13</v>
      </c>
      <c r="K2007" s="7" t="s">
        <v>740</v>
      </c>
      <c r="L2007" s="7" t="s">
        <v>29</v>
      </c>
      <c r="M2007" s="7" t="s">
        <v>24</v>
      </c>
    </row>
    <row r="2008" spans="1:14" x14ac:dyDescent="0.3">
      <c r="A2008" s="7" t="str">
        <f>HYPERLINK("https://hsdes.intel.com/resource/14013188164","14013188164")</f>
        <v>14013188164</v>
      </c>
      <c r="B2008" s="7" t="s">
        <v>3462</v>
      </c>
      <c r="C2008" s="7" t="s">
        <v>1420</v>
      </c>
      <c r="D2008" s="7" t="s">
        <v>3463</v>
      </c>
      <c r="E2008" s="7" t="s">
        <v>11</v>
      </c>
      <c r="F2008" s="7"/>
      <c r="G2008" s="7" t="s">
        <v>2449</v>
      </c>
      <c r="H2008" s="7"/>
      <c r="I2008" s="10">
        <v>44760</v>
      </c>
      <c r="J2008" s="7" t="s">
        <v>13</v>
      </c>
      <c r="K2008" s="7" t="s">
        <v>19</v>
      </c>
      <c r="L2008" s="7" t="s">
        <v>20</v>
      </c>
      <c r="M2008" s="7" t="s">
        <v>24</v>
      </c>
    </row>
    <row r="2009" spans="1:14" x14ac:dyDescent="0.3">
      <c r="A2009" s="7" t="str">
        <f>HYPERLINK("https://hsdes.intel.com/resource/16012367017","16012367017")</f>
        <v>16012367017</v>
      </c>
      <c r="B2009" s="7" t="s">
        <v>3464</v>
      </c>
      <c r="C2009" s="7" t="s">
        <v>1420</v>
      </c>
      <c r="D2009" s="7" t="s">
        <v>3465</v>
      </c>
      <c r="E2009" s="7" t="s">
        <v>11</v>
      </c>
      <c r="F2009" s="7"/>
      <c r="G2009" s="7" t="s">
        <v>369</v>
      </c>
      <c r="H2009" s="7"/>
      <c r="I2009" s="10">
        <v>44762</v>
      </c>
      <c r="J2009" s="7" t="s">
        <v>13</v>
      </c>
      <c r="K2009" s="7" t="s">
        <v>33</v>
      </c>
      <c r="L2009" s="7" t="s">
        <v>29</v>
      </c>
      <c r="M2009" s="7" t="s">
        <v>16</v>
      </c>
    </row>
    <row r="2010" spans="1:14" x14ac:dyDescent="0.3">
      <c r="A2010" s="7" t="str">
        <f>HYPERLINK("https://hsdes.intel.com/resource/16012525017","16012525017")</f>
        <v>16012525017</v>
      </c>
      <c r="B2010" s="7" t="s">
        <v>3466</v>
      </c>
      <c r="C2010" s="7" t="s">
        <v>1420</v>
      </c>
      <c r="D2010" s="7"/>
      <c r="E2010" s="7" t="s">
        <v>32</v>
      </c>
      <c r="F2010" s="7" t="s">
        <v>3467</v>
      </c>
      <c r="G2010" s="7" t="s">
        <v>369</v>
      </c>
      <c r="H2010" s="7" t="s">
        <v>369</v>
      </c>
      <c r="I2010" s="7"/>
      <c r="J2010" s="7" t="s">
        <v>13</v>
      </c>
      <c r="K2010" s="7" t="s">
        <v>740</v>
      </c>
      <c r="L2010" s="7" t="s">
        <v>29</v>
      </c>
      <c r="M2010" s="7" t="s">
        <v>16</v>
      </c>
      <c r="N2010" s="9" t="s">
        <v>3629</v>
      </c>
    </row>
    <row r="2011" spans="1:14" x14ac:dyDescent="0.3">
      <c r="A2011" s="7" t="str">
        <f>HYPERLINK("https://hsdes.intel.com/resource/16012555183","16012555183")</f>
        <v>16012555183</v>
      </c>
      <c r="B2011" s="7" t="s">
        <v>3468</v>
      </c>
      <c r="C2011" s="7" t="s">
        <v>1420</v>
      </c>
      <c r="D2011" s="7" t="s">
        <v>3469</v>
      </c>
      <c r="E2011" s="7" t="s">
        <v>32</v>
      </c>
      <c r="F2011" s="7" t="s">
        <v>2680</v>
      </c>
      <c r="G2011" s="7" t="s">
        <v>1605</v>
      </c>
      <c r="H2011" s="7" t="s">
        <v>2449</v>
      </c>
      <c r="I2011" s="10">
        <v>44763</v>
      </c>
      <c r="J2011" s="7" t="s">
        <v>13</v>
      </c>
      <c r="K2011" s="7" t="s">
        <v>67</v>
      </c>
      <c r="L2011" s="7" t="s">
        <v>68</v>
      </c>
      <c r="M2011" s="7" t="s">
        <v>16</v>
      </c>
    </row>
    <row r="2012" spans="1:14" x14ac:dyDescent="0.3">
      <c r="A2012" s="7" t="str">
        <f>HYPERLINK("https://hsdes.intel.com/resource/16012572885","16012572885")</f>
        <v>16012572885</v>
      </c>
      <c r="B2012" s="7" t="s">
        <v>3470</v>
      </c>
      <c r="C2012" s="7" t="s">
        <v>1420</v>
      </c>
      <c r="D2012" s="7" t="s">
        <v>1627</v>
      </c>
      <c r="E2012" s="7" t="s">
        <v>11</v>
      </c>
      <c r="F2012" s="7"/>
      <c r="G2012" s="7" t="s">
        <v>1482</v>
      </c>
      <c r="H2012" s="7"/>
      <c r="I2012" s="10">
        <v>44755</v>
      </c>
      <c r="J2012" s="7" t="s">
        <v>1623</v>
      </c>
      <c r="K2012" s="7" t="s">
        <v>1322</v>
      </c>
      <c r="L2012" s="7" t="s">
        <v>660</v>
      </c>
      <c r="M2012" s="7" t="s">
        <v>16</v>
      </c>
    </row>
    <row r="2013" spans="1:14" x14ac:dyDescent="0.3">
      <c r="A2013" s="7" t="str">
        <f>HYPERLINK("https://hsdes.intel.com/resource/16012652787","16012652787")</f>
        <v>16012652787</v>
      </c>
      <c r="B2013" s="7" t="s">
        <v>3471</v>
      </c>
      <c r="C2013" s="7" t="s">
        <v>1420</v>
      </c>
      <c r="D2013" s="7" t="s">
        <v>3472</v>
      </c>
      <c r="E2013" s="7" t="s">
        <v>11</v>
      </c>
      <c r="F2013" s="7"/>
      <c r="G2013" s="7" t="s">
        <v>836</v>
      </c>
      <c r="H2013" s="7"/>
      <c r="I2013" s="10">
        <v>44755</v>
      </c>
      <c r="J2013" s="7" t="s">
        <v>13</v>
      </c>
      <c r="K2013" s="7" t="s">
        <v>740</v>
      </c>
      <c r="L2013" s="7" t="s">
        <v>29</v>
      </c>
      <c r="M2013" s="7" t="s">
        <v>24</v>
      </c>
    </row>
    <row r="2014" spans="1:14" x14ac:dyDescent="0.3">
      <c r="A2014" s="7" t="str">
        <f>HYPERLINK("https://hsdes.intel.com/resource/16012734505","16012734505")</f>
        <v>16012734505</v>
      </c>
      <c r="B2014" s="7" t="s">
        <v>3473</v>
      </c>
      <c r="C2014" s="7" t="s">
        <v>1420</v>
      </c>
      <c r="D2014" s="7" t="s">
        <v>1517</v>
      </c>
      <c r="E2014" s="7" t="s">
        <v>11</v>
      </c>
      <c r="F2014" s="7"/>
      <c r="G2014" s="7" t="s">
        <v>345</v>
      </c>
      <c r="H2014" s="7"/>
      <c r="I2014" s="10">
        <v>44760</v>
      </c>
      <c r="J2014" s="7" t="s">
        <v>13</v>
      </c>
      <c r="K2014" s="7" t="s">
        <v>33</v>
      </c>
      <c r="L2014" s="7" t="s">
        <v>29</v>
      </c>
      <c r="M2014" s="7" t="s">
        <v>16</v>
      </c>
    </row>
    <row r="2015" spans="1:14" x14ac:dyDescent="0.3">
      <c r="A2015" s="7" t="str">
        <f>HYPERLINK("https://hsdes.intel.com/resource/16012878689","16012878689")</f>
        <v>16012878689</v>
      </c>
      <c r="B2015" s="7" t="s">
        <v>3474</v>
      </c>
      <c r="C2015" s="7" t="s">
        <v>1420</v>
      </c>
      <c r="D2015" s="7" t="s">
        <v>3475</v>
      </c>
      <c r="E2015" s="7" t="s">
        <v>11</v>
      </c>
      <c r="F2015" s="7"/>
      <c r="G2015" s="7" t="s">
        <v>1482</v>
      </c>
      <c r="H2015" s="7"/>
      <c r="I2015" s="10">
        <v>44756</v>
      </c>
      <c r="J2015" s="7" t="s">
        <v>1623</v>
      </c>
      <c r="K2015" s="7" t="s">
        <v>1433</v>
      </c>
      <c r="L2015" s="7" t="s">
        <v>15</v>
      </c>
      <c r="M2015" s="7" t="s">
        <v>16</v>
      </c>
    </row>
    <row r="2016" spans="1:14" x14ac:dyDescent="0.3">
      <c r="A2016" s="7" t="str">
        <f>HYPERLINK("https://hsdes.intel.com/resource/16013044817","16013044817")</f>
        <v>16013044817</v>
      </c>
      <c r="B2016" s="7" t="s">
        <v>3476</v>
      </c>
      <c r="C2016" s="7" t="s">
        <v>1420</v>
      </c>
      <c r="D2016" s="7"/>
      <c r="E2016" s="7" t="s">
        <v>11</v>
      </c>
      <c r="F2016" s="7"/>
      <c r="G2016" s="7" t="s">
        <v>345</v>
      </c>
      <c r="H2016" s="7"/>
      <c r="I2016" s="10">
        <v>44760</v>
      </c>
      <c r="J2016" s="7" t="s">
        <v>1623</v>
      </c>
      <c r="K2016" s="7" t="s">
        <v>19</v>
      </c>
      <c r="L2016" s="7" t="s">
        <v>20</v>
      </c>
      <c r="M2016" s="7" t="s">
        <v>16</v>
      </c>
    </row>
    <row r="2017" spans="1:13" x14ac:dyDescent="0.3">
      <c r="A2017" s="7" t="str">
        <f>HYPERLINK("https://hsdes.intel.com/resource/16013045184","16013045184")</f>
        <v>16013045184</v>
      </c>
      <c r="B2017" s="7" t="s">
        <v>3477</v>
      </c>
      <c r="C2017" s="7" t="s">
        <v>1420</v>
      </c>
      <c r="D2017" s="7"/>
      <c r="E2017" s="7" t="s">
        <v>11</v>
      </c>
      <c r="F2017" s="7"/>
      <c r="G2017" s="7" t="s">
        <v>345</v>
      </c>
      <c r="H2017" s="7"/>
      <c r="I2017" s="10">
        <v>44760</v>
      </c>
      <c r="J2017" s="7" t="s">
        <v>1623</v>
      </c>
      <c r="K2017" s="7" t="s">
        <v>14</v>
      </c>
      <c r="L2017" s="7" t="s">
        <v>88</v>
      </c>
      <c r="M2017" s="7" t="s">
        <v>16</v>
      </c>
    </row>
    <row r="2018" spans="1:13" x14ac:dyDescent="0.3">
      <c r="A2018" s="7" t="str">
        <f>HYPERLINK("https://hsdes.intel.com/resource/16013162806","16013162806")</f>
        <v>16013162806</v>
      </c>
      <c r="B2018" s="7" t="s">
        <v>3478</v>
      </c>
      <c r="C2018" s="7" t="s">
        <v>1420</v>
      </c>
      <c r="D2018" s="7" t="s">
        <v>3479</v>
      </c>
      <c r="E2018" s="7" t="s">
        <v>11</v>
      </c>
      <c r="F2018" s="7"/>
      <c r="G2018" s="7" t="s">
        <v>3326</v>
      </c>
      <c r="H2018" s="7"/>
      <c r="I2018" s="10">
        <v>44757</v>
      </c>
      <c r="J2018" s="7" t="s">
        <v>1623</v>
      </c>
      <c r="K2018" s="7" t="s">
        <v>14</v>
      </c>
      <c r="L2018" s="7" t="s">
        <v>88</v>
      </c>
      <c r="M2018" s="7" t="s">
        <v>16</v>
      </c>
    </row>
    <row r="2019" spans="1:13" x14ac:dyDescent="0.3">
      <c r="A2019" s="7" t="str">
        <f>HYPERLINK("https://hsdes.intel.com/resource/16013169992","16013169992")</f>
        <v>16013169992</v>
      </c>
      <c r="B2019" s="7" t="s">
        <v>3480</v>
      </c>
      <c r="C2019" s="7" t="s">
        <v>1420</v>
      </c>
      <c r="D2019" s="7"/>
      <c r="E2019" s="7" t="s">
        <v>342</v>
      </c>
      <c r="F2019" s="7" t="s">
        <v>296</v>
      </c>
      <c r="G2019" s="7" t="s">
        <v>369</v>
      </c>
      <c r="H2019" s="7"/>
      <c r="I2019" s="10">
        <v>44763</v>
      </c>
      <c r="J2019" s="7" t="s">
        <v>1623</v>
      </c>
      <c r="K2019" s="7" t="s">
        <v>19</v>
      </c>
      <c r="L2019" s="7" t="s">
        <v>20</v>
      </c>
      <c r="M2019" s="7" t="s">
        <v>24</v>
      </c>
    </row>
    <row r="2020" spans="1:13" x14ac:dyDescent="0.3">
      <c r="A2020" s="7" t="str">
        <f>HYPERLINK("https://hsdes.intel.com/resource/16013185250","16013185250")</f>
        <v>16013185250</v>
      </c>
      <c r="B2020" s="7" t="s">
        <v>3481</v>
      </c>
      <c r="C2020" s="7" t="s">
        <v>1420</v>
      </c>
      <c r="D2020" s="7"/>
      <c r="E2020" s="7" t="s">
        <v>11</v>
      </c>
      <c r="F2020" s="7"/>
      <c r="G2020" s="7" t="s">
        <v>369</v>
      </c>
      <c r="H2020" s="7"/>
      <c r="I2020" s="10">
        <v>44762</v>
      </c>
      <c r="J2020" s="7" t="s">
        <v>192</v>
      </c>
      <c r="K2020" s="7" t="s">
        <v>1322</v>
      </c>
      <c r="L2020" s="7" t="s">
        <v>660</v>
      </c>
      <c r="M2020" s="7" t="s">
        <v>24</v>
      </c>
    </row>
    <row r="2021" spans="1:13" x14ac:dyDescent="0.3">
      <c r="A2021" s="25" t="str">
        <f>HYPERLINK("https://hsdes.intel.com/resource/16013191780","16013191780")</f>
        <v>16013191780</v>
      </c>
      <c r="B2021" s="7" t="s">
        <v>3482</v>
      </c>
      <c r="C2021" s="7" t="s">
        <v>1420</v>
      </c>
      <c r="D2021" s="7" t="s">
        <v>3483</v>
      </c>
      <c r="E2021" s="7" t="s">
        <v>11</v>
      </c>
      <c r="F2021" s="7"/>
      <c r="G2021" s="7" t="s">
        <v>3326</v>
      </c>
      <c r="H2021" s="7"/>
      <c r="I2021" s="4">
        <v>44757</v>
      </c>
      <c r="J2021" s="7" t="s">
        <v>13</v>
      </c>
      <c r="K2021" s="7" t="s">
        <v>14</v>
      </c>
      <c r="L2021" s="7" t="s">
        <v>88</v>
      </c>
      <c r="M2021" s="7" t="s">
        <v>16</v>
      </c>
    </row>
    <row r="2022" spans="1:13" x14ac:dyDescent="0.3">
      <c r="A2022" s="7" t="str">
        <f>HYPERLINK("https://hsdes.intel.com/resource/16013191789","16013191789")</f>
        <v>16013191789</v>
      </c>
      <c r="B2022" s="7" t="s">
        <v>3484</v>
      </c>
      <c r="C2022" s="7" t="s">
        <v>1420</v>
      </c>
      <c r="D2022" s="7" t="s">
        <v>3483</v>
      </c>
      <c r="E2022" s="7" t="s">
        <v>11</v>
      </c>
      <c r="F2022" s="7"/>
      <c r="G2022" s="7" t="s">
        <v>3326</v>
      </c>
      <c r="H2022" s="7"/>
      <c r="I2022" s="10">
        <v>44757</v>
      </c>
      <c r="J2022" s="7" t="s">
        <v>13</v>
      </c>
      <c r="K2022" s="7" t="s">
        <v>14</v>
      </c>
      <c r="L2022" s="7" t="s">
        <v>88</v>
      </c>
      <c r="M2022" s="7" t="s">
        <v>16</v>
      </c>
    </row>
    <row r="2023" spans="1:13" x14ac:dyDescent="0.3">
      <c r="A2023" s="7" t="str">
        <f>HYPERLINK("https://hsdes.intel.com/resource/16013240669","16013240669")</f>
        <v>16013240669</v>
      </c>
      <c r="B2023" s="7" t="s">
        <v>3485</v>
      </c>
      <c r="C2023" s="7" t="s">
        <v>1420</v>
      </c>
      <c r="D2023" s="7" t="s">
        <v>1767</v>
      </c>
      <c r="E2023" s="7" t="s">
        <v>11</v>
      </c>
      <c r="F2023" s="7"/>
      <c r="G2023" s="7" t="s">
        <v>1429</v>
      </c>
      <c r="H2023" s="7"/>
      <c r="I2023" s="10">
        <v>44755</v>
      </c>
      <c r="J2023" s="7" t="s">
        <v>1623</v>
      </c>
      <c r="K2023" s="7" t="s">
        <v>553</v>
      </c>
      <c r="L2023" s="7" t="s">
        <v>544</v>
      </c>
      <c r="M2023" s="7" t="s">
        <v>16</v>
      </c>
    </row>
    <row r="2024" spans="1:13" x14ac:dyDescent="0.3">
      <c r="A2024" s="7" t="str">
        <f>HYPERLINK("https://hsdes.intel.com/resource/16013241572","16013241572")</f>
        <v>16013241572</v>
      </c>
      <c r="B2024" s="7" t="s">
        <v>3486</v>
      </c>
      <c r="C2024" s="7" t="s">
        <v>1420</v>
      </c>
      <c r="D2024" s="7"/>
      <c r="E2024" s="7" t="s">
        <v>11</v>
      </c>
      <c r="F2024" s="7"/>
      <c r="G2024" s="7" t="s">
        <v>369</v>
      </c>
      <c r="H2024" s="7"/>
      <c r="I2024" s="10">
        <v>44762</v>
      </c>
      <c r="J2024" s="7" t="s">
        <v>13</v>
      </c>
      <c r="K2024" s="7" t="s">
        <v>14</v>
      </c>
      <c r="L2024" s="7" t="s">
        <v>88</v>
      </c>
      <c r="M2024" s="7" t="s">
        <v>24</v>
      </c>
    </row>
    <row r="2025" spans="1:13" x14ac:dyDescent="0.3">
      <c r="A2025" s="7" t="str">
        <f>HYPERLINK("https://hsdes.intel.com/resource/16013248861","16013248861")</f>
        <v>16013248861</v>
      </c>
      <c r="B2025" s="7" t="s">
        <v>3487</v>
      </c>
      <c r="C2025" s="7" t="s">
        <v>1420</v>
      </c>
      <c r="D2025" s="7" t="s">
        <v>182</v>
      </c>
      <c r="E2025" s="7" t="s">
        <v>37</v>
      </c>
      <c r="F2025" s="7"/>
      <c r="G2025" s="7" t="s">
        <v>369</v>
      </c>
      <c r="H2025" s="7"/>
      <c r="I2025" s="7"/>
      <c r="J2025" s="7" t="s">
        <v>13</v>
      </c>
      <c r="K2025" s="7" t="s">
        <v>183</v>
      </c>
      <c r="L2025" s="7" t="s">
        <v>29</v>
      </c>
      <c r="M2025" s="7" t="s">
        <v>16</v>
      </c>
    </row>
    <row r="2026" spans="1:13" x14ac:dyDescent="0.3">
      <c r="A2026" s="7" t="str">
        <f>HYPERLINK("https://hsdes.intel.com/resource/16013290037","16013290037")</f>
        <v>16013290037</v>
      </c>
      <c r="B2026" s="7" t="s">
        <v>3488</v>
      </c>
      <c r="C2026" s="7" t="s">
        <v>1420</v>
      </c>
      <c r="D2026" s="7"/>
      <c r="E2026" s="7" t="s">
        <v>11</v>
      </c>
      <c r="F2026" s="7"/>
      <c r="G2026" s="7" t="s">
        <v>2449</v>
      </c>
      <c r="H2026" s="7"/>
      <c r="I2026" s="10">
        <v>44764</v>
      </c>
      <c r="J2026" s="7" t="s">
        <v>394</v>
      </c>
      <c r="K2026" s="7" t="s">
        <v>67</v>
      </c>
      <c r="L2026" s="7" t="s">
        <v>68</v>
      </c>
      <c r="M2026" s="7" t="s">
        <v>21</v>
      </c>
    </row>
    <row r="2027" spans="1:13" x14ac:dyDescent="0.3">
      <c r="A2027" s="7" t="str">
        <f>HYPERLINK("https://hsdes.intel.com/resource/16013297442","16013297442")</f>
        <v>16013297442</v>
      </c>
      <c r="B2027" s="7" t="s">
        <v>3489</v>
      </c>
      <c r="C2027" s="7" t="s">
        <v>1420</v>
      </c>
      <c r="D2027" s="7"/>
      <c r="E2027" s="7" t="s">
        <v>11</v>
      </c>
      <c r="F2027" s="7"/>
      <c r="G2027" s="7" t="s">
        <v>2449</v>
      </c>
      <c r="H2027" s="7"/>
      <c r="I2027" s="10">
        <v>44764</v>
      </c>
      <c r="J2027" s="7" t="s">
        <v>394</v>
      </c>
      <c r="K2027" s="7" t="s">
        <v>67</v>
      </c>
      <c r="L2027" s="7" t="s">
        <v>68</v>
      </c>
      <c r="M2027" s="7" t="s">
        <v>21</v>
      </c>
    </row>
    <row r="2028" spans="1:13" x14ac:dyDescent="0.3">
      <c r="A2028" s="7" t="str">
        <f>HYPERLINK("https://hsdes.intel.com/resource/16013305578","16013305578")</f>
        <v>16013305578</v>
      </c>
      <c r="B2028" s="7" t="s">
        <v>3490</v>
      </c>
      <c r="C2028" s="7" t="s">
        <v>1420</v>
      </c>
      <c r="D2028" s="7" t="s">
        <v>3491</v>
      </c>
      <c r="E2028" s="7" t="s">
        <v>342</v>
      </c>
      <c r="F2028" s="7"/>
      <c r="G2028" s="7" t="s">
        <v>354</v>
      </c>
      <c r="H2028" s="7"/>
      <c r="I2028" s="10">
        <v>44760</v>
      </c>
      <c r="J2028" s="7" t="s">
        <v>13</v>
      </c>
      <c r="K2028" s="7" t="s">
        <v>147</v>
      </c>
      <c r="L2028" s="7" t="s">
        <v>29</v>
      </c>
      <c r="M2028" s="7" t="s">
        <v>16</v>
      </c>
    </row>
    <row r="2029" spans="1:13" x14ac:dyDescent="0.3">
      <c r="A2029" s="7" t="str">
        <f>HYPERLINK("https://hsdes.intel.com/resource/16013309250","16013309250")</f>
        <v>16013309250</v>
      </c>
      <c r="B2029" s="7" t="s">
        <v>3492</v>
      </c>
      <c r="C2029" s="7" t="s">
        <v>1420</v>
      </c>
      <c r="D2029" s="7"/>
      <c r="E2029" s="7" t="s">
        <v>11</v>
      </c>
      <c r="F2029" s="7"/>
      <c r="G2029" s="7" t="s">
        <v>354</v>
      </c>
      <c r="H2029" s="7"/>
      <c r="I2029" s="10">
        <v>44760</v>
      </c>
      <c r="J2029" s="7" t="s">
        <v>13</v>
      </c>
      <c r="K2029" s="7" t="s">
        <v>296</v>
      </c>
      <c r="L2029" s="7" t="s">
        <v>297</v>
      </c>
      <c r="M2029" s="7" t="s">
        <v>16</v>
      </c>
    </row>
    <row r="2030" spans="1:13" x14ac:dyDescent="0.3">
      <c r="A2030" s="7" t="str">
        <f>HYPERLINK("https://hsdes.intel.com/resource/16013335403","16013335403")</f>
        <v>16013335403</v>
      </c>
      <c r="B2030" s="7" t="s">
        <v>3493</v>
      </c>
      <c r="C2030" s="7" t="s">
        <v>1420</v>
      </c>
      <c r="D2030" s="7" t="s">
        <v>3494</v>
      </c>
      <c r="E2030" s="7" t="s">
        <v>342</v>
      </c>
      <c r="F2030" s="7"/>
      <c r="G2030" s="7" t="s">
        <v>354</v>
      </c>
      <c r="H2030" s="7"/>
      <c r="I2030" s="10">
        <v>44760</v>
      </c>
      <c r="J2030" s="7" t="s">
        <v>13</v>
      </c>
      <c r="K2030" s="7" t="s">
        <v>740</v>
      </c>
      <c r="L2030" s="7" t="s">
        <v>29</v>
      </c>
      <c r="M2030" s="7" t="s">
        <v>16</v>
      </c>
    </row>
    <row r="2031" spans="1:13" x14ac:dyDescent="0.3">
      <c r="A2031" s="7" t="str">
        <f>HYPERLINK("https://hsdes.intel.com/resource/16013344451","16013344451")</f>
        <v>16013344451</v>
      </c>
      <c r="B2031" s="7" t="s">
        <v>3495</v>
      </c>
      <c r="C2031" s="7" t="s">
        <v>1420</v>
      </c>
      <c r="D2031" s="7" t="s">
        <v>3496</v>
      </c>
      <c r="E2031" s="7" t="s">
        <v>11</v>
      </c>
      <c r="F2031" s="7"/>
      <c r="G2031" s="7" t="s">
        <v>354</v>
      </c>
      <c r="H2031" s="7"/>
      <c r="I2031" s="10">
        <v>44760</v>
      </c>
      <c r="J2031" s="7" t="s">
        <v>13</v>
      </c>
      <c r="K2031" s="7" t="s">
        <v>740</v>
      </c>
      <c r="L2031" s="7" t="s">
        <v>29</v>
      </c>
      <c r="M2031" s="7" t="s">
        <v>16</v>
      </c>
    </row>
    <row r="2032" spans="1:13" x14ac:dyDescent="0.3">
      <c r="A2032" s="7" t="str">
        <f>HYPERLINK("https://hsdes.intel.com/resource/16013691380","16013691380")</f>
        <v>16013691380</v>
      </c>
      <c r="B2032" s="7" t="s">
        <v>3497</v>
      </c>
      <c r="C2032" s="7" t="s">
        <v>1420</v>
      </c>
      <c r="D2032" s="7" t="s">
        <v>1143</v>
      </c>
      <c r="E2032" s="7" t="s">
        <v>32</v>
      </c>
      <c r="F2032" s="7" t="s">
        <v>2680</v>
      </c>
      <c r="G2032" s="7" t="s">
        <v>2449</v>
      </c>
      <c r="H2032" s="7" t="s">
        <v>2449</v>
      </c>
      <c r="I2032" s="10">
        <v>44761</v>
      </c>
      <c r="J2032" s="7" t="s">
        <v>13</v>
      </c>
      <c r="K2032" s="7" t="s">
        <v>19</v>
      </c>
      <c r="L2032" s="7" t="s">
        <v>20</v>
      </c>
      <c r="M2032" s="7" t="s">
        <v>16</v>
      </c>
    </row>
    <row r="2033" spans="1:13" x14ac:dyDescent="0.3">
      <c r="A2033" s="7" t="str">
        <f>HYPERLINK("https://hsdes.intel.com/resource/16013696484","16013696484")</f>
        <v>16013696484</v>
      </c>
      <c r="B2033" s="7" t="s">
        <v>3498</v>
      </c>
      <c r="C2033" s="7" t="s">
        <v>1420</v>
      </c>
      <c r="D2033" s="7" t="s">
        <v>2679</v>
      </c>
      <c r="E2033" s="7" t="s">
        <v>32</v>
      </c>
      <c r="F2033" s="7" t="s">
        <v>2680</v>
      </c>
      <c r="G2033" s="7" t="s">
        <v>2449</v>
      </c>
      <c r="H2033" s="7" t="s">
        <v>2449</v>
      </c>
      <c r="I2033" s="10">
        <v>44761</v>
      </c>
      <c r="J2033" s="7" t="s">
        <v>13</v>
      </c>
      <c r="K2033" s="7" t="s">
        <v>19</v>
      </c>
      <c r="L2033" s="7" t="s">
        <v>20</v>
      </c>
      <c r="M2033" s="7" t="s">
        <v>16</v>
      </c>
    </row>
    <row r="2034" spans="1:13" x14ac:dyDescent="0.3">
      <c r="A2034" s="7" t="str">
        <f>HYPERLINK("https://hsdes.intel.com/resource/16013697915","16013697915")</f>
        <v>16013697915</v>
      </c>
      <c r="B2034" s="7" t="s">
        <v>3499</v>
      </c>
      <c r="C2034" s="7" t="s">
        <v>1420</v>
      </c>
      <c r="D2034" s="7" t="s">
        <v>1134</v>
      </c>
      <c r="E2034" s="7" t="s">
        <v>11</v>
      </c>
      <c r="F2034" s="7" t="s">
        <v>3500</v>
      </c>
      <c r="G2034" s="7" t="s">
        <v>2449</v>
      </c>
      <c r="H2034" s="7"/>
      <c r="I2034" s="10">
        <v>44762</v>
      </c>
      <c r="J2034" s="7" t="s">
        <v>192</v>
      </c>
      <c r="K2034" s="7" t="s">
        <v>19</v>
      </c>
      <c r="L2034" s="7" t="s">
        <v>20</v>
      </c>
      <c r="M2034" s="7" t="s">
        <v>16</v>
      </c>
    </row>
    <row r="2035" spans="1:13" x14ac:dyDescent="0.3">
      <c r="A2035" s="7" t="str">
        <f>HYPERLINK("https://hsdes.intel.com/resource/16013698260","16013698260")</f>
        <v>16013698260</v>
      </c>
      <c r="B2035" s="7" t="s">
        <v>3501</v>
      </c>
      <c r="C2035" s="7" t="s">
        <v>1420</v>
      </c>
      <c r="D2035" s="7" t="s">
        <v>2097</v>
      </c>
      <c r="E2035" s="7" t="s">
        <v>11</v>
      </c>
      <c r="F2035" s="7"/>
      <c r="G2035" s="7" t="s">
        <v>354</v>
      </c>
      <c r="H2035" s="7"/>
      <c r="I2035" s="10">
        <v>44761</v>
      </c>
      <c r="J2035" s="7" t="s">
        <v>13</v>
      </c>
      <c r="K2035" s="7" t="s">
        <v>19</v>
      </c>
      <c r="L2035" s="7" t="s">
        <v>20</v>
      </c>
      <c r="M2035" s="7" t="s">
        <v>16</v>
      </c>
    </row>
    <row r="2036" spans="1:13" x14ac:dyDescent="0.3">
      <c r="A2036" s="7" t="str">
        <f>HYPERLINK("https://hsdes.intel.com/resource/16013699710","16013699710")</f>
        <v>16013699710</v>
      </c>
      <c r="B2036" s="7" t="s">
        <v>3502</v>
      </c>
      <c r="C2036" s="7" t="s">
        <v>1420</v>
      </c>
      <c r="D2036" s="7" t="s">
        <v>2677</v>
      </c>
      <c r="E2036" s="7" t="s">
        <v>11</v>
      </c>
      <c r="F2036" s="7"/>
      <c r="G2036" s="7" t="s">
        <v>345</v>
      </c>
      <c r="H2036" s="7"/>
      <c r="I2036" s="10">
        <v>44760</v>
      </c>
      <c r="J2036" s="7" t="s">
        <v>13</v>
      </c>
      <c r="K2036" s="7" t="s">
        <v>19</v>
      </c>
      <c r="L2036" s="7" t="s">
        <v>20</v>
      </c>
      <c r="M2036" s="7" t="s">
        <v>16</v>
      </c>
    </row>
    <row r="2037" spans="1:13" x14ac:dyDescent="0.3">
      <c r="A2037" s="7" t="str">
        <f>HYPERLINK("https://hsdes.intel.com/resource/16013700594","16013700594")</f>
        <v>16013700594</v>
      </c>
      <c r="B2037" s="7" t="s">
        <v>3503</v>
      </c>
      <c r="C2037" s="7" t="s">
        <v>1420</v>
      </c>
      <c r="D2037" s="7" t="s">
        <v>2253</v>
      </c>
      <c r="E2037" s="7" t="s">
        <v>342</v>
      </c>
      <c r="F2037" s="7"/>
      <c r="G2037" s="7" t="s">
        <v>354</v>
      </c>
      <c r="H2037" s="7"/>
      <c r="I2037" s="10">
        <v>44761</v>
      </c>
      <c r="J2037" s="7" t="s">
        <v>1623</v>
      </c>
      <c r="K2037" s="7" t="s">
        <v>19</v>
      </c>
      <c r="L2037" s="7" t="s">
        <v>20</v>
      </c>
      <c r="M2037" s="7" t="s">
        <v>16</v>
      </c>
    </row>
    <row r="2038" spans="1:13" x14ac:dyDescent="0.3">
      <c r="A2038" s="7" t="str">
        <f>HYPERLINK("https://hsdes.intel.com/resource/16013700981","16013700981")</f>
        <v>16013700981</v>
      </c>
      <c r="B2038" s="7" t="s">
        <v>3504</v>
      </c>
      <c r="C2038" s="7" t="s">
        <v>1420</v>
      </c>
      <c r="D2038" s="7" t="s">
        <v>261</v>
      </c>
      <c r="E2038" s="7" t="s">
        <v>342</v>
      </c>
      <c r="F2038" s="7" t="s">
        <v>3505</v>
      </c>
      <c r="G2038" s="7" t="s">
        <v>354</v>
      </c>
      <c r="H2038" s="7"/>
      <c r="I2038" s="10">
        <v>44762</v>
      </c>
      <c r="J2038" s="7" t="s">
        <v>13</v>
      </c>
      <c r="K2038" s="7" t="s">
        <v>19</v>
      </c>
      <c r="L2038" s="7" t="s">
        <v>20</v>
      </c>
      <c r="M2038" s="7" t="s">
        <v>21</v>
      </c>
    </row>
    <row r="2039" spans="1:13" x14ac:dyDescent="0.3">
      <c r="A2039" s="7" t="str">
        <f>HYPERLINK("https://hsdes.intel.com/resource/16013701110","16013701110")</f>
        <v>16013701110</v>
      </c>
      <c r="B2039" s="7" t="s">
        <v>3506</v>
      </c>
      <c r="C2039" s="7" t="s">
        <v>1420</v>
      </c>
      <c r="D2039" s="7" t="s">
        <v>2099</v>
      </c>
      <c r="E2039" s="7" t="s">
        <v>11</v>
      </c>
      <c r="F2039" s="7"/>
      <c r="G2039" s="7" t="s">
        <v>369</v>
      </c>
      <c r="H2039" s="7"/>
      <c r="I2039" s="10">
        <v>44762</v>
      </c>
      <c r="J2039" s="7" t="s">
        <v>13</v>
      </c>
      <c r="K2039" s="7" t="s">
        <v>19</v>
      </c>
      <c r="L2039" s="7" t="s">
        <v>20</v>
      </c>
      <c r="M2039" s="7" t="s">
        <v>16</v>
      </c>
    </row>
    <row r="2040" spans="1:13" x14ac:dyDescent="0.3">
      <c r="A2040" s="7" t="str">
        <f>HYPERLINK("https://hsdes.intel.com/resource/16013701830","16013701830")</f>
        <v>16013701830</v>
      </c>
      <c r="B2040" s="7" t="s">
        <v>3507</v>
      </c>
      <c r="C2040" s="7" t="s">
        <v>1420</v>
      </c>
      <c r="D2040" s="7" t="s">
        <v>1129</v>
      </c>
      <c r="E2040" s="7" t="s">
        <v>11</v>
      </c>
      <c r="F2040" s="7"/>
      <c r="G2040" s="7" t="s">
        <v>354</v>
      </c>
      <c r="H2040" s="7"/>
      <c r="I2040" s="10">
        <v>44760</v>
      </c>
      <c r="J2040" s="7" t="s">
        <v>13</v>
      </c>
      <c r="K2040" s="7" t="s">
        <v>19</v>
      </c>
      <c r="L2040" s="7" t="s">
        <v>20</v>
      </c>
      <c r="M2040" s="7" t="s">
        <v>16</v>
      </c>
    </row>
    <row r="2041" spans="1:13" x14ac:dyDescent="0.3">
      <c r="A2041" s="7" t="str">
        <f>HYPERLINK("https://hsdes.intel.com/resource/16013702245","16013702245")</f>
        <v>16013702245</v>
      </c>
      <c r="B2041" s="7" t="s">
        <v>3508</v>
      </c>
      <c r="C2041" s="7" t="s">
        <v>1420</v>
      </c>
      <c r="D2041" s="7" t="s">
        <v>1124</v>
      </c>
      <c r="E2041" s="7" t="s">
        <v>11</v>
      </c>
      <c r="F2041" s="7"/>
      <c r="G2041" s="7" t="s">
        <v>354</v>
      </c>
      <c r="H2041" s="7"/>
      <c r="I2041" s="10">
        <v>44760</v>
      </c>
      <c r="J2041" s="7" t="s">
        <v>13</v>
      </c>
      <c r="K2041" s="7" t="s">
        <v>19</v>
      </c>
      <c r="L2041" s="7" t="s">
        <v>20</v>
      </c>
      <c r="M2041" s="7" t="s">
        <v>16</v>
      </c>
    </row>
    <row r="2042" spans="1:13" x14ac:dyDescent="0.3">
      <c r="A2042" s="7" t="str">
        <f>HYPERLINK("https://hsdes.intel.com/resource/16013702337","16013702337")</f>
        <v>16013702337</v>
      </c>
      <c r="B2042" s="7" t="s">
        <v>3509</v>
      </c>
      <c r="C2042" s="7" t="s">
        <v>1420</v>
      </c>
      <c r="D2042" s="7" t="s">
        <v>2308</v>
      </c>
      <c r="E2042" s="7" t="s">
        <v>11</v>
      </c>
      <c r="F2042" s="7"/>
      <c r="G2042" s="7" t="s">
        <v>354</v>
      </c>
      <c r="H2042" s="7"/>
      <c r="I2042" s="10">
        <v>44760</v>
      </c>
      <c r="J2042" s="7" t="s">
        <v>13</v>
      </c>
      <c r="K2042" s="7" t="s">
        <v>19</v>
      </c>
      <c r="L2042" s="7" t="s">
        <v>20</v>
      </c>
      <c r="M2042" s="7" t="s">
        <v>16</v>
      </c>
    </row>
    <row r="2043" spans="1:13" x14ac:dyDescent="0.3">
      <c r="A2043" s="7" t="str">
        <f>HYPERLINK("https://hsdes.intel.com/resource/16013702493","16013702493")</f>
        <v>16013702493</v>
      </c>
      <c r="B2043" s="7" t="s">
        <v>3510</v>
      </c>
      <c r="C2043" s="7" t="s">
        <v>1420</v>
      </c>
      <c r="D2043" s="7" t="s">
        <v>1127</v>
      </c>
      <c r="E2043" s="7" t="s">
        <v>342</v>
      </c>
      <c r="F2043" s="7"/>
      <c r="G2043" s="7" t="s">
        <v>354</v>
      </c>
      <c r="H2043" s="7"/>
      <c r="I2043" s="10">
        <v>44759</v>
      </c>
      <c r="J2043" s="7" t="s">
        <v>13</v>
      </c>
      <c r="K2043" s="7" t="s">
        <v>19</v>
      </c>
      <c r="L2043" s="7" t="s">
        <v>20</v>
      </c>
      <c r="M2043" s="7" t="s">
        <v>16</v>
      </c>
    </row>
    <row r="2044" spans="1:13" x14ac:dyDescent="0.3">
      <c r="A2044" s="7" t="str">
        <f>HYPERLINK("https://hsdes.intel.com/resource/16014185861","16014185861")</f>
        <v>16014185861</v>
      </c>
      <c r="B2044" s="7" t="s">
        <v>823</v>
      </c>
      <c r="C2044" s="7" t="s">
        <v>1420</v>
      </c>
      <c r="D2044" s="7"/>
      <c r="E2044" s="7"/>
      <c r="F2044" s="7"/>
      <c r="G2044" s="7" t="s">
        <v>541</v>
      </c>
      <c r="H2044" s="7"/>
      <c r="I2044" s="7"/>
      <c r="J2044" s="7" t="s">
        <v>13</v>
      </c>
      <c r="K2044" s="7" t="s">
        <v>19</v>
      </c>
      <c r="L2044" s="7" t="s">
        <v>20</v>
      </c>
      <c r="M2044" s="7" t="s">
        <v>16</v>
      </c>
    </row>
    <row r="2045" spans="1:13" x14ac:dyDescent="0.3">
      <c r="A2045" s="7" t="str">
        <f>HYPERLINK("https://hsdes.intel.com/resource/16014193686","16014193686")</f>
        <v>16014193686</v>
      </c>
      <c r="B2045" s="7" t="s">
        <v>824</v>
      </c>
      <c r="C2045" s="7" t="s">
        <v>1420</v>
      </c>
      <c r="D2045" s="7"/>
      <c r="E2045" s="7"/>
      <c r="F2045" s="7"/>
      <c r="G2045" s="7" t="s">
        <v>541</v>
      </c>
      <c r="H2045" s="7"/>
      <c r="I2045" s="7"/>
      <c r="J2045" s="7" t="s">
        <v>13</v>
      </c>
      <c r="K2045" s="7" t="s">
        <v>19</v>
      </c>
      <c r="L2045" s="7" t="s">
        <v>20</v>
      </c>
      <c r="M2045" s="7" t="s">
        <v>16</v>
      </c>
    </row>
    <row r="2046" spans="1:13" x14ac:dyDescent="0.3">
      <c r="A2046" s="7" t="str">
        <f>HYPERLINK("https://hsdes.intel.com/resource/16014193951","16014193951")</f>
        <v>16014193951</v>
      </c>
      <c r="B2046" s="7" t="s">
        <v>825</v>
      </c>
      <c r="C2046" s="7" t="s">
        <v>1420</v>
      </c>
      <c r="D2046" s="7"/>
      <c r="E2046" s="7"/>
      <c r="F2046" s="7"/>
      <c r="G2046" s="7" t="s">
        <v>541</v>
      </c>
      <c r="H2046" s="7"/>
      <c r="I2046" s="7"/>
      <c r="J2046" s="7" t="s">
        <v>13</v>
      </c>
      <c r="K2046" s="7" t="s">
        <v>19</v>
      </c>
      <c r="L2046" s="7" t="s">
        <v>20</v>
      </c>
      <c r="M2046" s="7" t="s">
        <v>16</v>
      </c>
    </row>
    <row r="2047" spans="1:13" x14ac:dyDescent="0.3">
      <c r="A2047" s="7" t="str">
        <f>HYPERLINK("https://hsdes.intel.com/resource/16014195660","16014195660")</f>
        <v>16014195660</v>
      </c>
      <c r="B2047" s="7" t="s">
        <v>826</v>
      </c>
      <c r="C2047" s="7" t="s">
        <v>1420</v>
      </c>
      <c r="D2047" s="7"/>
      <c r="E2047" s="7"/>
      <c r="F2047" s="7"/>
      <c r="G2047" s="7" t="s">
        <v>541</v>
      </c>
      <c r="H2047" s="7"/>
      <c r="I2047" s="7"/>
      <c r="J2047" s="7" t="s">
        <v>13</v>
      </c>
      <c r="K2047" s="7" t="s">
        <v>19</v>
      </c>
      <c r="L2047" s="7" t="s">
        <v>20</v>
      </c>
      <c r="M2047" s="7" t="s">
        <v>16</v>
      </c>
    </row>
    <row r="2048" spans="1:13" x14ac:dyDescent="0.3">
      <c r="A2048" s="7" t="str">
        <f>HYPERLINK("https://hsdes.intel.com/resource/16014195667","16014195667")</f>
        <v>16014195667</v>
      </c>
      <c r="B2048" s="7" t="s">
        <v>827</v>
      </c>
      <c r="C2048" s="7" t="s">
        <v>1420</v>
      </c>
      <c r="D2048" s="7"/>
      <c r="E2048" s="7"/>
      <c r="F2048" s="7"/>
      <c r="G2048" s="7" t="s">
        <v>541</v>
      </c>
      <c r="H2048" s="7"/>
      <c r="I2048" s="7"/>
      <c r="J2048" s="7" t="s">
        <v>13</v>
      </c>
      <c r="K2048" s="7" t="s">
        <v>19</v>
      </c>
      <c r="L2048" s="7" t="s">
        <v>20</v>
      </c>
      <c r="M2048" s="7" t="s">
        <v>16</v>
      </c>
    </row>
    <row r="2049" spans="1:13" x14ac:dyDescent="0.3">
      <c r="A2049" s="7" t="str">
        <f>HYPERLINK("https://hsdes.intel.com/resource/16014195680","16014195680")</f>
        <v>16014195680</v>
      </c>
      <c r="B2049" s="7" t="s">
        <v>828</v>
      </c>
      <c r="C2049" s="7" t="s">
        <v>1420</v>
      </c>
      <c r="D2049" s="7"/>
      <c r="E2049" s="7"/>
      <c r="F2049" s="7"/>
      <c r="G2049" s="7" t="s">
        <v>541</v>
      </c>
      <c r="H2049" s="7"/>
      <c r="I2049" s="7"/>
      <c r="J2049" s="7" t="s">
        <v>13</v>
      </c>
      <c r="K2049" s="7" t="s">
        <v>19</v>
      </c>
      <c r="L2049" s="7" t="s">
        <v>20</v>
      </c>
      <c r="M2049" s="7" t="s">
        <v>16</v>
      </c>
    </row>
    <row r="2050" spans="1:13" x14ac:dyDescent="0.3">
      <c r="A2050" s="7" t="str">
        <f>HYPERLINK("https://hsdes.intel.com/resource/16014195699","16014195699")</f>
        <v>16014195699</v>
      </c>
      <c r="B2050" s="7" t="s">
        <v>829</v>
      </c>
      <c r="C2050" s="7" t="s">
        <v>1420</v>
      </c>
      <c r="D2050" s="7"/>
      <c r="E2050" s="7"/>
      <c r="F2050" s="7"/>
      <c r="G2050" s="7" t="s">
        <v>541</v>
      </c>
      <c r="H2050" s="7"/>
      <c r="I2050" s="7"/>
      <c r="J2050" s="7" t="s">
        <v>13</v>
      </c>
      <c r="K2050" s="7" t="s">
        <v>19</v>
      </c>
      <c r="L2050" s="7" t="s">
        <v>20</v>
      </c>
      <c r="M2050" s="7" t="s">
        <v>16</v>
      </c>
    </row>
    <row r="2051" spans="1:13" x14ac:dyDescent="0.3">
      <c r="A2051" s="7" t="str">
        <f>HYPERLINK("https://hsdes.intel.com/resource/16014195710","16014195710")</f>
        <v>16014195710</v>
      </c>
      <c r="B2051" s="7" t="s">
        <v>830</v>
      </c>
      <c r="C2051" s="7" t="s">
        <v>1420</v>
      </c>
      <c r="D2051" s="7"/>
      <c r="E2051" s="7"/>
      <c r="F2051" s="7"/>
      <c r="G2051" s="7" t="s">
        <v>541</v>
      </c>
      <c r="H2051" s="7"/>
      <c r="I2051" s="7"/>
      <c r="J2051" s="7" t="s">
        <v>13</v>
      </c>
      <c r="K2051" s="7" t="s">
        <v>19</v>
      </c>
      <c r="L2051" s="7" t="s">
        <v>20</v>
      </c>
      <c r="M2051" s="7" t="s">
        <v>16</v>
      </c>
    </row>
    <row r="2052" spans="1:13" x14ac:dyDescent="0.3">
      <c r="A2052" s="7" t="str">
        <f>HYPERLINK("https://hsdes.intel.com/resource/16014195743","16014195743")</f>
        <v>16014195743</v>
      </c>
      <c r="B2052" s="7" t="s">
        <v>3511</v>
      </c>
      <c r="C2052" s="7" t="s">
        <v>1420</v>
      </c>
      <c r="D2052" s="7"/>
      <c r="E2052" s="7"/>
      <c r="F2052" s="7"/>
      <c r="G2052" s="7" t="s">
        <v>541</v>
      </c>
      <c r="H2052" s="7"/>
      <c r="I2052" s="7"/>
      <c r="J2052" s="7" t="s">
        <v>13</v>
      </c>
      <c r="K2052" s="7" t="s">
        <v>19</v>
      </c>
      <c r="L2052" s="7" t="s">
        <v>20</v>
      </c>
      <c r="M2052" s="7" t="s">
        <v>16</v>
      </c>
    </row>
    <row r="2053" spans="1:13" x14ac:dyDescent="0.3">
      <c r="A2053" s="7" t="str">
        <f>HYPERLINK("https://hsdes.intel.com/resource/16014195796","16014195796")</f>
        <v>16014195796</v>
      </c>
      <c r="B2053" s="7" t="s">
        <v>3512</v>
      </c>
      <c r="C2053" s="7" t="s">
        <v>1420</v>
      </c>
      <c r="D2053" s="7"/>
      <c r="E2053" s="7" t="s">
        <v>11</v>
      </c>
      <c r="F2053" s="7"/>
      <c r="G2053" s="7" t="s">
        <v>345</v>
      </c>
      <c r="H2053" s="7"/>
      <c r="I2053" s="10">
        <v>44760</v>
      </c>
      <c r="J2053" s="7" t="s">
        <v>13</v>
      </c>
      <c r="K2053" s="7" t="s">
        <v>19</v>
      </c>
      <c r="L2053" s="7" t="s">
        <v>20</v>
      </c>
      <c r="M2053" s="7" t="s">
        <v>16</v>
      </c>
    </row>
    <row r="2054" spans="1:13" x14ac:dyDescent="0.3">
      <c r="A2054" s="7" t="str">
        <f>HYPERLINK("https://hsdes.intel.com/resource/16014195873","16014195873")</f>
        <v>16014195873</v>
      </c>
      <c r="B2054" s="7" t="s">
        <v>3513</v>
      </c>
      <c r="C2054" s="7" t="s">
        <v>1420</v>
      </c>
      <c r="D2054" s="7"/>
      <c r="E2054" s="7" t="s">
        <v>11</v>
      </c>
      <c r="F2054" s="7"/>
      <c r="G2054" s="7" t="s">
        <v>345</v>
      </c>
      <c r="H2054" s="7"/>
      <c r="I2054" s="10">
        <v>44760</v>
      </c>
      <c r="J2054" s="7" t="s">
        <v>13</v>
      </c>
      <c r="K2054" s="7" t="s">
        <v>19</v>
      </c>
      <c r="L2054" s="7" t="s">
        <v>20</v>
      </c>
      <c r="M2054" s="7" t="s">
        <v>16</v>
      </c>
    </row>
    <row r="2055" spans="1:13" x14ac:dyDescent="0.3">
      <c r="A2055" s="7" t="str">
        <f>HYPERLINK("https://hsdes.intel.com/resource/16014195880","16014195880")</f>
        <v>16014195880</v>
      </c>
      <c r="B2055" s="7" t="s">
        <v>3514</v>
      </c>
      <c r="C2055" s="7" t="s">
        <v>1420</v>
      </c>
      <c r="D2055" s="7"/>
      <c r="E2055" s="7" t="s">
        <v>11</v>
      </c>
      <c r="F2055" s="7"/>
      <c r="G2055" s="7" t="s">
        <v>345</v>
      </c>
      <c r="H2055" s="7"/>
      <c r="I2055" s="10">
        <v>44760</v>
      </c>
      <c r="J2055" s="7" t="s">
        <v>13</v>
      </c>
      <c r="K2055" s="7" t="s">
        <v>19</v>
      </c>
      <c r="L2055" s="7" t="s">
        <v>20</v>
      </c>
      <c r="M2055" s="7" t="s">
        <v>16</v>
      </c>
    </row>
    <row r="2056" spans="1:13" x14ac:dyDescent="0.3">
      <c r="A2056" s="7" t="str">
        <f>HYPERLINK("https://hsdes.intel.com/resource/16014195895","16014195895")</f>
        <v>16014195895</v>
      </c>
      <c r="B2056" s="7" t="s">
        <v>3515</v>
      </c>
      <c r="C2056" s="7" t="s">
        <v>1420</v>
      </c>
      <c r="D2056" s="7"/>
      <c r="E2056" s="7" t="s">
        <v>11</v>
      </c>
      <c r="F2056" s="7"/>
      <c r="G2056" s="7" t="s">
        <v>345</v>
      </c>
      <c r="H2056" s="7"/>
      <c r="I2056" s="10">
        <v>44760</v>
      </c>
      <c r="J2056" s="7" t="s">
        <v>13</v>
      </c>
      <c r="K2056" s="7" t="s">
        <v>19</v>
      </c>
      <c r="L2056" s="7" t="s">
        <v>20</v>
      </c>
      <c r="M2056" s="7" t="s">
        <v>16</v>
      </c>
    </row>
    <row r="2057" spans="1:13" x14ac:dyDescent="0.3">
      <c r="A2057" s="7" t="str">
        <f>HYPERLINK("https://hsdes.intel.com/resource/16014206075","16014206075")</f>
        <v>16014206075</v>
      </c>
      <c r="B2057" s="7" t="s">
        <v>3516</v>
      </c>
      <c r="C2057" s="7" t="s">
        <v>1420</v>
      </c>
      <c r="D2057" s="7" t="s">
        <v>2072</v>
      </c>
      <c r="E2057" s="7" t="s">
        <v>11</v>
      </c>
      <c r="F2057" s="7"/>
      <c r="G2057" s="7" t="s">
        <v>369</v>
      </c>
      <c r="H2057" s="7"/>
      <c r="I2057" s="10">
        <v>44762</v>
      </c>
      <c r="J2057" s="7" t="s">
        <v>13</v>
      </c>
      <c r="K2057" s="7" t="s">
        <v>19</v>
      </c>
      <c r="L2057" s="7" t="s">
        <v>20</v>
      </c>
      <c r="M2057" s="7" t="s">
        <v>21</v>
      </c>
    </row>
    <row r="2058" spans="1:13" x14ac:dyDescent="0.3">
      <c r="A2058" s="7" t="str">
        <f>HYPERLINK("https://hsdes.intel.com/resource/16014206609","16014206609")</f>
        <v>16014206609</v>
      </c>
      <c r="B2058" s="7" t="s">
        <v>3517</v>
      </c>
      <c r="C2058" s="7" t="s">
        <v>1420</v>
      </c>
      <c r="D2058" s="7" t="s">
        <v>2072</v>
      </c>
      <c r="E2058" s="7" t="s">
        <v>11</v>
      </c>
      <c r="F2058" s="7"/>
      <c r="G2058" s="7" t="s">
        <v>369</v>
      </c>
      <c r="H2058" s="7"/>
      <c r="I2058" s="10">
        <v>44762</v>
      </c>
      <c r="J2058" s="7" t="s">
        <v>13</v>
      </c>
      <c r="K2058" s="7" t="s">
        <v>19</v>
      </c>
      <c r="L2058" s="7" t="s">
        <v>20</v>
      </c>
      <c r="M2058" s="7" t="s">
        <v>21</v>
      </c>
    </row>
    <row r="2059" spans="1:13" x14ac:dyDescent="0.3">
      <c r="A2059" s="7" t="str">
        <f>HYPERLINK("https://hsdes.intel.com/resource/16014212976","16014212976")</f>
        <v>16014212976</v>
      </c>
      <c r="B2059" s="7" t="s">
        <v>3518</v>
      </c>
      <c r="C2059" s="7" t="s">
        <v>1420</v>
      </c>
      <c r="D2059" s="7" t="s">
        <v>2072</v>
      </c>
      <c r="E2059" s="7" t="s">
        <v>11</v>
      </c>
      <c r="F2059" s="7"/>
      <c r="G2059" s="7" t="s">
        <v>369</v>
      </c>
      <c r="H2059" s="7"/>
      <c r="I2059" s="10">
        <v>44762</v>
      </c>
      <c r="J2059" s="7" t="s">
        <v>13</v>
      </c>
      <c r="K2059" s="7" t="s">
        <v>19</v>
      </c>
      <c r="L2059" s="7" t="s">
        <v>20</v>
      </c>
      <c r="M2059" s="7" t="s">
        <v>21</v>
      </c>
    </row>
    <row r="2060" spans="1:13" x14ac:dyDescent="0.3">
      <c r="A2060" s="7" t="str">
        <f>HYPERLINK("https://hsdes.intel.com/resource/16014217885","16014217885")</f>
        <v>16014217885</v>
      </c>
      <c r="B2060" s="7" t="s">
        <v>3519</v>
      </c>
      <c r="C2060" s="7" t="s">
        <v>1420</v>
      </c>
      <c r="D2060" s="7" t="s">
        <v>2072</v>
      </c>
      <c r="E2060" s="7" t="s">
        <v>11</v>
      </c>
      <c r="F2060" s="7"/>
      <c r="G2060" s="7" t="s">
        <v>369</v>
      </c>
      <c r="H2060" s="7"/>
      <c r="I2060" s="10">
        <v>44762</v>
      </c>
      <c r="J2060" s="7" t="s">
        <v>13</v>
      </c>
      <c r="K2060" s="7" t="s">
        <v>19</v>
      </c>
      <c r="L2060" s="7" t="s">
        <v>20</v>
      </c>
      <c r="M2060" s="7" t="s">
        <v>21</v>
      </c>
    </row>
    <row r="2061" spans="1:13" x14ac:dyDescent="0.3">
      <c r="A2061" s="7" t="str">
        <f>HYPERLINK("https://hsdes.intel.com/resource/16014218143","16014218143")</f>
        <v>16014218143</v>
      </c>
      <c r="B2061" s="7" t="s">
        <v>3520</v>
      </c>
      <c r="C2061" s="7" t="s">
        <v>1420</v>
      </c>
      <c r="D2061" s="7" t="s">
        <v>2072</v>
      </c>
      <c r="E2061" s="7" t="s">
        <v>11</v>
      </c>
      <c r="F2061" s="7"/>
      <c r="G2061" s="7" t="s">
        <v>369</v>
      </c>
      <c r="H2061" s="7"/>
      <c r="I2061" s="10">
        <v>44762</v>
      </c>
      <c r="J2061" s="7" t="s">
        <v>13</v>
      </c>
      <c r="K2061" s="7" t="s">
        <v>19</v>
      </c>
      <c r="L2061" s="7" t="s">
        <v>20</v>
      </c>
      <c r="M2061" s="7" t="s">
        <v>21</v>
      </c>
    </row>
    <row r="2062" spans="1:13" x14ac:dyDescent="0.3">
      <c r="A2062" s="7" t="str">
        <f>HYPERLINK("https://hsdes.intel.com/resource/16014241192","16014241192")</f>
        <v>16014241192</v>
      </c>
      <c r="B2062" s="7" t="s">
        <v>3521</v>
      </c>
      <c r="C2062" s="7" t="s">
        <v>1420</v>
      </c>
      <c r="D2062" s="7"/>
      <c r="E2062" s="7" t="s">
        <v>342</v>
      </c>
      <c r="F2062" s="7"/>
      <c r="G2062" s="7" t="s">
        <v>354</v>
      </c>
      <c r="H2062" s="7"/>
      <c r="I2062" s="10">
        <v>44760</v>
      </c>
      <c r="J2062" s="7" t="s">
        <v>394</v>
      </c>
      <c r="K2062" s="7" t="s">
        <v>14</v>
      </c>
      <c r="L2062" s="7" t="s">
        <v>88</v>
      </c>
      <c r="M2062" s="7" t="s">
        <v>16</v>
      </c>
    </row>
    <row r="2063" spans="1:13" x14ac:dyDescent="0.3">
      <c r="A2063" s="7" t="str">
        <f>HYPERLINK("https://hsdes.intel.com/resource/16014401845","16014401845")</f>
        <v>16014401845</v>
      </c>
      <c r="B2063" s="7" t="s">
        <v>3522</v>
      </c>
      <c r="C2063" s="7" t="s">
        <v>1420</v>
      </c>
      <c r="D2063" s="7" t="s">
        <v>3224</v>
      </c>
      <c r="E2063" s="7" t="s">
        <v>342</v>
      </c>
      <c r="F2063" s="7"/>
      <c r="G2063" s="7" t="s">
        <v>1783</v>
      </c>
      <c r="H2063" s="7"/>
      <c r="I2063" s="10">
        <v>44757</v>
      </c>
      <c r="J2063" s="7" t="s">
        <v>13</v>
      </c>
      <c r="K2063" s="7" t="s">
        <v>290</v>
      </c>
      <c r="L2063" s="7" t="s">
        <v>291</v>
      </c>
      <c r="M2063" s="7" t="s">
        <v>16</v>
      </c>
    </row>
    <row r="2064" spans="1:13" x14ac:dyDescent="0.3">
      <c r="A2064" s="7" t="str">
        <f>HYPERLINK("https://hsdes.intel.com/resource/16014434357","16014434357")</f>
        <v>16014434357</v>
      </c>
      <c r="B2064" s="7" t="s">
        <v>3523</v>
      </c>
      <c r="C2064" s="7" t="s">
        <v>1420</v>
      </c>
      <c r="D2064" s="7" t="s">
        <v>1592</v>
      </c>
      <c r="E2064" s="7" t="s">
        <v>342</v>
      </c>
      <c r="F2064" s="7"/>
      <c r="G2064" s="7" t="s">
        <v>354</v>
      </c>
      <c r="H2064" s="7"/>
      <c r="I2064" s="10">
        <v>44760</v>
      </c>
      <c r="J2064" s="7" t="s">
        <v>13</v>
      </c>
      <c r="K2064" s="7" t="s">
        <v>19</v>
      </c>
      <c r="L2064" s="7" t="s">
        <v>20</v>
      </c>
      <c r="M2064" s="7" t="s">
        <v>24</v>
      </c>
    </row>
    <row r="2065" spans="1:13" x14ac:dyDescent="0.3">
      <c r="A2065" s="7" t="str">
        <f>HYPERLINK("https://hsdes.intel.com/resource/16014434758","16014434758")</f>
        <v>16014434758</v>
      </c>
      <c r="B2065" s="7" t="s">
        <v>3524</v>
      </c>
      <c r="C2065" s="7" t="s">
        <v>1420</v>
      </c>
      <c r="D2065" s="7" t="s">
        <v>1592</v>
      </c>
      <c r="E2065" s="7" t="s">
        <v>342</v>
      </c>
      <c r="F2065" s="7"/>
      <c r="G2065" s="7" t="s">
        <v>354</v>
      </c>
      <c r="H2065" s="7"/>
      <c r="I2065" s="10">
        <v>44760</v>
      </c>
      <c r="J2065" s="7" t="s">
        <v>13</v>
      </c>
      <c r="K2065" s="7" t="s">
        <v>19</v>
      </c>
      <c r="L2065" s="7" t="s">
        <v>20</v>
      </c>
      <c r="M2065" s="7" t="s">
        <v>24</v>
      </c>
    </row>
    <row r="2066" spans="1:13" x14ac:dyDescent="0.3">
      <c r="A2066" s="7" t="str">
        <f>HYPERLINK("https://hsdes.intel.com/resource/16014452298","16014452298")</f>
        <v>16014452298</v>
      </c>
      <c r="B2066" s="7" t="s">
        <v>3525</v>
      </c>
      <c r="C2066" s="7" t="s">
        <v>1420</v>
      </c>
      <c r="D2066" s="7" t="s">
        <v>2271</v>
      </c>
      <c r="E2066" s="7" t="s">
        <v>342</v>
      </c>
      <c r="F2066" s="7"/>
      <c r="G2066" s="7" t="s">
        <v>354</v>
      </c>
      <c r="H2066" s="7"/>
      <c r="I2066" s="10">
        <v>44760</v>
      </c>
      <c r="J2066" s="7" t="s">
        <v>13</v>
      </c>
      <c r="K2066" s="7" t="s">
        <v>19</v>
      </c>
      <c r="L2066" s="7" t="s">
        <v>20</v>
      </c>
      <c r="M2066" s="7" t="s">
        <v>24</v>
      </c>
    </row>
    <row r="2067" spans="1:13" x14ac:dyDescent="0.3">
      <c r="A2067" s="7" t="str">
        <f>HYPERLINK("https://hsdes.intel.com/resource/16014452382","16014452382")</f>
        <v>16014452382</v>
      </c>
      <c r="B2067" s="7" t="s">
        <v>3526</v>
      </c>
      <c r="C2067" s="7" t="s">
        <v>1420</v>
      </c>
      <c r="D2067" s="7" t="s">
        <v>2273</v>
      </c>
      <c r="E2067" s="7" t="s">
        <v>342</v>
      </c>
      <c r="F2067" s="7"/>
      <c r="G2067" s="7" t="s">
        <v>354</v>
      </c>
      <c r="H2067" s="7"/>
      <c r="I2067" s="10">
        <v>44760</v>
      </c>
      <c r="J2067" s="7" t="s">
        <v>13</v>
      </c>
      <c r="K2067" s="7" t="s">
        <v>19</v>
      </c>
      <c r="L2067" s="7" t="s">
        <v>20</v>
      </c>
      <c r="M2067" s="7" t="s">
        <v>21</v>
      </c>
    </row>
    <row r="2068" spans="1:13" x14ac:dyDescent="0.3">
      <c r="A2068" s="7" t="str">
        <f>HYPERLINK("https://hsdes.intel.com/resource/16014452525","16014452525")</f>
        <v>16014452525</v>
      </c>
      <c r="B2068" s="7" t="s">
        <v>3527</v>
      </c>
      <c r="C2068" s="7" t="s">
        <v>1420</v>
      </c>
      <c r="D2068" s="7" t="s">
        <v>2363</v>
      </c>
      <c r="E2068" s="7" t="s">
        <v>342</v>
      </c>
      <c r="F2068" s="7"/>
      <c r="G2068" s="7" t="s">
        <v>354</v>
      </c>
      <c r="H2068" s="7"/>
      <c r="I2068" s="10">
        <v>44760</v>
      </c>
      <c r="J2068" s="7" t="s">
        <v>13</v>
      </c>
      <c r="K2068" s="7" t="s">
        <v>19</v>
      </c>
      <c r="L2068" s="7" t="s">
        <v>20</v>
      </c>
      <c r="M2068" s="7" t="s">
        <v>24</v>
      </c>
    </row>
    <row r="2069" spans="1:13" x14ac:dyDescent="0.3">
      <c r="A2069" s="7" t="str">
        <f>HYPERLINK("https://hsdes.intel.com/resource/16014459216","16014459216")</f>
        <v>16014459216</v>
      </c>
      <c r="B2069" s="7" t="s">
        <v>3528</v>
      </c>
      <c r="C2069" s="7" t="s">
        <v>1420</v>
      </c>
      <c r="D2069" s="7" t="s">
        <v>2337</v>
      </c>
      <c r="E2069" s="7" t="s">
        <v>342</v>
      </c>
      <c r="F2069" s="7"/>
      <c r="G2069" s="7" t="s">
        <v>354</v>
      </c>
      <c r="H2069" s="7"/>
      <c r="I2069" s="10">
        <v>44760</v>
      </c>
      <c r="J2069" s="7" t="s">
        <v>13</v>
      </c>
      <c r="K2069" s="7" t="s">
        <v>19</v>
      </c>
      <c r="L2069" s="7" t="s">
        <v>20</v>
      </c>
      <c r="M2069" s="7" t="s">
        <v>24</v>
      </c>
    </row>
    <row r="2070" spans="1:13" x14ac:dyDescent="0.3">
      <c r="A2070" s="7" t="str">
        <f>HYPERLINK("https://hsdes.intel.com/resource/16014459496","16014459496")</f>
        <v>16014459496</v>
      </c>
      <c r="B2070" s="7" t="s">
        <v>3529</v>
      </c>
      <c r="C2070" s="7" t="s">
        <v>1420</v>
      </c>
      <c r="D2070" s="7" t="s">
        <v>1128</v>
      </c>
      <c r="E2070" s="7" t="s">
        <v>342</v>
      </c>
      <c r="F2070" s="7"/>
      <c r="G2070" s="7" t="s">
        <v>354</v>
      </c>
      <c r="H2070" s="7"/>
      <c r="I2070" s="10">
        <v>44760</v>
      </c>
      <c r="J2070" s="7" t="s">
        <v>1623</v>
      </c>
      <c r="K2070" s="7" t="s">
        <v>19</v>
      </c>
      <c r="L2070" s="7" t="s">
        <v>20</v>
      </c>
      <c r="M2070" s="7" t="s">
        <v>24</v>
      </c>
    </row>
    <row r="2071" spans="1:13" x14ac:dyDescent="0.3">
      <c r="A2071" s="7" t="str">
        <f>HYPERLINK("https://hsdes.intel.com/resource/16014500971","16014500971")</f>
        <v>16014500971</v>
      </c>
      <c r="B2071" s="7" t="s">
        <v>3530</v>
      </c>
      <c r="C2071" s="7" t="s">
        <v>1420</v>
      </c>
      <c r="D2071" s="7"/>
      <c r="E2071" s="7" t="s">
        <v>342</v>
      </c>
      <c r="F2071" s="7"/>
      <c r="G2071" s="7" t="s">
        <v>354</v>
      </c>
      <c r="H2071" s="7"/>
      <c r="I2071" s="10">
        <v>44760</v>
      </c>
      <c r="J2071" s="7" t="s">
        <v>1623</v>
      </c>
      <c r="K2071" s="7" t="s">
        <v>3606</v>
      </c>
      <c r="L2071" s="7" t="s">
        <v>94</v>
      </c>
      <c r="M2071" s="7" t="s">
        <v>16</v>
      </c>
    </row>
    <row r="2072" spans="1:13" x14ac:dyDescent="0.3">
      <c r="A2072" s="7" t="str">
        <f>HYPERLINK("https://hsdes.intel.com/resource/16014777018","16014777018")</f>
        <v>16014777018</v>
      </c>
      <c r="B2072" s="7" t="s">
        <v>3531</v>
      </c>
      <c r="C2072" s="7" t="s">
        <v>1420</v>
      </c>
      <c r="D2072" s="7" t="s">
        <v>178</v>
      </c>
      <c r="E2072" s="7" t="s">
        <v>11</v>
      </c>
      <c r="F2072" s="7"/>
      <c r="G2072" s="7" t="s">
        <v>369</v>
      </c>
      <c r="H2072" s="7"/>
      <c r="I2072" s="10">
        <v>44762</v>
      </c>
      <c r="J2072" s="7" t="s">
        <v>13</v>
      </c>
      <c r="K2072" s="7" t="s">
        <v>147</v>
      </c>
      <c r="L2072" s="7" t="s">
        <v>29</v>
      </c>
      <c r="M2072" s="7" t="s">
        <v>16</v>
      </c>
    </row>
    <row r="2073" spans="1:13" x14ac:dyDescent="0.3">
      <c r="A2073" s="7" t="str">
        <f>HYPERLINK("https://hsdes.intel.com/resource/16014796682","16014796682")</f>
        <v>16014796682</v>
      </c>
      <c r="B2073" s="7" t="s">
        <v>3532</v>
      </c>
      <c r="C2073" s="7" t="s">
        <v>1420</v>
      </c>
      <c r="D2073" s="7" t="s">
        <v>3533</v>
      </c>
      <c r="E2073" s="7" t="s">
        <v>11</v>
      </c>
      <c r="F2073" s="7"/>
      <c r="G2073" s="7" t="s">
        <v>354</v>
      </c>
      <c r="H2073" s="7"/>
      <c r="I2073" s="10">
        <v>44760</v>
      </c>
      <c r="J2073" s="7" t="s">
        <v>13</v>
      </c>
      <c r="K2073" s="7" t="s">
        <v>740</v>
      </c>
      <c r="L2073" s="7" t="s">
        <v>29</v>
      </c>
      <c r="M2073" s="7" t="s">
        <v>16</v>
      </c>
    </row>
    <row r="2074" spans="1:13" x14ac:dyDescent="0.3">
      <c r="A2074" s="7" t="str">
        <f>HYPERLINK("https://hsdes.intel.com/resource/16014813156","16014813156")</f>
        <v>16014813156</v>
      </c>
      <c r="B2074" s="7" t="s">
        <v>3534</v>
      </c>
      <c r="C2074" s="7" t="s">
        <v>1420</v>
      </c>
      <c r="D2074" s="7" t="s">
        <v>3535</v>
      </c>
      <c r="E2074" s="7" t="s">
        <v>11</v>
      </c>
      <c r="F2074" s="7"/>
      <c r="G2074" s="7" t="s">
        <v>836</v>
      </c>
      <c r="H2074" s="7"/>
      <c r="I2074" s="10">
        <v>44755</v>
      </c>
      <c r="J2074" s="7" t="s">
        <v>13</v>
      </c>
      <c r="K2074" s="7" t="s">
        <v>147</v>
      </c>
      <c r="L2074" s="7" t="s">
        <v>29</v>
      </c>
      <c r="M2074" s="7" t="s">
        <v>16</v>
      </c>
    </row>
    <row r="2075" spans="1:13" x14ac:dyDescent="0.3">
      <c r="A2075" s="7" t="str">
        <f>HYPERLINK("https://hsdes.intel.com/resource/16014827937","16014827937")</f>
        <v>16014827937</v>
      </c>
      <c r="B2075" s="7" t="s">
        <v>3536</v>
      </c>
      <c r="C2075" s="7" t="s">
        <v>1420</v>
      </c>
      <c r="D2075" s="7" t="s">
        <v>2945</v>
      </c>
      <c r="E2075" s="7" t="s">
        <v>11</v>
      </c>
      <c r="F2075" s="7"/>
      <c r="G2075" s="7" t="s">
        <v>354</v>
      </c>
      <c r="H2075" s="7"/>
      <c r="I2075" s="10">
        <v>44760</v>
      </c>
      <c r="J2075" s="7" t="s">
        <v>13</v>
      </c>
      <c r="K2075" s="7" t="s">
        <v>740</v>
      </c>
      <c r="L2075" s="7" t="s">
        <v>29</v>
      </c>
      <c r="M2075" s="7" t="s">
        <v>24</v>
      </c>
    </row>
    <row r="2076" spans="1:13" x14ac:dyDescent="0.3">
      <c r="A2076" s="7" t="str">
        <f>HYPERLINK("https://hsdes.intel.com/resource/16014842310","16014842310")</f>
        <v>16014842310</v>
      </c>
      <c r="B2076" s="7" t="s">
        <v>3537</v>
      </c>
      <c r="C2076" s="7" t="s">
        <v>1420</v>
      </c>
      <c r="D2076" s="7" t="s">
        <v>3332</v>
      </c>
      <c r="E2076" s="7" t="s">
        <v>342</v>
      </c>
      <c r="F2076" s="7"/>
      <c r="G2076" s="7" t="s">
        <v>354</v>
      </c>
      <c r="H2076" s="7"/>
      <c r="I2076" s="10">
        <v>44760</v>
      </c>
      <c r="J2076" s="7" t="s">
        <v>1623</v>
      </c>
      <c r="K2076" s="7" t="s">
        <v>296</v>
      </c>
      <c r="L2076" s="7" t="s">
        <v>297</v>
      </c>
      <c r="M2076" s="7" t="s">
        <v>16</v>
      </c>
    </row>
    <row r="2077" spans="1:13" x14ac:dyDescent="0.3">
      <c r="A2077" s="7" t="str">
        <f>HYPERLINK("https://hsdes.intel.com/resource/16014848255","16014848255")</f>
        <v>16014848255</v>
      </c>
      <c r="B2077" s="7" t="s">
        <v>3538</v>
      </c>
      <c r="C2077" s="7" t="s">
        <v>1420</v>
      </c>
      <c r="D2077" s="7" t="s">
        <v>3539</v>
      </c>
      <c r="E2077" s="7" t="s">
        <v>342</v>
      </c>
      <c r="F2077" s="7"/>
      <c r="G2077" s="7" t="s">
        <v>354</v>
      </c>
      <c r="H2077" s="7"/>
      <c r="I2077" s="10">
        <v>44760</v>
      </c>
      <c r="J2077" s="7" t="s">
        <v>13</v>
      </c>
      <c r="K2077" s="7" t="s">
        <v>296</v>
      </c>
      <c r="L2077" s="7" t="s">
        <v>29</v>
      </c>
      <c r="M2077" s="7" t="s">
        <v>16</v>
      </c>
    </row>
    <row r="2078" spans="1:13" x14ac:dyDescent="0.3">
      <c r="A2078" s="7" t="str">
        <f>HYPERLINK("https://hsdes.intel.com/resource/16014864801","16014864801")</f>
        <v>16014864801</v>
      </c>
      <c r="B2078" s="7" t="s">
        <v>3540</v>
      </c>
      <c r="C2078" s="7" t="s">
        <v>1420</v>
      </c>
      <c r="D2078" s="7" t="s">
        <v>3541</v>
      </c>
      <c r="E2078" s="7" t="s">
        <v>37</v>
      </c>
      <c r="F2078" s="7" t="s">
        <v>3542</v>
      </c>
      <c r="G2078" s="7" t="s">
        <v>369</v>
      </c>
      <c r="H2078" s="7"/>
      <c r="I2078" s="7"/>
      <c r="J2078" s="7" t="s">
        <v>13</v>
      </c>
      <c r="K2078" s="7" t="s">
        <v>320</v>
      </c>
      <c r="L2078" s="7" t="s">
        <v>29</v>
      </c>
      <c r="M2078" s="7" t="s">
        <v>24</v>
      </c>
    </row>
    <row r="2079" spans="1:13" x14ac:dyDescent="0.3">
      <c r="A2079" s="7" t="str">
        <f>HYPERLINK("https://hsdes.intel.com/resource/16014869116","16014869116")</f>
        <v>16014869116</v>
      </c>
      <c r="B2079" s="7" t="s">
        <v>3543</v>
      </c>
      <c r="C2079" s="7" t="s">
        <v>1420</v>
      </c>
      <c r="D2079" s="7" t="s">
        <v>2549</v>
      </c>
      <c r="E2079" s="7" t="s">
        <v>11</v>
      </c>
      <c r="F2079" s="7" t="s">
        <v>3544</v>
      </c>
      <c r="G2079" s="7" t="s">
        <v>841</v>
      </c>
      <c r="H2079" s="7"/>
      <c r="I2079" s="10">
        <v>44763</v>
      </c>
      <c r="J2079" s="7" t="s">
        <v>1623</v>
      </c>
      <c r="K2079" s="7" t="s">
        <v>296</v>
      </c>
      <c r="L2079" s="7" t="s">
        <v>297</v>
      </c>
      <c r="M2079" s="7" t="s">
        <v>16</v>
      </c>
    </row>
    <row r="2080" spans="1:13" x14ac:dyDescent="0.3">
      <c r="A2080" s="7" t="str">
        <f>HYPERLINK("https://hsdes.intel.com/resource/16014869753","16014869753")</f>
        <v>16014869753</v>
      </c>
      <c r="B2080" s="7" t="s">
        <v>3545</v>
      </c>
      <c r="C2080" s="7" t="s">
        <v>1420</v>
      </c>
      <c r="D2080" s="7" t="s">
        <v>1841</v>
      </c>
      <c r="E2080" s="7" t="s">
        <v>342</v>
      </c>
      <c r="F2080" s="7"/>
      <c r="G2080" s="7" t="s">
        <v>354</v>
      </c>
      <c r="H2080" s="7"/>
      <c r="I2080" s="10">
        <v>44760</v>
      </c>
      <c r="J2080" s="7" t="s">
        <v>1623</v>
      </c>
      <c r="K2080" s="7" t="s">
        <v>296</v>
      </c>
      <c r="L2080" s="7" t="s">
        <v>297</v>
      </c>
      <c r="M2080" s="7" t="s">
        <v>16</v>
      </c>
    </row>
    <row r="2081" spans="1:14" x14ac:dyDescent="0.3">
      <c r="A2081" s="7" t="str">
        <f>HYPERLINK("https://hsdes.intel.com/resource/16014902252","16014902252")</f>
        <v>16014902252</v>
      </c>
      <c r="B2081" s="7" t="s">
        <v>3546</v>
      </c>
      <c r="C2081" s="7" t="s">
        <v>1420</v>
      </c>
      <c r="D2081" s="7" t="s">
        <v>2957</v>
      </c>
      <c r="E2081" s="7" t="s">
        <v>32</v>
      </c>
      <c r="F2081" s="42" t="s">
        <v>2978</v>
      </c>
      <c r="G2081" s="7" t="s">
        <v>369</v>
      </c>
      <c r="H2081" s="7"/>
      <c r="I2081" s="10">
        <v>44762</v>
      </c>
      <c r="J2081" s="7" t="s">
        <v>13</v>
      </c>
      <c r="K2081" s="7" t="s">
        <v>147</v>
      </c>
      <c r="L2081" s="7" t="s">
        <v>29</v>
      </c>
      <c r="M2081" s="7" t="s">
        <v>16</v>
      </c>
    </row>
    <row r="2082" spans="1:14" x14ac:dyDescent="0.3">
      <c r="A2082" s="7" t="str">
        <f>HYPERLINK("https://hsdes.intel.com/resource/16014911436","16014911436")</f>
        <v>16014911436</v>
      </c>
      <c r="B2082" s="7" t="s">
        <v>3547</v>
      </c>
      <c r="C2082" s="7" t="s">
        <v>1420</v>
      </c>
      <c r="D2082" s="7" t="s">
        <v>2466</v>
      </c>
      <c r="E2082" s="7" t="s">
        <v>11</v>
      </c>
      <c r="F2082" s="7" t="s">
        <v>3548</v>
      </c>
      <c r="G2082" s="7" t="s">
        <v>354</v>
      </c>
      <c r="H2082" s="7"/>
      <c r="I2082" s="10">
        <v>44761</v>
      </c>
      <c r="J2082" s="7" t="s">
        <v>1623</v>
      </c>
      <c r="K2082" s="7" t="s">
        <v>296</v>
      </c>
      <c r="L2082" s="7" t="s">
        <v>297</v>
      </c>
      <c r="M2082" s="7" t="s">
        <v>21</v>
      </c>
    </row>
    <row r="2083" spans="1:14" x14ac:dyDescent="0.3">
      <c r="A2083" s="7" t="str">
        <f>HYPERLINK("https://hsdes.intel.com/resource/16014913057","16014913057")</f>
        <v>16014913057</v>
      </c>
      <c r="B2083" s="7" t="s">
        <v>3549</v>
      </c>
      <c r="C2083" s="7" t="s">
        <v>1420</v>
      </c>
      <c r="D2083" s="7" t="s">
        <v>3550</v>
      </c>
      <c r="E2083" s="7" t="s">
        <v>11</v>
      </c>
      <c r="F2083" s="7"/>
      <c r="G2083" s="7" t="s">
        <v>354</v>
      </c>
      <c r="H2083" s="7"/>
      <c r="I2083" s="10">
        <v>44761</v>
      </c>
      <c r="J2083" s="7" t="s">
        <v>13</v>
      </c>
      <c r="K2083" s="7" t="s">
        <v>147</v>
      </c>
      <c r="L2083" s="7" t="s">
        <v>29</v>
      </c>
      <c r="M2083" s="7" t="s">
        <v>24</v>
      </c>
    </row>
    <row r="2084" spans="1:14" x14ac:dyDescent="0.3">
      <c r="A2084" s="7" t="str">
        <f>HYPERLINK("https://hsdes.intel.com/resource/16014913066","16014913066")</f>
        <v>16014913066</v>
      </c>
      <c r="B2084" s="7" t="s">
        <v>3551</v>
      </c>
      <c r="C2084" s="7" t="s">
        <v>1420</v>
      </c>
      <c r="D2084" s="7" t="s">
        <v>2517</v>
      </c>
      <c r="E2084" s="7" t="s">
        <v>342</v>
      </c>
      <c r="F2084" s="7"/>
      <c r="G2084" s="7" t="s">
        <v>354</v>
      </c>
      <c r="H2084" s="7"/>
      <c r="I2084" s="10">
        <v>44760</v>
      </c>
      <c r="J2084" s="7" t="s">
        <v>1623</v>
      </c>
      <c r="K2084" s="7" t="s">
        <v>296</v>
      </c>
      <c r="L2084" s="7" t="s">
        <v>297</v>
      </c>
      <c r="M2084" s="7" t="s">
        <v>16</v>
      </c>
    </row>
    <row r="2085" spans="1:14" x14ac:dyDescent="0.3">
      <c r="A2085" s="7" t="str">
        <f>HYPERLINK("https://hsdes.intel.com/resource/16014913842","16014913842")</f>
        <v>16014913842</v>
      </c>
      <c r="B2085" s="7" t="s">
        <v>1112</v>
      </c>
      <c r="C2085" s="7" t="s">
        <v>1420</v>
      </c>
      <c r="D2085" s="7" t="s">
        <v>959</v>
      </c>
      <c r="E2085" s="7"/>
      <c r="F2085" s="7"/>
      <c r="G2085" s="7" t="s">
        <v>833</v>
      </c>
      <c r="H2085" s="7"/>
      <c r="I2085" s="7"/>
      <c r="J2085" s="7" t="s">
        <v>13</v>
      </c>
      <c r="K2085" s="7" t="s">
        <v>639</v>
      </c>
      <c r="L2085" s="7" t="s">
        <v>110</v>
      </c>
      <c r="M2085" s="7" t="s">
        <v>16</v>
      </c>
    </row>
    <row r="2086" spans="1:14" x14ac:dyDescent="0.3">
      <c r="A2086" s="7" t="str">
        <f>HYPERLINK("https://hsdes.intel.com/resource/16014919863","16014919863")</f>
        <v>16014919863</v>
      </c>
      <c r="B2086" s="7" t="s">
        <v>3552</v>
      </c>
      <c r="C2086" s="7" t="s">
        <v>1420</v>
      </c>
      <c r="D2086" s="7" t="s">
        <v>1754</v>
      </c>
      <c r="E2086" s="7" t="s">
        <v>11</v>
      </c>
      <c r="F2086" s="7"/>
      <c r="G2086" s="7" t="s">
        <v>354</v>
      </c>
      <c r="H2086" s="7"/>
      <c r="I2086" s="10">
        <v>44761</v>
      </c>
      <c r="J2086" s="7" t="s">
        <v>1623</v>
      </c>
      <c r="K2086" s="7" t="s">
        <v>296</v>
      </c>
      <c r="L2086" s="7" t="s">
        <v>297</v>
      </c>
      <c r="M2086" s="7" t="s">
        <v>16</v>
      </c>
    </row>
    <row r="2087" spans="1:14" x14ac:dyDescent="0.3">
      <c r="A2087" s="7" t="str">
        <f>HYPERLINK("https://hsdes.intel.com/resource/16014929115","16014929115")</f>
        <v>16014929115</v>
      </c>
      <c r="B2087" s="7" t="s">
        <v>3553</v>
      </c>
      <c r="C2087" s="7" t="s">
        <v>1420</v>
      </c>
      <c r="D2087" s="7" t="s">
        <v>1631</v>
      </c>
      <c r="E2087" s="7" t="s">
        <v>11</v>
      </c>
      <c r="F2087" s="7"/>
      <c r="G2087" s="7" t="s">
        <v>1770</v>
      </c>
      <c r="H2087" s="7"/>
      <c r="I2087" s="10">
        <v>44760</v>
      </c>
      <c r="J2087" s="7" t="s">
        <v>1623</v>
      </c>
      <c r="K2087" s="7" t="s">
        <v>296</v>
      </c>
      <c r="L2087" s="7" t="s">
        <v>297</v>
      </c>
      <c r="M2087" s="7" t="s">
        <v>16</v>
      </c>
    </row>
    <row r="2088" spans="1:14" x14ac:dyDescent="0.3">
      <c r="A2088" s="7" t="str">
        <f>HYPERLINK("https://hsdes.intel.com/resource/16014929167","16014929167")</f>
        <v>16014929167</v>
      </c>
      <c r="B2088" s="7" t="s">
        <v>3554</v>
      </c>
      <c r="C2088" s="7" t="s">
        <v>1420</v>
      </c>
      <c r="D2088" s="7" t="s">
        <v>1859</v>
      </c>
      <c r="E2088" s="7" t="s">
        <v>11</v>
      </c>
      <c r="F2088" s="7"/>
      <c r="G2088" s="7" t="s">
        <v>1429</v>
      </c>
      <c r="H2088" s="7"/>
      <c r="I2088" s="10">
        <v>44755</v>
      </c>
      <c r="J2088" s="7" t="s">
        <v>1623</v>
      </c>
      <c r="K2088" s="7" t="s">
        <v>553</v>
      </c>
      <c r="L2088" s="7" t="s">
        <v>544</v>
      </c>
      <c r="M2088" s="7" t="s">
        <v>16</v>
      </c>
    </row>
    <row r="2089" spans="1:14" x14ac:dyDescent="0.3">
      <c r="A2089" s="7" t="str">
        <f>HYPERLINK("https://hsdes.intel.com/resource/16014934303","16014934303")</f>
        <v>16014934303</v>
      </c>
      <c r="B2089" s="7" t="s">
        <v>3555</v>
      </c>
      <c r="C2089" s="7" t="s">
        <v>1420</v>
      </c>
      <c r="D2089" s="7" t="s">
        <v>2517</v>
      </c>
      <c r="E2089" s="7" t="s">
        <v>342</v>
      </c>
      <c r="F2089" s="7"/>
      <c r="G2089" s="7" t="s">
        <v>1770</v>
      </c>
      <c r="H2089" s="7"/>
      <c r="I2089" s="10">
        <v>44760</v>
      </c>
      <c r="J2089" s="7" t="s">
        <v>13</v>
      </c>
      <c r="K2089" s="7" t="s">
        <v>296</v>
      </c>
      <c r="L2089" s="7" t="s">
        <v>297</v>
      </c>
      <c r="M2089" s="7" t="s">
        <v>16</v>
      </c>
    </row>
    <row r="2090" spans="1:14" x14ac:dyDescent="0.3">
      <c r="A2090" s="7" t="str">
        <f>HYPERLINK("https://hsdes.intel.com/resource/16015008992","16015008992")</f>
        <v>16015008992</v>
      </c>
      <c r="B2090" s="7" t="s">
        <v>3556</v>
      </c>
      <c r="C2090" s="7" t="s">
        <v>1420</v>
      </c>
      <c r="D2090" s="7"/>
      <c r="E2090" s="7" t="s">
        <v>11</v>
      </c>
      <c r="F2090" s="7"/>
      <c r="G2090" s="7" t="s">
        <v>1770</v>
      </c>
      <c r="H2090" s="7"/>
      <c r="I2090" s="10">
        <v>44760</v>
      </c>
      <c r="J2090" s="7" t="s">
        <v>1623</v>
      </c>
      <c r="K2090" s="7" t="s">
        <v>296</v>
      </c>
      <c r="L2090" s="7" t="s">
        <v>3603</v>
      </c>
      <c r="M2090" s="7" t="s">
        <v>16</v>
      </c>
    </row>
    <row r="2091" spans="1:14" x14ac:dyDescent="0.3">
      <c r="A2091" s="7" t="str">
        <f>HYPERLINK("https://hsdes.intel.com/resource/16015009035","16015009035")</f>
        <v>16015009035</v>
      </c>
      <c r="B2091" s="7" t="s">
        <v>3557</v>
      </c>
      <c r="C2091" s="7" t="s">
        <v>1420</v>
      </c>
      <c r="D2091" s="27">
        <v>14013178267</v>
      </c>
      <c r="E2091" s="7" t="s">
        <v>32</v>
      </c>
      <c r="F2091" s="6" t="s">
        <v>3558</v>
      </c>
      <c r="G2091" s="7" t="s">
        <v>354</v>
      </c>
      <c r="H2091" s="7" t="s">
        <v>345</v>
      </c>
      <c r="I2091" s="10">
        <v>44764</v>
      </c>
      <c r="J2091" s="7" t="s">
        <v>1623</v>
      </c>
      <c r="K2091" s="7" t="s">
        <v>296</v>
      </c>
      <c r="L2091" s="7" t="s">
        <v>297</v>
      </c>
      <c r="M2091" s="7" t="s">
        <v>24</v>
      </c>
      <c r="N2091" s="9"/>
    </row>
    <row r="2092" spans="1:14" x14ac:dyDescent="0.3">
      <c r="A2092" s="7" t="str">
        <f>HYPERLINK("https://hsdes.intel.com/resource/16015018246","16015018246")</f>
        <v>16015018246</v>
      </c>
      <c r="B2092" s="7" t="s">
        <v>3559</v>
      </c>
      <c r="C2092" s="7" t="s">
        <v>1420</v>
      </c>
      <c r="D2092" s="7" t="s">
        <v>1575</v>
      </c>
      <c r="E2092" s="7" t="s">
        <v>11</v>
      </c>
      <c r="F2092" s="7"/>
      <c r="G2092" s="7" t="s">
        <v>1447</v>
      </c>
      <c r="H2092" s="7"/>
      <c r="I2092" s="10">
        <v>44757</v>
      </c>
      <c r="J2092" s="7" t="s">
        <v>1623</v>
      </c>
      <c r="K2092" s="7" t="s">
        <v>296</v>
      </c>
      <c r="L2092" s="7" t="s">
        <v>297</v>
      </c>
      <c r="M2092" s="7" t="s">
        <v>16</v>
      </c>
    </row>
    <row r="2093" spans="1:14" x14ac:dyDescent="0.3">
      <c r="A2093" s="7" t="str">
        <f>HYPERLINK("https://hsdes.intel.com/resource/16015026858","16015026858")</f>
        <v>16015026858</v>
      </c>
      <c r="B2093" s="7" t="s">
        <v>3560</v>
      </c>
      <c r="C2093" s="7" t="s">
        <v>1420</v>
      </c>
      <c r="D2093" s="7"/>
      <c r="E2093" s="7" t="s">
        <v>11</v>
      </c>
      <c r="F2093" s="7"/>
      <c r="G2093" s="7" t="s">
        <v>841</v>
      </c>
      <c r="H2093" s="7"/>
      <c r="I2093" s="10">
        <v>44762</v>
      </c>
      <c r="J2093" s="7" t="s">
        <v>13</v>
      </c>
      <c r="K2093" s="7" t="s">
        <v>553</v>
      </c>
      <c r="L2093" s="7"/>
      <c r="M2093" s="7" t="s">
        <v>16</v>
      </c>
    </row>
    <row r="2094" spans="1:14" x14ac:dyDescent="0.3">
      <c r="A2094" s="7" t="str">
        <f>HYPERLINK("https://hsdes.intel.com/resource/16015054867","16015054867")</f>
        <v>16015054867</v>
      </c>
      <c r="B2094" s="7" t="s">
        <v>3561</v>
      </c>
      <c r="C2094" s="7" t="s">
        <v>1420</v>
      </c>
      <c r="D2094" s="7" t="s">
        <v>3562</v>
      </c>
      <c r="E2094" s="7" t="s">
        <v>32</v>
      </c>
      <c r="F2094" s="7" t="s">
        <v>2967</v>
      </c>
      <c r="G2094" s="7" t="s">
        <v>369</v>
      </c>
      <c r="H2094" s="7" t="s">
        <v>369</v>
      </c>
      <c r="I2094" s="7"/>
      <c r="J2094" s="7" t="s">
        <v>13</v>
      </c>
      <c r="K2094" s="7" t="s">
        <v>3563</v>
      </c>
      <c r="L2094" s="7" t="s">
        <v>291</v>
      </c>
      <c r="M2094" s="7" t="s">
        <v>16</v>
      </c>
      <c r="N2094" s="9" t="s">
        <v>3629</v>
      </c>
    </row>
    <row r="2095" spans="1:14" x14ac:dyDescent="0.3">
      <c r="A2095" s="7" t="str">
        <f>HYPERLINK("https://hsdes.intel.com/resource/16015055073","16015055073")</f>
        <v>16015055073</v>
      </c>
      <c r="B2095" s="7" t="s">
        <v>3564</v>
      </c>
      <c r="C2095" s="7" t="s">
        <v>1420</v>
      </c>
      <c r="D2095" s="7"/>
      <c r="E2095" s="7" t="s">
        <v>32</v>
      </c>
      <c r="F2095" s="7" t="s">
        <v>3565</v>
      </c>
      <c r="G2095" s="7" t="s">
        <v>369</v>
      </c>
      <c r="H2095" s="7" t="s">
        <v>369</v>
      </c>
      <c r="I2095" s="10">
        <v>44763</v>
      </c>
      <c r="J2095" s="7" t="s">
        <v>1623</v>
      </c>
      <c r="K2095" s="7" t="s">
        <v>1353</v>
      </c>
      <c r="L2095" s="7" t="s">
        <v>660</v>
      </c>
      <c r="M2095" s="7" t="s">
        <v>16</v>
      </c>
    </row>
    <row r="2096" spans="1:14" x14ac:dyDescent="0.3">
      <c r="A2096" s="7" t="str">
        <f>HYPERLINK("https://hsdes.intel.com/resource/16015067697","16015067697")</f>
        <v>16015067697</v>
      </c>
      <c r="B2096" s="7" t="s">
        <v>3566</v>
      </c>
      <c r="C2096" s="7" t="s">
        <v>1420</v>
      </c>
      <c r="D2096" s="7" t="s">
        <v>178</v>
      </c>
      <c r="E2096" s="7" t="s">
        <v>11</v>
      </c>
      <c r="F2096" s="7"/>
      <c r="G2096" s="7" t="s">
        <v>369</v>
      </c>
      <c r="H2096" s="7"/>
      <c r="I2096" s="10">
        <v>44763</v>
      </c>
      <c r="J2096" s="7" t="s">
        <v>13</v>
      </c>
      <c r="K2096" s="7" t="s">
        <v>147</v>
      </c>
      <c r="L2096" s="7" t="s">
        <v>29</v>
      </c>
      <c r="M2096" s="7" t="s">
        <v>16</v>
      </c>
    </row>
    <row r="2097" spans="1:13" x14ac:dyDescent="0.3">
      <c r="A2097" s="7" t="str">
        <f>HYPERLINK("https://hsdes.intel.com/resource/16015090792","16015090792")</f>
        <v>16015090792</v>
      </c>
      <c r="B2097" s="7" t="s">
        <v>3567</v>
      </c>
      <c r="C2097" s="7" t="s">
        <v>1420</v>
      </c>
      <c r="D2097" s="7" t="s">
        <v>3568</v>
      </c>
      <c r="E2097" s="7" t="s">
        <v>342</v>
      </c>
      <c r="F2097" s="7"/>
      <c r="G2097" s="7" t="s">
        <v>345</v>
      </c>
      <c r="H2097" s="7"/>
      <c r="I2097" s="10">
        <v>44760</v>
      </c>
      <c r="J2097" s="7" t="s">
        <v>13</v>
      </c>
      <c r="K2097" s="7" t="s">
        <v>740</v>
      </c>
      <c r="L2097" s="7" t="s">
        <v>29</v>
      </c>
      <c r="M2097" s="7" t="s">
        <v>16</v>
      </c>
    </row>
    <row r="2098" spans="1:13" x14ac:dyDescent="0.3">
      <c r="A2098" s="7" t="str">
        <f>HYPERLINK("https://hsdes.intel.com/resource/16015170462","16015170462")</f>
        <v>16015170462</v>
      </c>
      <c r="B2098" s="7" t="s">
        <v>3569</v>
      </c>
      <c r="C2098" s="7" t="s">
        <v>1420</v>
      </c>
      <c r="D2098" s="7"/>
      <c r="E2098" s="7" t="s">
        <v>342</v>
      </c>
      <c r="F2098" s="7"/>
      <c r="G2098" s="7" t="s">
        <v>1770</v>
      </c>
      <c r="H2098" s="7"/>
      <c r="I2098" s="10">
        <v>44760</v>
      </c>
      <c r="J2098" s="7" t="s">
        <v>1623</v>
      </c>
      <c r="K2098" s="7" t="s">
        <v>14</v>
      </c>
      <c r="L2098" s="7" t="s">
        <v>3604</v>
      </c>
      <c r="M2098" s="7" t="s">
        <v>16</v>
      </c>
    </row>
    <row r="2099" spans="1:13" x14ac:dyDescent="0.3">
      <c r="A2099" s="7" t="str">
        <f>HYPERLINK("https://hsdes.intel.com/resource/16015173002","16015173002")</f>
        <v>16015173002</v>
      </c>
      <c r="B2099" s="7" t="s">
        <v>3570</v>
      </c>
      <c r="C2099" s="7" t="s">
        <v>1420</v>
      </c>
      <c r="D2099" s="7" t="s">
        <v>182</v>
      </c>
      <c r="E2099" s="7" t="s">
        <v>37</v>
      </c>
      <c r="F2099" s="7" t="s">
        <v>3571</v>
      </c>
      <c r="G2099" s="7" t="s">
        <v>1475</v>
      </c>
      <c r="H2099" s="7"/>
      <c r="I2099" s="7"/>
      <c r="J2099" s="7" t="s">
        <v>13</v>
      </c>
      <c r="K2099" s="7" t="s">
        <v>183</v>
      </c>
      <c r="L2099" s="7" t="s">
        <v>29</v>
      </c>
      <c r="M2099" s="7" t="s">
        <v>16</v>
      </c>
    </row>
    <row r="2100" spans="1:13" x14ac:dyDescent="0.3">
      <c r="A2100" s="7" t="str">
        <f>HYPERLINK("https://hsdes.intel.com/resource/16015688861","16015688861")</f>
        <v>16015688861</v>
      </c>
      <c r="B2100" s="7" t="s">
        <v>3572</v>
      </c>
      <c r="C2100" s="7" t="s">
        <v>1420</v>
      </c>
      <c r="D2100" s="7"/>
      <c r="E2100" s="7" t="s">
        <v>32</v>
      </c>
      <c r="F2100" s="7" t="s">
        <v>2680</v>
      </c>
      <c r="G2100" s="7" t="s">
        <v>1605</v>
      </c>
      <c r="H2100" s="7" t="s">
        <v>2449</v>
      </c>
      <c r="I2100" s="10">
        <v>44763</v>
      </c>
      <c r="J2100" s="7" t="s">
        <v>1623</v>
      </c>
      <c r="K2100" s="7"/>
      <c r="L2100" s="7"/>
      <c r="M2100" s="7" t="s">
        <v>16</v>
      </c>
    </row>
    <row r="2101" spans="1:13" x14ac:dyDescent="0.3">
      <c r="A2101" s="7" t="str">
        <f>HYPERLINK("https://hsdes.intel.com/resource/16015926536","16015926536")</f>
        <v>16015926536</v>
      </c>
      <c r="B2101" s="7" t="s">
        <v>3573</v>
      </c>
      <c r="C2101" s="7" t="s">
        <v>1420</v>
      </c>
      <c r="E2101" s="7" t="s">
        <v>11</v>
      </c>
      <c r="F2101" s="7"/>
      <c r="G2101" s="7" t="s">
        <v>369</v>
      </c>
      <c r="H2101" s="7"/>
      <c r="I2101" s="10">
        <v>44761</v>
      </c>
      <c r="J2101" s="7" t="s">
        <v>1623</v>
      </c>
      <c r="K2101" s="7" t="s">
        <v>296</v>
      </c>
      <c r="L2101" s="7" t="s">
        <v>297</v>
      </c>
      <c r="M2101" s="7" t="s">
        <v>16</v>
      </c>
    </row>
    <row r="2102" spans="1:13" x14ac:dyDescent="0.3">
      <c r="A2102" s="7" t="str">
        <f>HYPERLINK("https://hsdes.intel.com/resource/16017259010","16017259010")</f>
        <v>16017259010</v>
      </c>
      <c r="B2102" s="7" t="s">
        <v>3574</v>
      </c>
      <c r="C2102" s="7" t="s">
        <v>1420</v>
      </c>
      <c r="D2102" s="7"/>
      <c r="E2102" s="7" t="s">
        <v>32</v>
      </c>
      <c r="F2102" s="7" t="s">
        <v>2680</v>
      </c>
      <c r="G2102" s="10" t="s">
        <v>1605</v>
      </c>
      <c r="H2102" s="7" t="s">
        <v>2449</v>
      </c>
      <c r="I2102" s="10">
        <v>44763</v>
      </c>
      <c r="J2102" s="7" t="s">
        <v>13</v>
      </c>
      <c r="K2102" s="7" t="s">
        <v>147</v>
      </c>
      <c r="L2102" s="7" t="s">
        <v>29</v>
      </c>
      <c r="M2102" s="7" t="s">
        <v>16</v>
      </c>
    </row>
    <row r="2103" spans="1:13" x14ac:dyDescent="0.3">
      <c r="A2103" s="7" t="str">
        <f>HYPERLINK("https://hsdes.intel.com/resource/22011834241","22011834241")</f>
        <v>22011834241</v>
      </c>
      <c r="B2103" s="7" t="s">
        <v>3575</v>
      </c>
      <c r="C2103" s="7" t="s">
        <v>1420</v>
      </c>
      <c r="D2103" s="7" t="s">
        <v>3576</v>
      </c>
      <c r="E2103" s="7" t="s">
        <v>11</v>
      </c>
      <c r="F2103" s="7"/>
      <c r="G2103" s="7" t="s">
        <v>1429</v>
      </c>
      <c r="H2103" s="7"/>
      <c r="I2103" s="10">
        <v>44755</v>
      </c>
      <c r="J2103" s="7" t="s">
        <v>13</v>
      </c>
      <c r="K2103" s="7" t="s">
        <v>45</v>
      </c>
      <c r="L2103" s="7" t="s">
        <v>544</v>
      </c>
      <c r="M2103" s="7" t="s">
        <v>24</v>
      </c>
    </row>
    <row r="2104" spans="1:13" x14ac:dyDescent="0.3">
      <c r="A2104" s="7" t="str">
        <f>HYPERLINK("https://hsdes.intel.com/resource/22011834247","22011834247")</f>
        <v>22011834247</v>
      </c>
      <c r="B2104" s="7" t="s">
        <v>194</v>
      </c>
      <c r="C2104" s="7" t="s">
        <v>1420</v>
      </c>
      <c r="D2104" s="7" t="s">
        <v>195</v>
      </c>
      <c r="E2104" s="7"/>
      <c r="F2104" s="7"/>
      <c r="G2104" s="7" t="s">
        <v>9</v>
      </c>
      <c r="H2104" s="7"/>
      <c r="I2104" s="7"/>
      <c r="J2104" s="7" t="s">
        <v>13</v>
      </c>
      <c r="K2104" s="7" t="s">
        <v>19</v>
      </c>
      <c r="L2104" s="7" t="s">
        <v>20</v>
      </c>
      <c r="M2104" s="7" t="s">
        <v>21</v>
      </c>
    </row>
    <row r="2105" spans="1:13" x14ac:dyDescent="0.3">
      <c r="A2105" s="7" t="str">
        <f>HYPERLINK("https://hsdes.intel.com/resource/22011834254","22011834254")</f>
        <v>22011834254</v>
      </c>
      <c r="B2105" s="7" t="s">
        <v>197</v>
      </c>
      <c r="C2105" s="7" t="s">
        <v>1420</v>
      </c>
      <c r="D2105" s="7" t="s">
        <v>198</v>
      </c>
      <c r="E2105" s="7"/>
      <c r="F2105" s="7"/>
      <c r="G2105" s="7" t="s">
        <v>9</v>
      </c>
      <c r="H2105" s="7"/>
      <c r="I2105" s="7"/>
      <c r="J2105" s="7" t="s">
        <v>13</v>
      </c>
      <c r="K2105" s="7" t="s">
        <v>19</v>
      </c>
      <c r="L2105" s="7" t="s">
        <v>20</v>
      </c>
      <c r="M2105" s="7" t="s">
        <v>21</v>
      </c>
    </row>
    <row r="2106" spans="1:13" x14ac:dyDescent="0.3">
      <c r="A2106" s="7" t="str">
        <f>HYPERLINK("https://hsdes.intel.com/resource/22011834261","22011834261")</f>
        <v>22011834261</v>
      </c>
      <c r="B2106" s="7" t="s">
        <v>200</v>
      </c>
      <c r="C2106" s="7" t="s">
        <v>1420</v>
      </c>
      <c r="D2106" s="7" t="s">
        <v>201</v>
      </c>
      <c r="E2106" s="7"/>
      <c r="F2106" s="7"/>
      <c r="G2106" s="7" t="s">
        <v>9</v>
      </c>
      <c r="H2106" s="7"/>
      <c r="I2106" s="7"/>
      <c r="J2106" s="7" t="s">
        <v>13</v>
      </c>
      <c r="K2106" s="7" t="s">
        <v>19</v>
      </c>
      <c r="L2106" s="7" t="s">
        <v>20</v>
      </c>
      <c r="M2106" s="7" t="s">
        <v>21</v>
      </c>
    </row>
    <row r="2107" spans="1:13" x14ac:dyDescent="0.3">
      <c r="A2107" s="7" t="str">
        <f>HYPERLINK("https://hsdes.intel.com/resource/22011834267","22011834267")</f>
        <v>22011834267</v>
      </c>
      <c r="B2107" s="7" t="s">
        <v>203</v>
      </c>
      <c r="C2107" s="7" t="s">
        <v>1420</v>
      </c>
      <c r="D2107" s="7" t="s">
        <v>204</v>
      </c>
      <c r="E2107" s="7"/>
      <c r="F2107" s="7"/>
      <c r="G2107" s="7" t="s">
        <v>9</v>
      </c>
      <c r="H2107" s="7"/>
      <c r="I2107" s="7"/>
      <c r="J2107" s="7" t="s">
        <v>13</v>
      </c>
      <c r="K2107" s="7" t="s">
        <v>19</v>
      </c>
      <c r="L2107" s="7" t="s">
        <v>20</v>
      </c>
      <c r="M2107" s="7" t="s">
        <v>21</v>
      </c>
    </row>
    <row r="2108" spans="1:13" x14ac:dyDescent="0.3">
      <c r="A2108" s="7" t="str">
        <f>HYPERLINK("https://hsdes.intel.com/resource/22011834277","22011834277")</f>
        <v>22011834277</v>
      </c>
      <c r="B2108" s="7" t="s">
        <v>206</v>
      </c>
      <c r="C2108" s="7" t="s">
        <v>1420</v>
      </c>
      <c r="D2108" s="7" t="s">
        <v>207</v>
      </c>
      <c r="E2108" s="7"/>
      <c r="F2108" s="7"/>
      <c r="G2108" s="7" t="s">
        <v>9</v>
      </c>
      <c r="H2108" s="7"/>
      <c r="I2108" s="7"/>
      <c r="J2108" s="7" t="s">
        <v>13</v>
      </c>
      <c r="K2108" s="7" t="s">
        <v>19</v>
      </c>
      <c r="L2108" s="7" t="s">
        <v>20</v>
      </c>
      <c r="M2108" s="7" t="s">
        <v>21</v>
      </c>
    </row>
    <row r="2109" spans="1:13" x14ac:dyDescent="0.3">
      <c r="A2109" s="7" t="str">
        <f>HYPERLINK("https://hsdes.intel.com/resource/22011834363","22011834363")</f>
        <v>22011834363</v>
      </c>
      <c r="B2109" s="7" t="s">
        <v>209</v>
      </c>
      <c r="C2109" s="7" t="s">
        <v>1420</v>
      </c>
      <c r="D2109" s="7" t="s">
        <v>210</v>
      </c>
      <c r="E2109" s="7"/>
      <c r="F2109" s="7"/>
      <c r="G2109" s="7" t="s">
        <v>9</v>
      </c>
      <c r="H2109" s="7"/>
      <c r="I2109" s="7"/>
      <c r="J2109" s="7" t="s">
        <v>192</v>
      </c>
      <c r="K2109" s="7" t="s">
        <v>19</v>
      </c>
      <c r="L2109" s="7" t="s">
        <v>20</v>
      </c>
      <c r="M2109" s="7" t="s">
        <v>24</v>
      </c>
    </row>
    <row r="2110" spans="1:13" x14ac:dyDescent="0.3">
      <c r="A2110" s="7" t="str">
        <f>HYPERLINK("https://hsdes.intel.com/resource/22011834371","22011834371")</f>
        <v>22011834371</v>
      </c>
      <c r="B2110" s="7" t="s">
        <v>212</v>
      </c>
      <c r="C2110" s="7" t="s">
        <v>1420</v>
      </c>
      <c r="D2110" s="7" t="s">
        <v>213</v>
      </c>
      <c r="E2110" s="7"/>
      <c r="F2110" s="7"/>
      <c r="G2110" s="7" t="s">
        <v>9</v>
      </c>
      <c r="H2110" s="7"/>
      <c r="I2110" s="7"/>
      <c r="J2110" s="7" t="s">
        <v>192</v>
      </c>
      <c r="K2110" s="7" t="s">
        <v>19</v>
      </c>
      <c r="L2110" s="7" t="s">
        <v>20</v>
      </c>
      <c r="M2110" s="7" t="s">
        <v>24</v>
      </c>
    </row>
    <row r="2111" spans="1:13" x14ac:dyDescent="0.3">
      <c r="A2111" s="7" t="str">
        <f>HYPERLINK("https://hsdes.intel.com/resource/22011834384","22011834384")</f>
        <v>22011834384</v>
      </c>
      <c r="B2111" s="7" t="s">
        <v>215</v>
      </c>
      <c r="C2111" s="7" t="s">
        <v>1420</v>
      </c>
      <c r="D2111" s="7" t="s">
        <v>216</v>
      </c>
      <c r="E2111" s="7"/>
      <c r="F2111" s="7"/>
      <c r="G2111" s="7" t="s">
        <v>9</v>
      </c>
      <c r="H2111" s="7"/>
      <c r="I2111" s="7"/>
      <c r="J2111" s="7" t="s">
        <v>192</v>
      </c>
      <c r="K2111" s="7" t="s">
        <v>19</v>
      </c>
      <c r="L2111" s="7" t="s">
        <v>20</v>
      </c>
      <c r="M2111" s="7" t="s">
        <v>24</v>
      </c>
    </row>
    <row r="2112" spans="1:13" x14ac:dyDescent="0.3">
      <c r="A2112" s="7" t="str">
        <f>HYPERLINK("https://hsdes.intel.com/resource/22011834386","22011834386")</f>
        <v>22011834386</v>
      </c>
      <c r="B2112" s="7" t="s">
        <v>218</v>
      </c>
      <c r="C2112" s="7" t="s">
        <v>1420</v>
      </c>
      <c r="D2112" s="7" t="s">
        <v>219</v>
      </c>
      <c r="E2112" s="7"/>
      <c r="F2112" s="7"/>
      <c r="G2112" s="7" t="s">
        <v>9</v>
      </c>
      <c r="H2112" s="7"/>
      <c r="I2112" s="7"/>
      <c r="J2112" s="7" t="s">
        <v>192</v>
      </c>
      <c r="K2112" s="7" t="s">
        <v>19</v>
      </c>
      <c r="L2112" s="7" t="s">
        <v>20</v>
      </c>
      <c r="M2112" s="7" t="s">
        <v>24</v>
      </c>
    </row>
    <row r="2113" spans="1:13" x14ac:dyDescent="0.3">
      <c r="A2113" s="7" t="str">
        <f>HYPERLINK("https://hsdes.intel.com/resource/22011834390","22011834390")</f>
        <v>22011834390</v>
      </c>
      <c r="B2113" s="7" t="s">
        <v>3577</v>
      </c>
      <c r="C2113" s="7" t="s">
        <v>1420</v>
      </c>
      <c r="D2113" s="7" t="s">
        <v>3578</v>
      </c>
      <c r="E2113" s="7" t="s">
        <v>11</v>
      </c>
      <c r="F2113" s="7"/>
      <c r="G2113" s="7" t="s">
        <v>1605</v>
      </c>
      <c r="H2113" s="7"/>
      <c r="I2113" s="10">
        <v>44762</v>
      </c>
      <c r="J2113" s="7" t="s">
        <v>192</v>
      </c>
      <c r="K2113" s="7" t="s">
        <v>19</v>
      </c>
      <c r="L2113" s="7" t="s">
        <v>20</v>
      </c>
      <c r="M2113" s="7" t="s">
        <v>24</v>
      </c>
    </row>
    <row r="2114" spans="1:13" x14ac:dyDescent="0.3">
      <c r="A2114" s="7" t="str">
        <f>HYPERLINK("https://hsdes.intel.com/resource/22011834396","22011834396")</f>
        <v>22011834396</v>
      </c>
      <c r="B2114" s="7" t="s">
        <v>221</v>
      </c>
      <c r="C2114" s="7" t="s">
        <v>1420</v>
      </c>
      <c r="D2114" s="7" t="s">
        <v>222</v>
      </c>
      <c r="E2114" s="7"/>
      <c r="F2114" s="7"/>
      <c r="G2114" s="7" t="s">
        <v>9</v>
      </c>
      <c r="H2114" s="7"/>
      <c r="I2114" s="7"/>
      <c r="J2114" s="7" t="s">
        <v>192</v>
      </c>
      <c r="K2114" s="7" t="s">
        <v>19</v>
      </c>
      <c r="L2114" s="7" t="s">
        <v>20</v>
      </c>
      <c r="M2114" s="7" t="s">
        <v>24</v>
      </c>
    </row>
    <row r="2115" spans="1:13" x14ac:dyDescent="0.3">
      <c r="A2115" s="7" t="str">
        <f>HYPERLINK("https://hsdes.intel.com/resource/22011834401","22011834401")</f>
        <v>22011834401</v>
      </c>
      <c r="B2115" s="7" t="s">
        <v>224</v>
      </c>
      <c r="C2115" s="7" t="s">
        <v>1420</v>
      </c>
      <c r="D2115" s="7" t="s">
        <v>225</v>
      </c>
      <c r="E2115" s="7"/>
      <c r="F2115" s="7"/>
      <c r="G2115" s="7" t="s">
        <v>9</v>
      </c>
      <c r="H2115" s="7"/>
      <c r="I2115" s="7"/>
      <c r="J2115" s="7" t="s">
        <v>192</v>
      </c>
      <c r="K2115" s="7" t="s">
        <v>19</v>
      </c>
      <c r="L2115" s="7" t="s">
        <v>20</v>
      </c>
      <c r="M2115" s="7" t="s">
        <v>24</v>
      </c>
    </row>
    <row r="2116" spans="1:13" x14ac:dyDescent="0.3">
      <c r="A2116" s="7" t="str">
        <f>HYPERLINK("https://hsdes.intel.com/resource/22011834406","22011834406")</f>
        <v>22011834406</v>
      </c>
      <c r="B2116" s="7" t="s">
        <v>227</v>
      </c>
      <c r="C2116" s="7" t="s">
        <v>1420</v>
      </c>
      <c r="D2116" s="7" t="s">
        <v>228</v>
      </c>
      <c r="E2116" s="7"/>
      <c r="F2116" s="7"/>
      <c r="G2116" s="7" t="s">
        <v>9</v>
      </c>
      <c r="H2116" s="7"/>
      <c r="I2116" s="7"/>
      <c r="J2116" s="7" t="s">
        <v>192</v>
      </c>
      <c r="K2116" s="7" t="s">
        <v>19</v>
      </c>
      <c r="L2116" s="7" t="s">
        <v>20</v>
      </c>
      <c r="M2116" s="7" t="s">
        <v>21</v>
      </c>
    </row>
    <row r="2117" spans="1:13" x14ac:dyDescent="0.3">
      <c r="A2117" s="7" t="str">
        <f>HYPERLINK("https://hsdes.intel.com/resource/22011834412","22011834412")</f>
        <v>22011834412</v>
      </c>
      <c r="B2117" s="7" t="s">
        <v>230</v>
      </c>
      <c r="C2117" s="7" t="s">
        <v>1420</v>
      </c>
      <c r="D2117" s="7" t="s">
        <v>231</v>
      </c>
      <c r="E2117" s="7"/>
      <c r="F2117" s="7"/>
      <c r="G2117" s="7" t="s">
        <v>9</v>
      </c>
      <c r="H2117" s="7"/>
      <c r="I2117" s="7"/>
      <c r="J2117" s="7" t="s">
        <v>192</v>
      </c>
      <c r="K2117" s="7" t="s">
        <v>19</v>
      </c>
      <c r="L2117" s="7" t="s">
        <v>20</v>
      </c>
      <c r="M2117" s="7" t="s">
        <v>24</v>
      </c>
    </row>
    <row r="2118" spans="1:13" x14ac:dyDescent="0.3">
      <c r="A2118" s="7" t="str">
        <f>HYPERLINK("https://hsdes.intel.com/resource/22011834418","22011834418")</f>
        <v>22011834418</v>
      </c>
      <c r="B2118" s="7" t="s">
        <v>3579</v>
      </c>
      <c r="C2118" s="7" t="s">
        <v>1420</v>
      </c>
      <c r="D2118" s="7" t="s">
        <v>3580</v>
      </c>
      <c r="E2118" s="7" t="s">
        <v>87</v>
      </c>
      <c r="F2118" s="27" t="s">
        <v>3581</v>
      </c>
      <c r="G2118" s="7" t="s">
        <v>1605</v>
      </c>
      <c r="H2118" s="7"/>
      <c r="I2118" s="10">
        <v>44763</v>
      </c>
      <c r="J2118" s="7" t="s">
        <v>192</v>
      </c>
      <c r="K2118" s="7" t="s">
        <v>19</v>
      </c>
      <c r="L2118" s="7" t="s">
        <v>20</v>
      </c>
      <c r="M2118" s="7" t="s">
        <v>24</v>
      </c>
    </row>
    <row r="2119" spans="1:13" x14ac:dyDescent="0.3">
      <c r="A2119" s="7" t="str">
        <f>HYPERLINK("https://hsdes.intel.com/resource/22011834422","22011834422")</f>
        <v>22011834422</v>
      </c>
      <c r="B2119" s="7" t="s">
        <v>233</v>
      </c>
      <c r="C2119" s="7" t="s">
        <v>1420</v>
      </c>
      <c r="D2119" s="7" t="s">
        <v>234</v>
      </c>
      <c r="E2119" s="7"/>
      <c r="F2119" s="7"/>
      <c r="G2119" s="7" t="s">
        <v>9</v>
      </c>
      <c r="H2119" s="7"/>
      <c r="I2119" s="7"/>
      <c r="J2119" s="7" t="s">
        <v>192</v>
      </c>
      <c r="K2119" s="7" t="s">
        <v>19</v>
      </c>
      <c r="L2119" s="7" t="s">
        <v>20</v>
      </c>
      <c r="M2119" s="7" t="s">
        <v>24</v>
      </c>
    </row>
    <row r="2120" spans="1:13" x14ac:dyDescent="0.3">
      <c r="A2120" s="7" t="str">
        <f>HYPERLINK("https://hsdes.intel.com/resource/22011834426","22011834426")</f>
        <v>22011834426</v>
      </c>
      <c r="B2120" s="7" t="s">
        <v>236</v>
      </c>
      <c r="C2120" s="7" t="s">
        <v>1420</v>
      </c>
      <c r="D2120" s="7" t="s">
        <v>237</v>
      </c>
      <c r="E2120" s="7"/>
      <c r="F2120" s="7"/>
      <c r="G2120" s="7" t="s">
        <v>9</v>
      </c>
      <c r="H2120" s="7"/>
      <c r="I2120" s="7"/>
      <c r="J2120" s="7" t="s">
        <v>192</v>
      </c>
      <c r="K2120" s="7" t="s">
        <v>19</v>
      </c>
      <c r="L2120" s="7" t="s">
        <v>20</v>
      </c>
      <c r="M2120" s="7" t="s">
        <v>24</v>
      </c>
    </row>
    <row r="2121" spans="1:13" x14ac:dyDescent="0.3">
      <c r="A2121" s="7" t="str">
        <f>HYPERLINK("https://hsdes.intel.com/resource/22011834428","22011834428")</f>
        <v>22011834428</v>
      </c>
      <c r="B2121" s="7" t="s">
        <v>239</v>
      </c>
      <c r="C2121" s="7" t="s">
        <v>1420</v>
      </c>
      <c r="D2121" s="7" t="s">
        <v>240</v>
      </c>
      <c r="E2121" s="7"/>
      <c r="F2121" s="7"/>
      <c r="G2121" s="7" t="s">
        <v>9</v>
      </c>
      <c r="H2121" s="7"/>
      <c r="I2121" s="7"/>
      <c r="J2121" s="7" t="s">
        <v>192</v>
      </c>
      <c r="K2121" s="7" t="s">
        <v>19</v>
      </c>
      <c r="L2121" s="7" t="s">
        <v>20</v>
      </c>
      <c r="M2121" s="7" t="s">
        <v>24</v>
      </c>
    </row>
    <row r="2122" spans="1:13" x14ac:dyDescent="0.3">
      <c r="A2122" s="7" t="str">
        <f>HYPERLINK("https://hsdes.intel.com/resource/22011834434","22011834434")</f>
        <v>22011834434</v>
      </c>
      <c r="B2122" s="7" t="s">
        <v>242</v>
      </c>
      <c r="C2122" s="7" t="s">
        <v>1420</v>
      </c>
      <c r="D2122" s="7" t="s">
        <v>243</v>
      </c>
      <c r="E2122" s="7"/>
      <c r="F2122" s="7"/>
      <c r="G2122" s="7" t="s">
        <v>9</v>
      </c>
      <c r="H2122" s="7"/>
      <c r="I2122" s="7"/>
      <c r="J2122" s="7" t="s">
        <v>192</v>
      </c>
      <c r="K2122" s="7" t="s">
        <v>19</v>
      </c>
      <c r="L2122" s="7" t="s">
        <v>20</v>
      </c>
      <c r="M2122" s="7" t="s">
        <v>24</v>
      </c>
    </row>
    <row r="2123" spans="1:13" x14ac:dyDescent="0.3">
      <c r="A2123" s="7" t="str">
        <f>HYPERLINK("https://hsdes.intel.com/resource/22011834437","22011834437")</f>
        <v>22011834437</v>
      </c>
      <c r="B2123" s="7" t="s">
        <v>245</v>
      </c>
      <c r="C2123" s="7" t="s">
        <v>1420</v>
      </c>
      <c r="D2123" s="7" t="s">
        <v>246</v>
      </c>
      <c r="E2123" s="7"/>
      <c r="F2123" s="7"/>
      <c r="G2123" s="7" t="s">
        <v>9</v>
      </c>
      <c r="H2123" s="7"/>
      <c r="I2123" s="7"/>
      <c r="J2123" s="7" t="s">
        <v>192</v>
      </c>
      <c r="K2123" s="7" t="s">
        <v>19</v>
      </c>
      <c r="L2123" s="7" t="s">
        <v>20</v>
      </c>
      <c r="M2123" s="7" t="s">
        <v>24</v>
      </c>
    </row>
    <row r="2124" spans="1:13" x14ac:dyDescent="0.3">
      <c r="A2124" s="7" t="str">
        <f>HYPERLINK("https://hsdes.intel.com/resource/22011834439","22011834439")</f>
        <v>22011834439</v>
      </c>
      <c r="B2124" s="7" t="s">
        <v>3582</v>
      </c>
      <c r="C2124" s="7" t="s">
        <v>1420</v>
      </c>
      <c r="D2124" s="7" t="s">
        <v>3583</v>
      </c>
      <c r="E2124" s="7" t="s">
        <v>11</v>
      </c>
      <c r="F2124" s="7"/>
      <c r="G2124" s="7" t="s">
        <v>1447</v>
      </c>
      <c r="H2124" s="7"/>
      <c r="I2124" s="10">
        <v>44756</v>
      </c>
      <c r="J2124" s="7" t="s">
        <v>13</v>
      </c>
      <c r="K2124" s="7" t="s">
        <v>439</v>
      </c>
      <c r="L2124" s="7" t="s">
        <v>158</v>
      </c>
      <c r="M2124" s="7" t="s">
        <v>16</v>
      </c>
    </row>
    <row r="2125" spans="1:13" x14ac:dyDescent="0.3">
      <c r="A2125" s="7" t="str">
        <f>HYPERLINK("https://hsdes.intel.com/resource/22011834442","22011834442")</f>
        <v>22011834442</v>
      </c>
      <c r="B2125" s="7" t="s">
        <v>3584</v>
      </c>
      <c r="C2125" s="7" t="s">
        <v>1420</v>
      </c>
      <c r="D2125" s="7" t="s">
        <v>3585</v>
      </c>
      <c r="E2125" s="7" t="s">
        <v>11</v>
      </c>
      <c r="F2125" s="7"/>
      <c r="G2125" s="7" t="s">
        <v>1700</v>
      </c>
      <c r="H2125" s="7"/>
      <c r="I2125" s="10">
        <v>44757</v>
      </c>
      <c r="J2125" s="7" t="s">
        <v>13</v>
      </c>
      <c r="K2125" s="7" t="s">
        <v>439</v>
      </c>
      <c r="L2125" s="7" t="s">
        <v>158</v>
      </c>
      <c r="M2125" s="7" t="s">
        <v>16</v>
      </c>
    </row>
    <row r="2126" spans="1:13" x14ac:dyDescent="0.3">
      <c r="A2126" s="7" t="str">
        <f>HYPERLINK("https://hsdes.intel.com/resource/22011834444","22011834444")</f>
        <v>22011834444</v>
      </c>
      <c r="B2126" s="7" t="s">
        <v>3586</v>
      </c>
      <c r="C2126" s="7" t="s">
        <v>1420</v>
      </c>
      <c r="D2126" s="7" t="s">
        <v>3587</v>
      </c>
      <c r="E2126" s="7" t="s">
        <v>11</v>
      </c>
      <c r="F2126" s="7"/>
      <c r="G2126" s="7" t="s">
        <v>1700</v>
      </c>
      <c r="H2126" s="7"/>
      <c r="I2126" s="10">
        <v>44757</v>
      </c>
      <c r="J2126" s="7" t="s">
        <v>13</v>
      </c>
      <c r="K2126" s="7" t="s">
        <v>439</v>
      </c>
      <c r="L2126" s="7" t="s">
        <v>158</v>
      </c>
      <c r="M2126" s="7" t="s">
        <v>16</v>
      </c>
    </row>
    <row r="2127" spans="1:13" x14ac:dyDescent="0.3">
      <c r="A2127" s="7" t="str">
        <f>HYPERLINK("https://hsdes.intel.com/resource/22011834453","22011834453")</f>
        <v>22011834453</v>
      </c>
      <c r="B2127" s="7" t="s">
        <v>248</v>
      </c>
      <c r="C2127" s="7" t="s">
        <v>1420</v>
      </c>
      <c r="D2127" s="7" t="s">
        <v>249</v>
      </c>
      <c r="E2127" s="7"/>
      <c r="F2127" s="7"/>
      <c r="G2127" s="7" t="s">
        <v>9</v>
      </c>
      <c r="H2127" s="7"/>
      <c r="I2127" s="7"/>
      <c r="J2127" s="7" t="s">
        <v>192</v>
      </c>
      <c r="K2127" s="7" t="s">
        <v>19</v>
      </c>
      <c r="L2127" s="7" t="s">
        <v>20</v>
      </c>
      <c r="M2127" s="7" t="s">
        <v>24</v>
      </c>
    </row>
    <row r="2128" spans="1:13" x14ac:dyDescent="0.3">
      <c r="A2128" s="7" t="str">
        <f>HYPERLINK("https://hsdes.intel.com/resource/22011834456","22011834456")</f>
        <v>22011834456</v>
      </c>
      <c r="B2128" s="7" t="s">
        <v>251</v>
      </c>
      <c r="C2128" s="7" t="s">
        <v>1420</v>
      </c>
      <c r="D2128" s="7" t="s">
        <v>252</v>
      </c>
      <c r="E2128" s="7"/>
      <c r="F2128" s="7"/>
      <c r="G2128" s="7" t="s">
        <v>9</v>
      </c>
      <c r="H2128" s="7"/>
      <c r="I2128" s="7"/>
      <c r="J2128" s="7" t="s">
        <v>192</v>
      </c>
      <c r="K2128" s="7" t="s">
        <v>19</v>
      </c>
      <c r="L2128" s="7" t="s">
        <v>20</v>
      </c>
      <c r="M2128" s="7" t="s">
        <v>21</v>
      </c>
    </row>
    <row r="2129" spans="1:13" x14ac:dyDescent="0.3">
      <c r="A2129" s="7" t="str">
        <f>HYPERLINK("https://hsdes.intel.com/resource/22011834460","22011834460")</f>
        <v>22011834460</v>
      </c>
      <c r="B2129" s="7" t="s">
        <v>254</v>
      </c>
      <c r="C2129" s="7" t="s">
        <v>1420</v>
      </c>
      <c r="D2129" s="7" t="s">
        <v>255</v>
      </c>
      <c r="E2129" s="7"/>
      <c r="F2129" s="7"/>
      <c r="G2129" s="7" t="s">
        <v>9</v>
      </c>
      <c r="H2129" s="7"/>
      <c r="I2129" s="7"/>
      <c r="J2129" s="7" t="s">
        <v>192</v>
      </c>
      <c r="K2129" s="7" t="s">
        <v>19</v>
      </c>
      <c r="L2129" s="7" t="s">
        <v>20</v>
      </c>
      <c r="M2129" s="7" t="s">
        <v>21</v>
      </c>
    </row>
    <row r="2130" spans="1:13" x14ac:dyDescent="0.3">
      <c r="A2130" s="7" t="str">
        <f>HYPERLINK("https://hsdes.intel.com/resource/22011834465","22011834465")</f>
        <v>22011834465</v>
      </c>
      <c r="B2130" s="7" t="s">
        <v>257</v>
      </c>
      <c r="C2130" s="7" t="s">
        <v>1420</v>
      </c>
      <c r="D2130" s="7" t="s">
        <v>258</v>
      </c>
      <c r="E2130" s="7"/>
      <c r="F2130" s="7"/>
      <c r="G2130" s="7" t="s">
        <v>9</v>
      </c>
      <c r="H2130" s="7"/>
      <c r="I2130" s="7"/>
      <c r="J2130" s="7" t="s">
        <v>192</v>
      </c>
      <c r="K2130" s="7" t="s">
        <v>19</v>
      </c>
      <c r="L2130" s="7" t="s">
        <v>20</v>
      </c>
      <c r="M2130" s="7" t="s">
        <v>21</v>
      </c>
    </row>
    <row r="2131" spans="1:13" x14ac:dyDescent="0.3">
      <c r="A2131" s="7" t="str">
        <f>HYPERLINK("https://hsdes.intel.com/resource/22011834525","22011834525")</f>
        <v>22011834525</v>
      </c>
      <c r="B2131" s="7" t="s">
        <v>3588</v>
      </c>
      <c r="C2131" s="7" t="s">
        <v>1420</v>
      </c>
      <c r="D2131" s="7" t="s">
        <v>3589</v>
      </c>
      <c r="E2131" s="7" t="s">
        <v>11</v>
      </c>
      <c r="F2131" s="7"/>
      <c r="G2131" s="7" t="s">
        <v>3326</v>
      </c>
      <c r="H2131" s="7"/>
      <c r="I2131" s="10">
        <v>44757</v>
      </c>
      <c r="J2131" s="7" t="s">
        <v>13</v>
      </c>
      <c r="K2131" s="7" t="s">
        <v>14</v>
      </c>
      <c r="L2131" s="7" t="s">
        <v>88</v>
      </c>
      <c r="M2131" s="7" t="s">
        <v>16</v>
      </c>
    </row>
    <row r="2132" spans="1:13" x14ac:dyDescent="0.3">
      <c r="A2132" s="7" t="str">
        <f>HYPERLINK("https://hsdes.intel.com/resource/22011834529","22011834529")</f>
        <v>22011834529</v>
      </c>
      <c r="B2132" s="7" t="s">
        <v>260</v>
      </c>
      <c r="C2132" s="7" t="s">
        <v>1420</v>
      </c>
      <c r="D2132" s="7" t="s">
        <v>261</v>
      </c>
      <c r="E2132" s="7"/>
      <c r="F2132" s="7"/>
      <c r="G2132" s="7" t="s">
        <v>9</v>
      </c>
      <c r="H2132" s="7"/>
      <c r="I2132" s="7"/>
      <c r="J2132" s="7" t="s">
        <v>13</v>
      </c>
      <c r="K2132" s="7" t="s">
        <v>19</v>
      </c>
      <c r="L2132" s="7" t="s">
        <v>20</v>
      </c>
      <c r="M2132" s="7" t="s">
        <v>21</v>
      </c>
    </row>
    <row r="2133" spans="1:13" ht="15" x14ac:dyDescent="0.35">
      <c r="A2133" s="7" t="str">
        <f>HYPERLINK("https://hsdes.intel.com/resource/22011834531","22011834531")</f>
        <v>22011834531</v>
      </c>
      <c r="B2133" s="7" t="s">
        <v>3590</v>
      </c>
      <c r="C2133" s="7" t="s">
        <v>1420</v>
      </c>
      <c r="D2133" s="7" t="s">
        <v>3591</v>
      </c>
      <c r="E2133" s="7" t="s">
        <v>87</v>
      </c>
      <c r="F2133" s="26" t="s">
        <v>2946</v>
      </c>
      <c r="G2133" s="7" t="s">
        <v>1605</v>
      </c>
      <c r="H2133" s="7"/>
      <c r="I2133" s="10">
        <v>44763</v>
      </c>
      <c r="J2133" s="7" t="s">
        <v>13</v>
      </c>
      <c r="K2133" s="7" t="s">
        <v>19</v>
      </c>
      <c r="L2133" s="7" t="s">
        <v>20</v>
      </c>
      <c r="M2133" s="7" t="s">
        <v>21</v>
      </c>
    </row>
    <row r="2134" spans="1:13" x14ac:dyDescent="0.3">
      <c r="A2134" s="7" t="str">
        <f>HYPERLINK("https://hsdes.intel.com/resource/22011834579","22011834579")</f>
        <v>22011834579</v>
      </c>
      <c r="B2134" s="7" t="s">
        <v>263</v>
      </c>
      <c r="C2134" s="7" t="s">
        <v>1420</v>
      </c>
      <c r="D2134" s="7" t="s">
        <v>264</v>
      </c>
      <c r="E2134" s="7"/>
      <c r="F2134" s="7"/>
      <c r="G2134" s="7" t="s">
        <v>9</v>
      </c>
      <c r="H2134" s="7"/>
      <c r="I2134" s="7"/>
      <c r="J2134" s="7" t="s">
        <v>192</v>
      </c>
      <c r="K2134" s="7" t="s">
        <v>19</v>
      </c>
      <c r="L2134" s="7" t="s">
        <v>20</v>
      </c>
      <c r="M2134" s="7" t="s">
        <v>16</v>
      </c>
    </row>
    <row r="2135" spans="1:13" x14ac:dyDescent="0.3">
      <c r="A2135" s="7" t="str">
        <f>HYPERLINK("https://hsdes.intel.com/resource/22011834581","22011834581")</f>
        <v>22011834581</v>
      </c>
      <c r="B2135" s="7" t="s">
        <v>266</v>
      </c>
      <c r="C2135" s="7" t="s">
        <v>1420</v>
      </c>
      <c r="D2135" s="7" t="s">
        <v>267</v>
      </c>
      <c r="E2135" s="7"/>
      <c r="F2135" s="7"/>
      <c r="G2135" s="7" t="s">
        <v>9</v>
      </c>
      <c r="H2135" s="7"/>
      <c r="I2135" s="7"/>
      <c r="J2135" s="7" t="s">
        <v>13</v>
      </c>
      <c r="K2135" s="7" t="s">
        <v>19</v>
      </c>
      <c r="L2135" s="7" t="s">
        <v>20</v>
      </c>
      <c r="M2135" s="7" t="s">
        <v>21</v>
      </c>
    </row>
    <row r="2136" spans="1:13" x14ac:dyDescent="0.3">
      <c r="A2136" s="7" t="str">
        <f>HYPERLINK("https://hsdes.intel.com/resource/22013999860","22013999860")</f>
        <v>22013999860</v>
      </c>
      <c r="B2136" s="7" t="s">
        <v>3592</v>
      </c>
      <c r="C2136" s="7" t="s">
        <v>1420</v>
      </c>
      <c r="D2136" s="7" t="s">
        <v>2259</v>
      </c>
      <c r="E2136" s="7" t="s">
        <v>11</v>
      </c>
      <c r="F2136" s="7" t="s">
        <v>2015</v>
      </c>
      <c r="G2136" s="7" t="s">
        <v>354</v>
      </c>
      <c r="H2136" s="7"/>
      <c r="I2136" s="10">
        <v>44763</v>
      </c>
      <c r="J2136" s="7" t="s">
        <v>1623</v>
      </c>
      <c r="K2136" s="7" t="s">
        <v>296</v>
      </c>
      <c r="L2136" s="7" t="s">
        <v>297</v>
      </c>
      <c r="M2136" s="7" t="s">
        <v>24</v>
      </c>
    </row>
    <row r="2138" spans="1:13" x14ac:dyDescent="0.3">
      <c r="B2138" s="47"/>
    </row>
    <row r="2147" spans="2:2" x14ac:dyDescent="0.3">
      <c r="B2147" s="46"/>
    </row>
  </sheetData>
  <autoFilter ref="A1:P2136" xr:uid="{AD1FDEB3-A31D-4AED-A423-167B5FAABD4F}"/>
  <customSheetViews>
    <customSheetView guid="{42125731-D3DF-440A-8617-7AE5A7FD5352}" scale="80" showAutoFilter="1" topLeftCell="A1450">
      <selection activeCell="F1472" sqref="F1472"/>
      <pageMargins left="0.7" right="0.7" top="0.75" bottom="0.75" header="0.3" footer="0.3"/>
      <autoFilter ref="A1:P2136" xr:uid="{4EDDC7A1-F74A-48B1-8441-143E78E53DD1}"/>
    </customSheetView>
    <customSheetView guid="{09B2D11E-036E-4522-AC5F-A0C9F775118B}" scale="74" filter="1" showAutoFilter="1" topLeftCell="C1">
      <selection activeCell="J26" sqref="J26"/>
      <pageMargins left="0.7" right="0.7" top="0.75" bottom="0.75" header="0.3" footer="0.3"/>
      <pageSetup orientation="portrait" r:id="rId1"/>
      <autoFilter ref="A1:P2136" xr:uid="{D1DAE621-262E-4CF9-BB67-094F46EE8B67}">
        <filterColumn colId="11">
          <filters>
            <filter val="Performance and Responsiveness"/>
          </filters>
        </filterColumn>
      </autoFilter>
    </customSheetView>
    <customSheetView guid="{4694DAB0-ACCD-4A72-A2CD-0C6916B0E36F}" scale="74">
      <selection activeCell="B24" sqref="B24"/>
      <pageMargins left="0.7" right="0.7" top="0.75" bottom="0.75" header="0.3" footer="0.3"/>
      <pageSetup orientation="portrait" r:id="rId2"/>
    </customSheetView>
    <customSheetView guid="{E898421F-68B8-4202-A540-E41CCE66AB2A}" scale="74" topLeftCell="A1887">
      <selection activeCell="B1906" sqref="B1906"/>
      <pageMargins left="0.7" right="0.7" top="0.75" bottom="0.75" header="0.3" footer="0.3"/>
      <pageSetup orientation="portrait" r:id="rId3"/>
    </customSheetView>
    <customSheetView guid="{8A02CA5B-B001-4F2C-94C0-F49A6533ED02}" scale="99" filter="1" showAutoFilter="1">
      <selection activeCell="E1305" sqref="E1305"/>
      <pageMargins left="0.7" right="0.7" top="0.75" bottom="0.75" header="0.3" footer="0.3"/>
      <autoFilter ref="A1:M2136" xr:uid="{F49FFA87-259E-4CAB-B960-9B61E9B808D9}">
        <filterColumn colId="7">
          <filters>
            <filter val="Prasanth"/>
          </filters>
        </filterColumn>
      </autoFilter>
    </customSheetView>
    <customSheetView guid="{36F83137-3DD0-42DD-A893-C87ED4299231}" scale="99" filter="1" showAutoFilter="1" topLeftCell="C1">
      <selection activeCell="J25" sqref="J25"/>
      <pageMargins left="0.7" right="0.7" top="0.75" bottom="0.75" header="0.3" footer="0.3"/>
      <autoFilter ref="A1:P2136" xr:uid="{A45B5875-7123-411A-A147-FDCD3B11C52B}">
        <filterColumn colId="2">
          <filters>
            <filter val="DC1"/>
          </filters>
        </filterColumn>
        <filterColumn colId="4">
          <filters>
            <filter val="inprogress"/>
            <filter val="waiting for reply from  CO, inprogress"/>
          </filters>
        </filterColumn>
        <filterColumn colId="5">
          <filters>
            <filter val="CLID -8253"/>
            <filter val="CLID -8694"/>
            <filter val="CLID- 8947"/>
            <filter val="CLID-8264/GC"/>
            <filter val="CLID-8268"/>
            <filter val="CLID-8282/GC"/>
            <filter val="CLID-8710"/>
            <filter val="CLID-8727"/>
            <filter val="CLID-8734"/>
            <filter val="CLID-8757/GC"/>
            <filter val="mailed to CO/GC"/>
          </filters>
        </filterColumn>
        <filterColumn colId="7">
          <filters>
            <filter val="Sha"/>
          </filters>
        </filterColumn>
      </autoFilter>
    </customSheetView>
    <customSheetView guid="{079499D2-10B9-47D6-B43F-ECE40F57D846}" scale="74" filter="1" showAutoFilter="1">
      <selection activeCell="I1472" sqref="I1472"/>
      <pageMargins left="0.7" right="0.7" top="0.75" bottom="0.75" header="0.3" footer="0.3"/>
      <autoFilter ref="A1:M2136" xr:uid="{FA647094-79A9-4904-B2D0-2FF2A83E3F39}">
        <filterColumn colId="2">
          <filters>
            <filter val="GC"/>
          </filters>
        </filterColumn>
        <filterColumn colId="4">
          <filters>
            <filter val="inprogress"/>
          </filters>
        </filterColumn>
        <filterColumn colId="6">
          <filters>
            <filter val="kalyani"/>
          </filters>
        </filterColumn>
        <filterColumn colId="7">
          <filters>
            <filter val="Kalyani"/>
          </filters>
        </filterColumn>
      </autoFilter>
    </customSheetView>
    <customSheetView guid="{F026DC35-567C-43B3-A484-39806B390DEE}" scale="74" filter="1" showAutoFilter="1">
      <selection activeCell="E287" sqref="E287"/>
      <pageMargins left="0.7" right="0.7" top="0.75" bottom="0.75" header="0.3" footer="0.3"/>
      <pageSetup orientation="portrait" r:id="rId4"/>
      <autoFilter ref="A1:P2136" xr:uid="{CF0BF84C-1AA4-421A-8E6A-EF83F58CFE81}">
        <filterColumn colId="7">
          <filters>
            <filter val="vaahith"/>
          </filters>
        </filterColumn>
      </autoFilter>
    </customSheetView>
    <customSheetView guid="{816E84CC-9506-465E-9C48-BFF7AB97D33D}" scale="74" filter="1" showAutoFilter="1">
      <selection activeCell="C2145" sqref="C2145"/>
      <pageMargins left="0.7" right="0.7" top="0.75" bottom="0.75" header="0.3" footer="0.3"/>
      <pageSetup orientation="portrait" r:id="rId5"/>
      <autoFilter ref="A1:P2136" xr:uid="{7DB77AE4-7EB6-4C45-B333-3C6DDFC4667F}">
        <filterColumn colId="7">
          <filters>
            <filter val="Divya"/>
          </filters>
        </filterColumn>
      </autoFilter>
    </customSheetView>
    <customSheetView guid="{EB287F3A-4C7E-49C8-9F26-7615807EE190}" scale="74" filter="1" showAutoFilter="1" topLeftCell="D1">
      <selection activeCell="K2146" sqref="K2146"/>
      <pageMargins left="0.7" right="0.7" top="0.75" bottom="0.75" header="0.3" footer="0.3"/>
      <pageSetup orientation="portrait" r:id="rId6"/>
      <autoFilter ref="A1:P2136" xr:uid="{1CC377C8-A06D-4D0B-8F0F-46246623AD57}">
        <filterColumn colId="7">
          <filters>
            <filter val="Manasa"/>
          </filters>
        </filterColumn>
        <filterColumn colId="8">
          <filters blank="1">
            <dateGroupItem year="2022" month="7" day="25" dateTimeGrouping="day"/>
          </filters>
        </filterColumn>
      </autoFilter>
    </customSheetView>
    <customSheetView guid="{5C410C56-CEB5-4765-BB55-43230A2184A9}" scale="74">
      <selection activeCell="B25" sqref="B25"/>
      <pageMargins left="0.7" right="0.7" top="0.75" bottom="0.75" header="0.3" footer="0.3"/>
      <pageSetup orientation="portrait" r:id="rId7"/>
    </customSheetView>
    <customSheetView guid="{09DB3CC5-4A6A-4E87-B448-A6E5D71ABAA3}" scale="80" showAutoFilter="1">
      <selection activeCell="E1" sqref="E1"/>
      <pageMargins left="0.7" right="0.7" top="0.75" bottom="0.75" header="0.3" footer="0.3"/>
      <autoFilter ref="A1:P2136" xr:uid="{F96C59C6-8EB7-4E69-8E8C-5821828D81E5}"/>
    </customSheetView>
  </customSheetViews>
  <conditionalFormatting sqref="A2:A69">
    <cfRule type="duplicateValues" dxfId="7" priority="8"/>
  </conditionalFormatting>
  <conditionalFormatting sqref="A120:A187">
    <cfRule type="duplicateValues" dxfId="6" priority="7"/>
  </conditionalFormatting>
  <conditionalFormatting sqref="A188:A221">
    <cfRule type="duplicateValues" dxfId="5" priority="6"/>
  </conditionalFormatting>
  <conditionalFormatting sqref="A302:A413">
    <cfRule type="duplicateValues" dxfId="4" priority="5"/>
  </conditionalFormatting>
  <conditionalFormatting sqref="A457:A570">
    <cfRule type="duplicateValues" dxfId="3" priority="4"/>
  </conditionalFormatting>
  <conditionalFormatting sqref="A571:A741">
    <cfRule type="duplicateValues" dxfId="2" priority="3"/>
  </conditionalFormatting>
  <conditionalFormatting sqref="A742:A757">
    <cfRule type="duplicateValues" dxfId="1" priority="2"/>
  </conditionalFormatting>
  <conditionalFormatting sqref="A794:A2136">
    <cfRule type="duplicateValues" dxfId="0" priority="1"/>
  </conditionalFormatting>
  <hyperlinks>
    <hyperlink ref="F216" r:id="rId8" tooltip="https://hsdes.intel.com/resource/14013176742" display="https://hsdes.intel.com/resource/14013176742" xr:uid="{C9FD60C8-060F-4357-9F19-011E8CD98440}"/>
    <hyperlink ref="F218" r:id="rId9" location="/16017037857" tooltip="https://hsdes.intel.com/appstore/article/#/16017037857" display="https://hsdes.intel.com/appstore/article/ - /16017037857" xr:uid="{17883E7B-594C-47D5-A5F8-8B5109168E1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71E54F-1C58-4807-93CE-3E2AC5F2D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64650A-3895-4506-A275-F7EED42719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A4F86F-E10B-4698-AC80-3A456070C3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2022-07-22T15:14:39Z</dcterms:created>
  <dcterms:modified xsi:type="dcterms:W3CDTF">2022-11-07T09:22:46Z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