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aga\Downloads\"/>
    </mc:Choice>
  </mc:AlternateContent>
  <xr:revisionPtr revIDLastSave="0" documentId="8_{7E4C77BB-88E4-4972-86F5-6CC5FF84338E}" xr6:coauthVersionLast="47" xr6:coauthVersionMax="47" xr10:uidLastSave="{00000000-0000-0000-0000-000000000000}"/>
  <bookViews>
    <workbookView xWindow="-108" yWindow="-108" windowWidth="23256" windowHeight="12576"/>
  </bookViews>
  <sheets>
    <sheet name="FIVC_BIOS_RPL-Hx update + RPL-H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</calcChain>
</file>

<file path=xl/sharedStrings.xml><?xml version="1.0" encoding="utf-8"?>
<sst xmlns="http://schemas.openxmlformats.org/spreadsheetml/2006/main" count="3812" uniqueCount="2023">
  <si>
    <t>jama_id</t>
  </si>
  <si>
    <t>owner</t>
  </si>
  <si>
    <t>component_affected</t>
  </si>
  <si>
    <t>release_affected</t>
  </si>
  <si>
    <t>Verify DashG card basic functionality with SRIOV enabled on x16 PEG slot connected in SUT</t>
  </si>
  <si>
    <t>CSS-IVE-119045</t>
  </si>
  <si>
    <t>pke</t>
  </si>
  <si>
    <t>bios.sa</t>
  </si>
  <si>
    <t>bios.alderlake,bios.raptorlake,bios.raptorlake_refresh</t>
  </si>
  <si>
    <t>Verify Fan rotation speed at the time of temperature crosses active trip point during OS hung condition</t>
  </si>
  <si>
    <t>CSS-IVE-50897</t>
  </si>
  <si>
    <t>raghav3x</t>
  </si>
  <si>
    <t>bios.cpu_pm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</si>
  <si>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raptorlake,bios.raptorlake_refresh,bios.rocketlake,bios.tigerlake,bios.whiskeylake</t>
  </si>
  <si>
    <t>Verify System wakes from C-MoS using USB device connected to USB Type-C port</t>
  </si>
  <si>
    <t>CSS-IVE-50921</t>
  </si>
  <si>
    <t>bios.platform,bios.sa</t>
  </si>
  <si>
    <t>bios.alderlake,bios.amberlake,bios.apollolake,bios.arrowlake,bios.cannonlake,bios.geminilake,bios.icelake-client,bios.jasperlake,bios.kabylake,bios.kabylake_r,bios.lakefield,bios.lunarlake,bios.meteorlake,bios.pantherlake,bios.pantherlake-p,bios.raptorlake,bios.rocketlake,bios.tigerlake</t>
  </si>
  <si>
    <t>Verify system stability after S4 and S5 cycles via power button</t>
  </si>
  <si>
    <t>CSS-IVE-50984</t>
  </si>
  <si>
    <t>reddyv5x</t>
  </si>
  <si>
    <t>bios.platform</t>
  </si>
  <si>
    <t>bios.alderlake,bios.amberlake,bios.arrowlake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</t>
  </si>
  <si>
    <t>Verify if BIOS provides option to enable/disable ISH and corresponding sensors are reflected in OS</t>
  </si>
  <si>
    <t>CSS-IVE-51252</t>
  </si>
  <si>
    <t>sumith2x</t>
  </si>
  <si>
    <t>bios.pch,fw.ifwi.ish</t>
  </si>
  <si>
    <t>bios.alderlake,bios.amberlake,bios.apollolake,bios.arrowlake,bios.broxton,bios.cannonlake,bios.coffeelake,bios.cometlake,bios.geminilake,bios.icelake-client,bios.kabylake,bios.kabylake_r,bios.lunarlake,bios.meteorlake,bios.pantherlake,bios.pantherlake-p,bios.pantherlake-u,bios.raptorlake,bios.raptorlake_refresh,bios.rocketlake,bios.tigerlake,bios.whiskeylake,ifwi.amberlake,ifwi.apollolake,ifwi.broxton,ifwi.cannonlake,ifwi.coffeelake,ifwi.cometlake,ifwi.geminilake,ifwi.icelake,ifwi.kabylake,ifwi.kabylake_r,ifwi.tigerlake,ifwi.whiskeylake</t>
  </si>
  <si>
    <t>Validate GOP driver enumeration in UEFI</t>
  </si>
  <si>
    <t>CSS-IVE-52484</t>
  </si>
  <si>
    <t>bios.alderlake,bios.amberlake,bios.apollolake,bios.arrowlake,bios.broxton,bios.cannonlake,bios.coffeelake,bios.cometlake,bios.geminilake,bios.icelake-client,bios.kabylake,bios.kabylake_r,bios.lakefield,bios.raptorlake,bios.raptorlake_refresh,bios.whiskeylake</t>
  </si>
  <si>
    <t>Verify if offline Crash Dump created during system on crash</t>
  </si>
  <si>
    <t>CSS-IVE-52768</t>
  </si>
  <si>
    <t>chassanx</t>
  </si>
  <si>
    <t>bios.alderlake,bios.amberlake,bios.apollolake,bios.arrowlake,bios.broxton,bios.cannonlake,bios.coffeelake,bios.cometlake,bios.geminilake,bios.icelake-client,bios.jasperlake,bios.kabylake,bios.kabylake_r,bios.lunarlake,bios.meteorlake,bios.pantherlake,bios.pantherlake-p,bios.pantherlake-s,bios.raptorlake,bios.raptorlake_refresh,bios.rocketlake,bios.skylake,bios.whiskeylake</t>
  </si>
  <si>
    <t>Verify that BIOS presents options to change the Boot Order</t>
  </si>
  <si>
    <t>CSS-IVE-54154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</si>
  <si>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</t>
  </si>
  <si>
    <t>Verify CPU frequency transitions based on Turbo status</t>
  </si>
  <si>
    <t>CSS-IVE-54199</t>
  </si>
  <si>
    <t>bios.alderlake,bios.amberlake,bios.arrowlake,bios.cannonlake,bios.coffeelake,bios.cometlake,bios.icelake-client,bios.jasperlake,bios.kabylake,bios.kabylake_r,bios.lakefield,bios.lunarlake,bios.meteorlake,bios.raptorlake,bios.raptorlake_refresh,bios.rocketlake,bios.skylake,bios.tigerlake,bios.whiskeylake,ifwi.alderlake,ifwi.rocketlake</t>
  </si>
  <si>
    <t>Verify system stability post Warm reboot cycles</t>
  </si>
  <si>
    <t>CSS-IVE-54316</t>
  </si>
  <si>
    <t>fw.ifwi.pmc</t>
  </si>
  <si>
    <t>bios.alderlake,bios.amberlake,bios.apollolake,bios.arrowlake,bios.broxton,bios.cannonlake,bios.cometlake,bios.geminilake,bios.icelake-client,bios.jasperlake,bios.kabylake,bios.kabylake_r,bios.lunarlake,bios.meteorlake,bios.raptorlake,bios.raptorlake_refresh,bios.rocketlake,bios.tigerlake,bios.whiskeylake,ifwi.amberlake,ifwi.apollolake,ifwi.arrowlake,ifwi.broxton,ifwi.cannonlake,ifwi.cometlake,ifwi.geminilake,ifwi.icelake,ifwi.jasperlake,ifwi.kabylake,ifwi.kabylake_r,ifwi.lunarlake,ifwi.meteorlake,ifwi.pantherlake-p,ifwi.raptorlake,ifwi.raptorlake_refresh,ifwi.skylake,ifwi.tigerlake,ifwi.whiskeylake</t>
  </si>
  <si>
    <t>Verify system exit from Connected Modern standby / S0i3 state via USB mouse</t>
  </si>
  <si>
    <t>CSS-IVE-59243</t>
  </si>
  <si>
    <t>bios.alderlake,bios.amberlake,bios.apollolake,bios.arrowlake,bios.broxton,bios.cannonlake,bios.coffeelake,bios.cometlake,bios.geminilake,bios.icelake-client,bios.jasperlake,bios.kabylake,bios.kabylake_r,bios.lunarlake,bios.meteorlake,bios.pantherlake,bios.pantherlake-p,bios.raptorlake,bios.rocketlake,bios.tigerlake,bios.whiskeylake,ifwi.amberlake,ifwi.apollolake,ifwi.arrowlake,ifwi.broxton,ifwi.cannonlake,ifwi.coffeelake,ifwi.cometlake,ifwi.geminilake,ifwi.icelake,ifwi.kabylake,ifwi.kabylake_r,ifwi.tigerlake,ifwi.whiskeylake</t>
  </si>
  <si>
    <t>Validate digital audio functionality over Type-C port</t>
  </si>
  <si>
    <t>CSS-IVE-61677</t>
  </si>
  <si>
    <t>bios.platform,bios.sa,fw.ifwi.MGPhy,fw.ifwi.dekelPhy,fw.ifwi.iom,fw.ifwi.nphy,fw.ifwi.pmc,fw.ifwi.sam,fw.ifwi.sphy,fw.ifwi.tbt</t>
  </si>
  <si>
    <t>bios.alderlake,bios.amberlake,bios.apollolake,bios.arrowlake,bios.cannonlake,bios.coffeelake,bios.geminilake,bios.icelake-client,bios.jasperlake,bios.kabylake,bios.kabylake_r,bios.lakefield,bios.lunarlake,bios.meteorlake,bios.pantherlake,bios.pantherlake-h,bios.pantherlake-p,bios.pantherlake-u,bios.raptorlake,bios.raptorlake_refresh,bios.rocketlake,bios.tigerlake,bios.whiskeylake,ifwi.amberlake,ifwi.apollolake,ifwi.arrowlake,ifwi.cannonlake,ifwi.coffeelake,ifwi.geminilake,ifwi.icelake,ifwi.kabylake,ifwi.kabylake_r,ifwi.lakefield,ifwi.lunarlake,ifwi.meteorlake,ifwi.raptorlake,ifwi.raptorlake_refresh,ifwi.tigerlake,ifwi.whiskeylake</t>
  </si>
  <si>
    <t>Verify SUT Entry and Exit in CS Low Power Mode</t>
  </si>
  <si>
    <t>CSS-IVE-61820</t>
  </si>
  <si>
    <t>bios.alderlake,bios.amberlake,bios.apollolake,bios.arrowlake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,ifwi.amberlake,ifwi.raptorlake_refresh</t>
  </si>
  <si>
    <t>Verify the basic functionality of Virtual Battery switch</t>
  </si>
  <si>
    <t>CSS-IVE-61826</t>
  </si>
  <si>
    <t>bios.pch,fw.ifwi.bios,fw.ifwi.ec,fw.ifwi.pchc</t>
  </si>
  <si>
    <t>bios.alderlake,bios.apollolake,bios.arrowlake,bios.cannonlake,bios.coffeelake,bios.cometlake,bios.icelake-client,bios.jasperlake,bios.kabylake,bios.kabylake_r,bios.lakefield,bios.lunarlake,bios.meteorlake,bios.pantherlake,bios.pantherlake-p,bios.raptorlake,bios.raptorlake_refresh,bios.tigerlake,bios.whiskeylake,ifwi.arrowlake,ifwi.lunarlake,ifwi.meteorlake,ifwi.raptorlake,ifwi.raptorlake_refresh</t>
  </si>
  <si>
    <t>Verify that SUT boots to S0 from G3 in   AC  mode with   AC  brick</t>
  </si>
  <si>
    <t>CSS-IVE-61832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</si>
  <si>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rocketlake,bios.tigerlake,bios.whiskeylake,ifwi.amberlake,ifwi.raptorlake_refresh</t>
  </si>
  <si>
    <t>Verify ISH(Integrated sensor hub) enumeration for BOM1 configuration</t>
  </si>
  <si>
    <t>CSS-IVE-145505</t>
  </si>
  <si>
    <t>bios.pch</t>
  </si>
  <si>
    <t>bios.alderlake,bios.arrowlake,bios.lunarlake,bios.meteorlake,bios.raptorlake,bios.tigerlake,ifwi.alderlake,ifwi.lunarlake</t>
  </si>
  <si>
    <t>Verify BIOS shall display an option to set the IP address and port number of the Intel  AMT provisioning server under MEBx menu.</t>
  </si>
  <si>
    <t>CSS-IVE-145627</t>
  </si>
  <si>
    <t>bios.me</t>
  </si>
  <si>
    <t>bios.alderlake,bios.arrowlake,bios.lunarlake,bios.meteorlake,bios.pantherlake,bios.pantherlake-p,bios.raptorlake</t>
  </si>
  <si>
    <t>Verify  Host Name could be set successfully under MEBx in BIOS</t>
  </si>
  <si>
    <t>CSS-IVE-145646</t>
  </si>
  <si>
    <t>bios.alderlake,bios.arrowlake,bios.lunarlake,bios.meteorlake,bios.raptorlake</t>
  </si>
  <si>
    <t>Verify if AMT configuration menu is accessible under MEBx setup in BIOS</t>
  </si>
  <si>
    <t>CSS-IVE-145648</t>
  </si>
  <si>
    <t>bios.me,fw.ifwi.csme</t>
  </si>
  <si>
    <t>bios.alderlake,bios.arrowlake,bios.lunarlake,bios.meteorlake,bios.raptorlake,ifwi.arrowlake,ifwi.lunarlake,ifwi.meteorlake,ifwi.raptorlake</t>
  </si>
  <si>
    <t>Verify KVM can be enabled/disabled in BIOS under MEBx menu</t>
  </si>
  <si>
    <t>CSS-IVE-145651</t>
  </si>
  <si>
    <t>Verify Local FW Updates option is available in BIOS Setup</t>
  </si>
  <si>
    <t>CSS-IVE-145658</t>
  </si>
  <si>
    <t>Verify if MEBx password change is accepted (for password meeting specific criteria) and is successfully accepted on subsequent entries under MEBx menu in BIOS</t>
  </si>
  <si>
    <t>CSS-IVE-145656</t>
  </si>
  <si>
    <t>bios.alderlake,bios.arrowlake,bios.lunarlake,bios.meteorlake,bios.raptorlake,ifwi.raptorlake</t>
  </si>
  <si>
    <t>Verify "Password Policy" is set to "Any Time" under MEBx Setup option in BIOS</t>
  </si>
  <si>
    <t>CSS-IVE-145657</t>
  </si>
  <si>
    <t>Verify BIOS integrated MEBx menu is not exposed with Consumer BIOS with Vpro supported Silicon</t>
  </si>
  <si>
    <t>CSS-IVE-145661</t>
  </si>
  <si>
    <t>Verify Provisioning AMT over AIC LAN from BIOS setup options using Static IP and check for KVM connectivity</t>
  </si>
  <si>
    <t>CSS-IVE-145873</t>
  </si>
  <si>
    <t>Verify that Ctrl+P option should not displayed during SUT boot  and should not enter into MEBx windows with ME Corporate SKU</t>
  </si>
  <si>
    <t>CSS-IVE-145877</t>
  </si>
  <si>
    <t>Verify System Boot with  "Dual Tau Boost" option Enabled /Disabled Post Sx</t>
  </si>
  <si>
    <t>CSS-IVE-133571</t>
  </si>
  <si>
    <t>bios.alderlake,bios.arrowlake,bios.cometlake,bios.lunarlake,bios.meteorlake,bios.pantherlake,bios.pantherlake-p,bios.raptorlake,bios.rocketlake</t>
  </si>
  <si>
    <t>Verify System Boot with  "Dual Tau Boost" option Enabled /disabled</t>
  </si>
  <si>
    <t>CSS-IVE-133570</t>
  </si>
  <si>
    <t>bios.alderlake,bios.arrowlake,bios.cometlake,bios.lunarlake,bios.meteorlake,bios.pantherlake,bios.pantherlake-p,bios.raptorlake,bios.rocketlake,ifwi.arrowlake,ifwi.meteorlake</t>
  </si>
  <si>
    <t>BIOS should update the changes for SMBIOS type 7</t>
  </si>
  <si>
    <t>CSS-IVE-50533</t>
  </si>
  <si>
    <t>akakix</t>
  </si>
  <si>
    <t>bios.pch,bios.platform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</si>
  <si>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pantherlake-s,bios.raptorlake,bios.raptorlake_refresh,bios.rocketlake,bios.skylake,bios.tigerlake,bios.whiskeylake</t>
  </si>
  <si>
    <t>Verify Processor reaches all P-states irrespective of C-states</t>
  </si>
  <si>
    <t>CSS-IVE-50806</t>
  </si>
  <si>
    <t>bios.alderlake,bios.amberlake,bios.amberlake_7w,bios.apollolake,bios.arrowlake,bios.broxton,bios.cannonlake,bios.coffeelake,bios.cometlake,bios.geminilake,bios.icelake-client,bios.jasperlake,bios.kabylake,bios.kabylake_r,bios.lakefield,bios.lunarlake,bios.meteorlake,bios.raptorlake,bios.rocketlake,bios.skylake,bios.tigerlake,bios.whiskeylake,ifwi.coffeelake</t>
  </si>
  <si>
    <t>Verify flex ratio can be set between HFM and LFM ratio</t>
  </si>
  <si>
    <t>CSS-IVE-50834</t>
  </si>
  <si>
    <t>bios.alderlake,bios.amberlake,bios.amberlake_7w,bios.arrowlake,bios.cannonlake,bios.coffeelake,bios.cometlake,bios.icelake-client,bios.kabylake,bios.kabylake_r,bios.lunarlake,bios.meteorlake,bios.raptorlake,bios.raptorlake_refresh,bios.rocketlake,bios.skylake,bios.tigerlake</t>
  </si>
  <si>
    <t>Verify CPU switches between all P-states when Number of P states set to 0</t>
  </si>
  <si>
    <t>CSS-IVE-50711</t>
  </si>
  <si>
    <t>bios.cpu_pm,fw.ifwi.others,fw.ifwi.pmc</t>
  </si>
  <si>
    <t>bios.alderlake,bios.amberlake,bios.arrowlake,bios.cannonlake,bios.coffeelake,bios.cometlake,bios.icelake-client,bios.jasperlake,bios.kabylake,bios.kabylake_r,bios.lakefield,bios.lunarlake,bios.meteorlake,bios.raptorlake,bios.rocketlake,bios.tigerlake,bios.whiskeylake,ifwi.arrowlake,ifwi.lunarlake,ifwi.meteorlake,ifwi.raptorlake</t>
  </si>
  <si>
    <t>Verify Bios gives an option to configure Intel Processor Trace Feature(RTIT)</t>
  </si>
  <si>
    <t>CSS-IVE-50714</t>
  </si>
  <si>
    <t>bios.alderlake,bios.amberlake,bios.arrowlake,bios.cannonlake,bios.icelake-client,bios.jasperlake,bios.kabylake,bios.kabylake_r,bios.lunarlake,bios.meteorlake,bios.pantherlake,bios.pantherlake-p,bios.raptorlake,bios.rocketlake,bios.tigerlake</t>
  </si>
  <si>
    <t>BIOS should update the changes for SMBIOS type 4 [Processor Information]</t>
  </si>
  <si>
    <t>CSS-IVE-50532</t>
  </si>
  <si>
    <t>Verify Platform PL1 and PL2 Bios options</t>
  </si>
  <si>
    <t>CSS-IVE-70972</t>
  </si>
  <si>
    <t>bios.alderlake,bios.amberlake,bios.arrowlake,bios.cannonlake,bios.coffeelake,bios.cometlake,bios.icelake-client,bios.jasperlake,bios.kabylake,bios.kabylake_r,bios.lakefield,bios.lunarlake,bios.meteorlake,bios.pantherlake,bios.pantherlake-p,bios.raptorlake,bios.rocketlake,bios.tigerlake,bios.whiskeylake</t>
  </si>
  <si>
    <t>Verify that BIOS gives an option to change Tcc Activation Offset</t>
  </si>
  <si>
    <t>CSS-IVE-80988</t>
  </si>
  <si>
    <t>bios.alderlake,bios.amberlake,bios.arrowlake,bios.cannonlake,bios.cometlake,bios.icelake-client,bios.kabylake,bios.kabylake_r,bios.lunarlake,bios.meteorlake,bios.raptorlake,bios.raptorlake_refresh,bios.rocketlake,bios.tigerlake</t>
  </si>
  <si>
    <t>Verify C-state residencies during Connected Modern Standby/S0i3 with system in AC mode</t>
  </si>
  <si>
    <t>CSS-IVE-101382</t>
  </si>
  <si>
    <t>bios.alderlake,bios.amberlake,bios.arrowlake,bios.cannonlake,bios.coffeelake,bios.cometlake,bios.geminilake,bios.icelake-client,bios.kabylake,bios.kabylake_r,bios.lunarlake,bios.meteorlake,bios.pantherlake,bios.pantherlake-p,bios.raptorlake,bios.rocketlake,bios.tigerlake,bios.whiskeylake,ifwi.amberlake,ifwi.arrowlake,ifwi.cannonlake,ifwi.coffeelake,ifwi.cometlake,ifwi.geminilake,ifwi.icelake,ifwi.kabylake,ifwi.kabylake_r,ifwi.meteorlake,ifwi.tigerlake,ifwi.whiskeylake</t>
  </si>
  <si>
    <t>Verify if Intel SelfTest completes successfully</t>
  </si>
  <si>
    <t>CSS-IVE-101752</t>
  </si>
  <si>
    <t>bios.platform,fw.ifwi.bios</t>
  </si>
  <si>
    <t>bios.alderlake,bios.amberlake,bios.amberlake_7w,bios.apollolake,bios.arrowlake,bios.cannonlake,bios.coffeelake,bios.cometlake,bios.geminilake,bios.icelake-client,bios.kabylake,bios.kabylake_r,bios.lakefield,bios.lunarlake,bios.meteorlake,bios.raptorlake,bios.rocketlake,bios.tigerlake,bios.whiskeylake,ifwi.amberlake,ifwi.apollolake,ifwi.arrowlake,ifwi.cannonlake,ifwi.coffeelake,ifwi.cometlake,ifwi.geminilake,ifwi.icelake,ifwi.kabylake,ifwi.kabylake_r,ifwi.lakefield,ifwi.lunarlake,ifwi.meteorlake,ifwi.raptorlake,ifwi.tigerlake,ifwi.whiskeylake</t>
  </si>
  <si>
    <t>Verify Chipset information displayed in BIOS</t>
  </si>
  <si>
    <t>CSS-IVE-86458</t>
  </si>
  <si>
    <t>bios.alderlake,bios.arrowlake,bios.cannonlake,bios.coffeelake,bios.cometlake,bios.icelake-client,bios.jasperlake,bios.lakefield,bios.lunarlake,bios.meteorlake,bios.pantherlake,bios.pantherlake-p,bios.raptorlake,bios.raptorlake_refresh,bios.rocketlake,bios.tigerlake,bios.whiskeylake,ifwi.alderlake</t>
  </si>
  <si>
    <t>Validate system residency for SLP_S0 post audio playback in Connected MOS/S0i3 mode</t>
  </si>
  <si>
    <t>CSS-IVE-102254</t>
  </si>
  <si>
    <t>bios.alderlake,bios.amberlake,bios.arrowlake,bios.cannonlake,bios.coffeelake,bios.cometlake,bios.icelake-client,bios.jasperlake,bios.kabylake,bios.kabylake_r,bios.lakefield,bios.lunarlake,bios.meteorlake,bios.pantherlake,bios.pantherlake-p,bios.raptorlake,bios.rocketlake,bios.tigerlake,bios.whiskeylake,ifwi.amberlake,ifwi.cannonlake,ifwi.coffeelake,ifwi.cometlake,ifwi.icelake,ifwi.kabylake,ifwi.kabylake_r,ifwi.lakefield,ifwi.tigerlake,ifwi.whiskeylake</t>
  </si>
  <si>
    <t>Verify platform"s Power Limit 1 and Power Limit 2 values</t>
  </si>
  <si>
    <t>CSS-IVE-118232</t>
  </si>
  <si>
    <t>bios.alderlake,bios.arrowlake,bios.icelake-client,bios.lunarlake,bios.meteorlake,bios.raptorlake,bios.raptorlake_refresh,bios.tigerlake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</si>
  <si>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</si>
  <si>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</si>
  <si>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</si>
  <si>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</si>
  <si>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bios.alderlake,bios.arrowlake,bios.icelake-client,bios.lunarlake,bios.meteorlake,bios.raptorlake,bios.tigerlake</t>
  </si>
  <si>
    <t>Verify user configured Power Limit 4 values pre and post Sx cycles</t>
  </si>
  <si>
    <t>CSS-IVE-118304</t>
  </si>
  <si>
    <t>bios.alderlake,bios.arrowlake,bios.icelake-client,bios.lunarlake,bios.meteorlake,bios.raptorlake,bios.rocketlake,bios.tigerlake</t>
  </si>
  <si>
    <t>Verify system stability on changing power state settings</t>
  </si>
  <si>
    <t>CSS-IVE-120310</t>
  </si>
  <si>
    <t>bios.alderlake,bios.arrowlake,bios.lunarlake,bios.meteorlake,bios.pantherlake,bios.pantherlake-p,bios.raptorlake,bios.rocketlake,bios.tigerlake</t>
  </si>
  <si>
    <t>Verify Bios enters exclusive mode to initialize Elixir Spring patch and exits exclusive mode successfully</t>
  </si>
  <si>
    <t>CSS-IVE-130035</t>
  </si>
  <si>
    <t>bios.alderlake,bios.raptorlake</t>
  </si>
  <si>
    <t>[Hybrid]Verify that BIOS can have active processor cores with Hyper Threading (SMT) enabled in [Dual Big core + Octa Small core] SKUs with Small cores  Enabled(2C+8A)</t>
  </si>
  <si>
    <t>CSS-IVE-135510</t>
  </si>
  <si>
    <t>bios.alderlake,bios.arrowlake,bios.meteorlake,bios.raptorlake,bios.raptorlake_refresh</t>
  </si>
  <si>
    <t>[Hybrid]Verify that BIOS can have active processor cores with Hyper Threading (SMT) enabled in [Octa Big Core + Octa Small Core] SKUs when Small cores and Big core is Enabled (8C+8A)</t>
  </si>
  <si>
    <t>CSS-IVE-135511</t>
  </si>
  <si>
    <t>bios.alderlake,bios.pantherlake,bios.pantherlake-p,bios.pantherlake-s,bios.raptorlake,bios.raptorlake_refresh</t>
  </si>
  <si>
    <t>[Hybrid]Verify that BIOS can have active processor cores with Hyper Threading (SMT) enabled in [Dual Big Core+Octa Small cores] SKUs with Small cores and Big Core is enabled (2C+8A)</t>
  </si>
  <si>
    <t>CSS-IVE-135513</t>
  </si>
  <si>
    <t>bios.alderlake,bios.arrowlake,bios.meteorlake,bios.raptorlake</t>
  </si>
  <si>
    <t>[Hybrid]Verify 3D benchmark tool  on Hybrid Processor When Big and Small Cores are enabled</t>
  </si>
  <si>
    <t>CSS-IVE-135517</t>
  </si>
  <si>
    <t>bios.alderlake,bios.arrowlake,bios.lunarlake,bios.meteorlake,bios.raptorlake,bios.raptorlake_refresh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</si>
  <si>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</si>
  <si>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</si>
  <si>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</si>
  <si>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</si>
  <si>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</si>
  <si>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</si>
  <si>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</si>
  <si>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</si>
  <si>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</si>
  <si>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</si>
  <si>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bios.alderlake,bios.arrowlake,bios.lunarlake,bios.raptorlake,bios.raptorlake_refresh</t>
  </si>
  <si>
    <t>[Hybrid]Verify that BIOS can have active processor cores with Hyper Threading (SMT) enabled in Hetero Big Core SKUs with  all Small cores disabled</t>
  </si>
  <si>
    <t>CSS-IVE-145268</t>
  </si>
  <si>
    <t>Verify CNVi BT/ WiFi enumeration in the device manager when BT/WiFI core enabled and disabled in the setup</t>
  </si>
  <si>
    <t>CSS-IVE-147222</t>
  </si>
  <si>
    <t>pvenka5x</t>
  </si>
  <si>
    <t>bios.alderlake,bios.arrowlake,bios.lunarlake,bios.meteorlake,bios.pantherlake,bios.pantherlake-p,bios.raptorlake,bios.raptorlake_refresh</t>
  </si>
  <si>
    <t>Verify no errors or failures get registered as part of event viewer log post Sx cycles</t>
  </si>
  <si>
    <t>CSS-IVE-65922</t>
  </si>
  <si>
    <t>bios.alderlake,bios.amberlake,bios.apollolake,bios.arrowlake,bios.cannonlake,bios.coffeelake,bios.cometlake,bios.geminilake,bios.icelake-client,bios.jasperlake,bios.kabylake,bios.kabylake_r,bios.lunarlake,bios.meteorlake,bios.pantherlake-s,bios.raptorlake,bios.rocketlake,bios.tigerlake,bios.whiskeylake</t>
  </si>
  <si>
    <t>Verify system stability post applying workload on CPU</t>
  </si>
  <si>
    <t>CSS-IVE-69090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</si>
  <si>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coffeelake</t>
  </si>
  <si>
    <t>Verify Legacy USB devices (Pendrive, Mouse and Keyboard) functionality over TBT port after S3 ,S4 and S5 Cycles</t>
  </si>
  <si>
    <t>CSS-IVE-70874</t>
  </si>
  <si>
    <t>bios.alderlake,bios.amberlake,bios.arrowlake,bios.cannonlake,bios.coffeelake,bios.cometlake,bios.icelake-client,bios.kabylake,bios.kabylake_r,bios.lunarlake,bios.meteorlake,bios.raptorlake,bios.raptorlake_refresh,bios.rocketlake,bios.tigerlake,bios.whiskeylake,ifwi.amberlake,ifwi.arrowlake,ifwi.cannonlake,ifwi.coffeelake,ifwi.cometlake,ifwi.icelake,ifwi.kabylake,ifwi.kabylake_r,ifwi.lunarlake,ifwi.meteorlake,ifwi.raptorlake,ifwi.raptorlake_refresh,ifwi.tigerlake,ifwi.whiskeylake</t>
  </si>
  <si>
    <t>Verify TBT Boot to OS functionality using Thunderbolt 3 SSD</t>
  </si>
  <si>
    <t>CSS-IVE-71016</t>
  </si>
  <si>
    <t>bios.platform,bios.sa,fw.ifwi.MGPhy,fw.ifwi.dekelPhy,fw.ifwi.iom,fw.ifwi.pmc,fw.ifwi.sam,fw.ifwi.tbt</t>
  </si>
  <si>
    <t>bios.alderlake,bios.amberlake,bios.arrowlake,bios.cannonlake,bios.coffeelake,bios.cometlake,bios.icelake-client,bios.kabylake,bios.kabylake_r,bios.lunarlake,bios.pantherlake-h,bios.pantherlake-p,bios.pantherlake-u,bios.raptorlake,bios.raptorlake_refresh,bios.rocketlake,bios.tigerlake,bios.whiskeylake,ifwi.amberlake,ifwi.cannonlake,ifwi.coffeelake,ifwi.cometlake,ifwi.icelake,ifwi.kabylake,ifwi.kabylake_r,ifwi.lunarlake,ifwi.raptorlake_refresh,ifwi.tigerlake,ifwi.whiskeylake</t>
  </si>
  <si>
    <t>Verify System entry to Sx states via command line</t>
  </si>
  <si>
    <t>CSS-IVE-72703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</si>
  <si>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</t>
  </si>
  <si>
    <t>Verify ACPI table for S0ix Support</t>
  </si>
  <si>
    <t>CSS-IVE-76043</t>
  </si>
  <si>
    <t>bios.cpu_pm,bios.sa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</si>
  <si>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</t>
  </si>
  <si>
    <t>Verify system wakes from CMS / S0i3 state successfully via USB Keyboard</t>
  </si>
  <si>
    <t>CSS-IVE-81127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</si>
  <si>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raptorlake,bios.raptorlake_refresh,bios.rocketlake,bios.skylake,bios.tigerlake,bios.whiskeylake,ifwi.alderlake,ifwi.amberlake,ifwi.coffeelake,ifwi.cometlake,ifwi.icelake,ifwi.jasperlake,ifwi.kabylake,ifwi.kabylake_r,ifwi.rocketlake,ifwi.skylake</t>
  </si>
  <si>
    <t>Verify DP display &amp; USB Keyboard functionality over USB Type-C port during Pre and Post boot</t>
  </si>
  <si>
    <t>CSS-IVE-86260</t>
  </si>
  <si>
    <t>bios.alderlake,bios.arrowlake,bios.geminilake,bios.icelake-client,bios.jasperlake,bios.lakefield,bios.lunarlake,bios.meteorlake,bios.pantherlake,bios.pantherlake-p,bios.raptorlake,bios.raptorlake_refresh,bios.rocketlake,bios.tigerlake</t>
  </si>
  <si>
    <t>Verify On-Board Audio ADSP is Functional</t>
  </si>
  <si>
    <t>CSS-IVE-73619</t>
  </si>
  <si>
    <t>bios.pch,fw.ifwi.pchc</t>
  </si>
  <si>
    <t>bios.alderlake,bios.amberlake,bios.amberlake_7w,bios.arrowlake,bios.cannonlake,bios.coffeelake,bios.cometlake,bios.icelake-client,bios.kabylake,bios.kabylake_r,bios.lunarlake,bios.meteorlake,bios.raptorlake,bios.rocketlake,bios.tigerlake,bios.whiskeylake,ifwi.amberlake,ifwi.arrowlake,ifwi.cannonlake,ifwi.coffeelake,ifwi.cometlake,ifwi.icelake,ifwi.kabylake,ifwi.kabylake_r,ifwi.lunarlake,ifwi.meteorlake,ifwi.raptorlake,ifwi.tigerlake,ifwi.whiskeylake</t>
  </si>
  <si>
    <t>Verify BT data transfer functionality using discrete BT module connected to System</t>
  </si>
  <si>
    <t>CSS-IVE-85721</t>
  </si>
  <si>
    <t>bios.alderlake,bios.arrowlake,bios.cannonlake,bios.coffeelake,bios.cometlake,bios.geminilake,bios.icelake-client,bios.jasperlake,bios.lakefield,bios.lunarlake,bios.meteorlake,bios.pantherlake,bios.pantherlake-p,bios.raptorlake,bios.raptorlake_refresh,bios.rocketlake,bios.tigerlake,bios.whiskeylake,ifwi.arrowlake,ifwi.cannonlake,ifwi.coffeelake,ifwi.cometlake,ifwi.geminilake,ifwi.icelake,ifwi.lakefield,ifwi.lunarlake,ifwi.meteorlake,ifwi.raptorlake,ifwi.raptorlake_refresh,ifwi.tigerlake,ifwi.whiskeylake</t>
  </si>
  <si>
    <t>Verify system state post flashing IFWI on an eSPI enabled system</t>
  </si>
  <si>
    <t>CSS-IVE-86215</t>
  </si>
  <si>
    <t>bios.alderlake,bios.arrowlake,bios.cannonlake,bios.cometlake,bios.geminilake,bios.icelake-client,bios.jasperlake,bios.lunarlake,bios.meteorlake,bios.raptorlake,bios.raptorlake_refresh,bios.rocketlake,bios.tigerlake,bios.whiskeylake,ifwi.cannonlake,ifwi.cometlake,ifwi.geminilake,ifwi.icelake,ifwi.lunarlake,ifwi.raptorlake,ifwi.tigerlake,ifwi.whiskeylake</t>
  </si>
  <si>
    <t>Verify Post Codes for Connected Standby entry and exit</t>
  </si>
  <si>
    <t>CSS-IVE-80326</t>
  </si>
  <si>
    <t>bios.alderlake,bios.amberlake,bios.arrowlake,bios.cannonlake,bios.coffeelake,bios.cometlake,bios.icelake-client,bios.jasperlake,bios.kabylake,bios.kabylake_r,bios.lakefield,bios.lunarlake,bios.meteorlake,bios.raptorlake,bios.raptorlake_refresh,bios.rocketlake,bios.tigerlake,bios.whiskeylake,ifwi.coffeelake</t>
  </si>
  <si>
    <t>Verify BIOS passes all PEP Constraints using WOS PEP BIOS Checker tool</t>
  </si>
  <si>
    <t>CSS-IVE-92262</t>
  </si>
  <si>
    <t>bios.alderlake,bios.amberlake,bios.amberlake_7w,bios.apollolake,bios.arrowlake,bios.cannonlake,bios.coffeelake,bios.cometlake,bios.geminilake,bios.icelake-client,bios.kabylake,bios.kabylake_r,bios.lakefield,bios.lunarlake,bios.meteorlake,bios.pantherlake,bios.pantherlake-p,bios.pantherlake-s,bios.raptorlake,bios.rocketlake,bios.skylake,bios.tigerlake,bios.whiskeylake</t>
  </si>
  <si>
    <t>Validate system residency for SLP_S0 in CMS with system in AC mode</t>
  </si>
  <si>
    <t>CSS-IVE-92269</t>
  </si>
  <si>
    <t>Verify TBT Hot-Plug device functionality after CMS cycling</t>
  </si>
  <si>
    <t>CSS-IVE-118728</t>
  </si>
  <si>
    <t>bios.alderlake,bios.arrowlake,bios.cannonlake,bios.coffeelake,bios.cometlake,bios.icelake-client,bios.kabylake,bios.kabylake_r,bios.lunarlake,bios.meteorlake,bios.raptorlake,bios.raptorlake_refresh,bios.rocketlake,bios.tigerlake,bios.whiskeylake</t>
  </si>
  <si>
    <t>Validate PEP constraints and Hardware low power residency is achieved using sleepstudy command</t>
  </si>
  <si>
    <t>CSS-IVE-92272</t>
  </si>
  <si>
    <t>bios.alderlake,bios.amberlake,bios.arrowlake,bios.cannonlake,bios.coffeelake,bios.cometlake,bios.icelake-client,bios.kabylake,bios.kabylake_r,bios.lakefield,bios.lunarlake,bios.meteorlake,bios.raptorlake,bios.raptorlake_refresh,bios.rocketlake,bios.tigerlake,bios.whiskeylake</t>
  </si>
  <si>
    <t>Validate Type-C USB3.2 gen2x1 host mode functionality on hot insert and removal over Type-C port</t>
  </si>
  <si>
    <t>CSS-IVE-94314</t>
  </si>
  <si>
    <t>bios.alderlake,bios.arrowlake,bios.cannonlake,bios.coffeelake,bios.cometlake,bios.geminilake,bios.icelake-client,bios.jasperlake,bios.kabylake_r,bios.lakefield,bios.lunarlake,bios.meteorlake,bios.pantherlake,bios.pantherlake-p,bios.raptorlake,bios.raptorlake_refresh,bios.rocketlake,bios.tigerlake,bios.whiskeylake,ifwi.arrowlake,ifwi.cannonlake,ifwi.coffeelake,ifwi.cometlake,ifwi.geminilake,ifwi.icelake,ifwi.kabylake_r,ifwi.lakefield,ifwi.lunarlake,ifwi.meteorlake,ifwi.raptorlake,ifwi.raptorlake_refresh,ifwi.tigerlake,ifwi.tigerlake_refresh,ifwi.whiskeylake</t>
  </si>
  <si>
    <t>Verify RTD3 flow support for Type-C USB3.1 device</t>
  </si>
  <si>
    <t>CSS-IVE-94319</t>
  </si>
  <si>
    <t>bios.alderlake,bios.arrowlake,bios.cannonlake,bios.coffeelake,bios.icelake-client,bios.jasperlake,bios.kabylake_r,bios.lakefield,bios.lunarlake,bios.meteorlake,bios.pantherlake,bios.pantherlake-h,bios.pantherlake-p,bios.pantherlake-u,bios.raptorlake,bios.raptorlake_refresh,bios.rocketlake,bios.tigerlake,bios.whiskeylake</t>
  </si>
  <si>
    <t>Verify System wont wake from Connected-MoS when HDMI display "hot plug-in" and "hot plug-out"</t>
  </si>
  <si>
    <t>CSS-IVE-99212</t>
  </si>
  <si>
    <t>bios.cpu_pm,fw.ifwi.pmc</t>
  </si>
  <si>
    <t>bios.alderlake,bios.amberlake,bios.arrowlake,bios.cannonlake,bios.coffeelake,bios.cometlake,bios.icelake-client,bios.kabylake,bios.kabylake_r,bios.lakefield,bios.lunarlake,bios.meteorlake,bios.raptorlake,bios.rocketlake,bios.tigerlake,bios.whiskeylake,ifwi.amberlake,ifwi.arrowlake,ifwi.cannonlake,ifwi.coffeelake,ifwi.cometlake,ifwi.icelake,ifwi.kabylake,ifwi.kabylake_r,ifwi.lakefield,ifwi.lunarlake,ifwi.meteorlake,ifwi.raptorlake,ifwi.tigerlake,ifwi.whiskeylake</t>
  </si>
  <si>
    <t>Verify C-state low power audio residency on system entry and exit to low power state with audio playback</t>
  </si>
  <si>
    <t>CSS-IVE-99448</t>
  </si>
  <si>
    <t>bios.alderlake,bios.amberlake,bios.arrowlake,bios.broxton,bios.cannonlake,bios.coffeelake,bios.cometlake,bios.geminilake,bios.icelake-client,bios.jasperlake,bios.kabylake,bios.kabylake_r,bios.lakefield,bios.lunarlake,bios.meteorlake,bios.raptorlake,bios.raptorlake_refresh,bios.rocketlake,bios.skylake,bios.tigerlake,bios.whiskeylake,ifwi.amberlake,ifwi.arrowlake,ifwi.broxton,ifwi.cannonlake,ifwi.coffeelake,ifwi.cometlake,ifwi.geminilake,ifwi.icelake,ifwi.kabylake,ifwi.kabylake_r,ifwi.lakefield,ifwi.lunarlake,ifwi.meteorlake,ifwi.raptorlake,ifwi.raptorlake_refresh,ifwi.tigerlake,ifwi.whiskeylake</t>
  </si>
  <si>
    <t>Verify USB device functionality at EFI shell connected over Type-C port</t>
  </si>
  <si>
    <t>CSS-IVE-99695</t>
  </si>
  <si>
    <t>bios.alderlake,bios.arrowlake,bios.cannonlake,bios.coffeelake,bios.cometlake,bios.geminilake,bios.icelake-client,bios.jasperlake,bios.kabylake,bios.kabylake_r,bios.lakefield,bios.lunarlake,bios.meteorlake,bios.pantherlake,bios.pantherlake-p,bios.pantherlake-s,bios.raptorlake,bios.raptorlake_refresh,bios.rocketlake,bios.tigerlake,bios.tigerlake_refresh,bios.whiskeylake,ifwi.cannonlake,ifwi.coffeelake,ifwi.cometlake,ifwi.geminilake,ifwi.icelake,ifwi.kabylake_r,ifwi.lakefield,ifwi.raptorlake_refresh,ifwi.tigerlake,ifwi.whiskeylake</t>
  </si>
  <si>
    <t>[TBT] Verify SUT wake from S3/S4 using TBT-Dock connected over TBT port</t>
  </si>
  <si>
    <t>CSS-IVE-99961</t>
  </si>
  <si>
    <t>bios.alderlake,bios.amberlake,bios.arrowlake,bios.cannonlake,bios.coffeelake,bios.cometlake,bios.icelake-client,bios.kabylake,bios.kabylake_r,bios.lunarlake,bios.meteorlake,bios.pantherlake,bios.pantherlake-p,bios.raptorlake,bios.rocketlake,bios.tigerlake,bios.whiskeylake</t>
  </si>
  <si>
    <t>[TBT] Verify SUT wake from S3/S4 using Type-C dock connected over TBT port</t>
  </si>
  <si>
    <t>CSS-IVE-99962</t>
  </si>
  <si>
    <t>bios.alderlake,bios.arrowlake,bios.cannonlake,bios.coffeelake,bios.cometlake,bios.icelake-client,bios.kabylake,bios.kabylake_r,bios.lunarlake,bios.meteorlake,bios.pantherlake,bios.pantherlake-p,bios.raptorlake,bios.raptorlake_refresh,bios.rocketlake,bios.tigerlake,bios.whiskeylake</t>
  </si>
  <si>
    <t>Verify Discrete BT ON-OFF-ON functionality in OS</t>
  </si>
  <si>
    <t>CSS-IVE-99735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</si>
  <si>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arrowlake,ifwi.cannonlake,ifwi.coffeelake,ifwi.cometlake,ifwi.geminilake,ifwi.icelake,ifwi.kabylake,ifwi.kabylake_r,ifwi.lakefield,ifwi.lunarlake,ifwi.meteorlake,ifwi.raptorlake,ifwi.raptorlake_refresh,ifwi.tigerlake,ifwi.whiskeylake</t>
  </si>
  <si>
    <t>Verify CNVi WLAN ON-OFF-ON functionality in OS</t>
  </si>
  <si>
    <t>CSS-IVE-99944</t>
  </si>
  <si>
    <t>bios.alderlake,bios.arrowlake,bios.cannonlake,bios.coffeelake,bios.cometlake,bios.geminilake,bios.icelake-client,bios.jasperlake,bios.lunarlake,bios.meteorlake,bios.raptorlake,bios.raptorlake_refresh,bios.rocketlake,bios.tigerlake,bios.whiskeylake,ifwi.arrowlake,ifwi.cannonlake,ifwi.coffeelake,ifwi.cometlake,ifwi.geminilake,ifwi.icelake,ifwi.lunarlake,ifwi.meteorlake,ifwi.raptorlake,ifwi.raptorlake_refresh,ifwi.tigerlake,ifwi.whiskeylake</t>
  </si>
  <si>
    <t>Verify system enters Sleep (S3) using "ALT+F4"</t>
  </si>
  <si>
    <t>CSS-IVE-99978</t>
  </si>
  <si>
    <t>bios.alderlake,bios.amberlake,bios.apollolake,bios.arrowlake,bios.cannonlake,bios.coffeelake,bios.cometlake,bios.geminilake,bios.icelake-client,bios.jasperlake,bios.kabylake,bios.kabylake_r,bios.meteorlake,bios.pantherlake,bios.pantherlake-p,bios.raptorlake,bios.raptorlake_refresh,bios.rocketlake,bios.tigerlake,bios.whiskeylake</t>
  </si>
  <si>
    <t>Verify system enters Sleep (S3) using  OS start Menu</t>
  </si>
  <si>
    <t>CSS-IVE-99982</t>
  </si>
  <si>
    <t>bios.platform,fw.ifwi.pmc</t>
  </si>
  <si>
    <t>bios.alderlake,bios.amberlake,bios.apollolake,bios.arrowlake,bios.cannonlake,bios.coffeelake,bios.cometlake,bios.geminilake,bios.icelake-client,bios.jasperlake,bios.kabylake,bios.kabylake_r,bios.meteorlake,bios.pantherlake,bios.pantherlake-p,bios.pantherlake-s,bios.raptorlake,bios.raptorlake_refresh,bios.rocketlake,bios.skylake,bios.tigerlake,bios.whiskeylake,ifwi.arrowlake,ifwi.meteorlake,ifwi.raptorlake</t>
  </si>
  <si>
    <t>Verify USB 3.1 Gen1 (Type-C) Device functionality in Host Router before/after Sx Cycles</t>
  </si>
  <si>
    <t>CSS-IVE-84736</t>
  </si>
  <si>
    <t>bios.alderlake,bios.amberlake,bios.arrowlake,bios.cannonlake,bios.coffeelake,bios.cometlake,bios.icelake-client,bios.kabylake,bios.kabylake_r,bios.lunarlake,bios.meteorlake,bios.pantherlake,bios.pantherlake-p,bios.raptorlake,bios.raptorlake_refresh,bios.rocketlake,bios.tigerlake,bios.whiskeylake,ifwi.amberlake,ifwi.cannonlake,ifwi.coffeelake,ifwi.cometlake,ifwi.icelake,ifwi.kabylake,ifwi.kabylake_r,ifwi.raptorlake_refresh,ifwi.tigerlake,ifwi.whiskeylake</t>
  </si>
  <si>
    <t>Verify TBT device functionality before/after CMS cycling</t>
  </si>
  <si>
    <t>CSS-IVE-84761</t>
  </si>
  <si>
    <t>bios.platform,bios.sa,fw.ifwi.iom,fw.ifwi.pmc,fw.ifwi.tbt</t>
  </si>
  <si>
    <t>bios.alderlake,bios.arrowlake,bios.cannonlake,bios.coffeelake,bios.cometlake,bios.icelake-client,bios.kabylake,bios.kabylake_r,bios.lunarlake,bios.meteorlake,bios.raptorlake,bios.raptorlake_refresh,bios.rocketlake,bios.tigerlake,bios.whiskeylake,ifwi.arrowlake,ifwi.meteorlake,ifwi.raptorlake_refresh</t>
  </si>
  <si>
    <t>Verify system enters Sleep (S3) using OS start Menu or using "ALT+F4" in alternate validation cycle</t>
  </si>
  <si>
    <t>CSS-IVE-132965</t>
  </si>
  <si>
    <t>[TBT] Verify SUT wake from S3/S4 using USB Lan Adapter over TBT connector</t>
  </si>
  <si>
    <t>CSS-IVE-84623</t>
  </si>
  <si>
    <t>bios.alderlake,bios.amberlake,bios.arrowlake,bios.cannonlake,bios.coffeelake,bios.icelake-client,bios.kabylake,bios.kabylake_r,bios.lunarlake,bios.meteorlake,bios.pantherlake,bios.pantherlake-p,bios.pantherlake-s,bios.raptorlake,bios.raptorlake_refresh,bios.rocketlake,bios.tigerlake,bios.whiskeylake</t>
  </si>
  <si>
    <t>[TBT] Verify USB 2.0 Device functionality in Host Router before/after Sx cycles</t>
  </si>
  <si>
    <t>CSS-IVE-84628</t>
  </si>
  <si>
    <t>bios.alderlake,bios.amberlake,bios.arrowlake,bios.cannonlake,bios.coffeelake,bios.cometlake,bios.icelake-client,bios.kabylake,bios.kabylake_r,bios.lunarlake,bios.meteorlake,bios.raptorlake,bios.raptorlake_refresh,bios.rocketlake,bios.tigerlake,bios.whiskeylake,ifwi.amberlake,ifwi.cannonlake,ifwi.coffeelake,ifwi.cometlake,ifwi.icelake,ifwi.kabylake,ifwi.kabylake_r,ifwi.raptorlake_refresh,ifwi.tigerlake,ifwi.tigerlake_refresh,ifwi.whiskeylake</t>
  </si>
  <si>
    <t>[TBT] Verify DP display functionality on hot-plug and after Sx states over TBT port</t>
  </si>
  <si>
    <t>CSS-IVE-100027</t>
  </si>
  <si>
    <t>bios.alderlake,bios.amberlake,bios.arrowlake,bios.cannonlake,bios.coffeelake,bios.cometlake,bios.icelake-client,bios.kabylake,bios.kabylake_r,bios.lunarlake,bios.meteorlake,bios.pantherlake,bios.pantherlake-h,bios.pantherlake-p,bios.pantherlake-u,bios.raptorlake,bios.raptorlake_refresh,bios.rocketlake,bios.tigerlake,bios.whiskeylake,ifwi.lunarlake</t>
  </si>
  <si>
    <t>Verify TouchPad option Enable/Disable in BIOS</t>
  </si>
  <si>
    <t>CSS-IVE-97325</t>
  </si>
  <si>
    <t>bios.alderlake,bios.amberlake,bios.apollolake,bios.arrowlake,bios.cannonlake,bios.coffeelake,bios.cometlake,bios.geminilake,bios.icelake-client,bios.jasperlake,bios.kabylake,bios.kabylake_r,bios.lunarlake,bios.meteorlake,bios.raptorlake,bios.skylake,bios.tigerlake,bios.whiskeylake,ifwi.amberlake,ifwi.apollolake,ifwi.cannonlake,ifwi.coffeelake,ifwi.cometlake,ifwi.geminilake,ifwi.icelake,ifwi.kabylake,ifwi.kabylake_r,ifwi.raptorlake,ifwi.tigerlake,ifwi.whiskeylake</t>
  </si>
  <si>
    <t>Verify Type-C Concurrent x4 DP, High Speed Device Functionality on Clod-plug</t>
  </si>
  <si>
    <t>CSS-IVE-101082</t>
  </si>
  <si>
    <t>bios.platform,bios.sa,fw.ifwi.MGPhy,fw.ifwi.dekelPhy,fw.ifwi.iom,fw.ifwi.pmc,fw.ifwi.tbt</t>
  </si>
  <si>
    <t>bios.alderlake,bios.arrowlake,bios.cannonlake,bios.coffeelake,bios.cometlake,bios.geminilake,bios.icelake-client,bios.jasperlake,bios.kabylake,bios.kabylake_r,bios.lakefield,bios.lunarlake,bios.meteorlake,bios.raptorlake,bios.raptorlake_refresh,bios.tigerlake,bios.whiskeylake,ifwi.cannonlake,ifwi.coffeelake,ifwi.cometlake,ifwi.geminilake,ifwi.icelake,ifwi.kabylake_r,ifwi.lakefield,ifwi.raptorlake_refresh,ifwi.tigerlake,ifwi.whiskeylake</t>
  </si>
  <si>
    <t>Verify S0ix/CS LED Status</t>
  </si>
  <si>
    <t>CSS-IVE-101352</t>
  </si>
  <si>
    <t>bios.alderlake,bios.arrowlake,bios.cannonlake,bios.coffeelake,bios.cometlake,bios.geminilake,bios.icelake-client,bios.jasperlake,bios.kabylake_r,bios.lakefield,bios.lunarlake,bios.meteorlake,bios.pantherlake,bios.pantherlake-p,bios.raptorlake,bios.raptorlake_refresh,bios.rocketlake,bios.tigerlake,bios.whiskeylake,ifwi.coffeelake</t>
  </si>
  <si>
    <t>Validate RTD3 for Touchpad</t>
  </si>
  <si>
    <t>CSS-IVE-101363</t>
  </si>
  <si>
    <t>bios.alderlake,bios.arrowlake,bios.cannonlake,bios.coffeelake,bios.cometlake,bios.icelake-client,bios.jasperlake,bios.lunarlake,bios.meteorlake,bios.pantherlake,bios.pantherlake-p,bios.pantherlake-s,bios.raptorlake,bios.raptorlake_refresh,bios.tigerlake,bios.whiskeylake,ifwi.cannonlake,ifwi.coffeelake,ifwi.cometlake,ifwi.icelake,ifwi.tigerlake,ifwi.whiskeylake</t>
  </si>
  <si>
    <t>Verify USB3 DbC Functionality</t>
  </si>
  <si>
    <t>CSS-IVE-101315</t>
  </si>
  <si>
    <t>bios.arrowlake,bios.cannonlake,bios.coffeelake,bios.cometlake,bios.icelake-client,bios.jasperlake,bios.lakefield,bios.lunarlake,bios.meteorlake,bios.pantherlake-s,bios.raptorlake,bios.raptorlake_refresh,bios.tigerlake,bios.whiskeylake,ifwi.arrowlake,ifwi.cannonlake,ifwi.coffeelake,ifwi.cometlake,ifwi.icelake,ifwi.lakefield,ifwi.lunarlake,ifwi.meteorlake,ifwi.pantherlake-p,ifwi.raptorlake,ifwi.tigerlake,ifwi.tigerlake_refresh,ifwi.whiskeylake</t>
  </si>
  <si>
    <t>Verify USB2 DbC Functionality</t>
  </si>
  <si>
    <t>CSS-IVE-101316</t>
  </si>
  <si>
    <t>bios.platform,fw.ifwi.pchc</t>
  </si>
  <si>
    <t>bios.alderlake,bios.arrowlake,bios.cannonlake,bios.coffeelake,bios.cometlake,bios.icelake-client,bios.jasperlake,bios.lakefield,bios.lunarlake,bios.meteorlake,bios.pantherlake-s,bios.raptorlake,bios.rocketlake,bios.tigerlake,bios.whiskeylake,ifwi.arrowlake,ifwi.cannonlake,ifwi.coffeelake,ifwi.cometlake,ifwi.icelake,ifwi.lakefield,ifwi.lunarlake,ifwi.meteorlake,ifwi.raptorlake,ifwi.tigerlake,ifwi.whiskeylake</t>
  </si>
  <si>
    <t>Verify detection and enumeration of 3.5mm Jack Wired headphones/headset</t>
  </si>
  <si>
    <t>CSS-IVE-101518</t>
  </si>
  <si>
    <t>bios.alderlake,bios.amberlake,bios.apollolake,bios.arrowlake,bios.broxton,bios.cannonlake,bios.geminilake,bios.icelake-client,bios.jasperlake,bios.kabylake,bios.kabylake_r,bios.lakefield,bios.lunarlake,bios.meteorlake,bios.raptorlake,bios.raptorlake_refresh,bios.rocketlake,bios.tigerlake,ifwi.amberlake,ifwi.apollolake,ifwi.arrowlake,ifwi.broxton,ifwi.cannonlake,ifwi.geminilake,ifwi.icelake,ifwi.kabylake,ifwi.kabylake_r,ifwi.lakefield,ifwi.meteorlake,ifwi.raptorlake,ifwi.raptorlake_refresh,ifwi.tigerlake</t>
  </si>
  <si>
    <t>Validate BIOS passes all PEP Constraints for DMS</t>
  </si>
  <si>
    <t>CSS-IVE-101522</t>
  </si>
  <si>
    <t>bios.cpu_pm,bios.platform</t>
  </si>
  <si>
    <t>bios.alderlake,bios.amberlake,bios.arrowlake,bios.cannonlake,bios.coffeelake,bios.cometlake,bios.geminilake,bios.icelake-client,bios.kabylake,bios.kabylake_r,bios.meteorlake,bios.pantherlake,bios.pantherlake-p,bios.raptorlake,bios.rocketlake,bios.tigerlake,bios.whiskeylake</t>
  </si>
  <si>
    <t>Verify Discrete BT Functionality with CNVi option Enabled in BIOS</t>
  </si>
  <si>
    <t>CSS-IVE-101553</t>
  </si>
  <si>
    <t>bios.alderlake,bios.arrowlake,bios.cannonlake,bios.coffeelake,bios.cometlake,bios.geminilake,bios.icelake-client,bios.jasperlake,bios.lunarlake,bios.meteorlake,bios.raptorlake,bios.raptorlake_refresh,bios.rocketlake,bios.tigerlake,bios.whiskeylake</t>
  </si>
  <si>
    <t>Verify CNVi Mode BIOS Options</t>
  </si>
  <si>
    <t>CSS-IVE-101555</t>
  </si>
  <si>
    <t>bios.alderlake,bios.arrowlake,bios.cannonlake,bios.coffeelake,bios.cometlake,bios.geminilake,bios.icelake-client,bios.jasperlake,bios.lunarlake,bios.meteorlake,bios.pantherlake,bios.pantherlake-p,bios.raptorlake,bios.raptorlake_refresh,bios.rocketlake,bios.tigerlake,bios.tigerlake_refresh,bios.whiskeylake,ifwi.arrowlake,ifwi.cannonlake,ifwi.coffeelake,ifwi.cometlake,ifwi.geminilake,ifwi.icelake,ifwi.raptorlake,ifwi.raptorlake_refresh,ifwi.tigerlake,ifwi.whiskeylake</t>
  </si>
  <si>
    <t>ME FW response and version check in EFI Shell</t>
  </si>
  <si>
    <t>CSS-IVE-101576</t>
  </si>
  <si>
    <t>bios.alderlake,bios.amberlake,bios.amberlake_7w,bios.arrowlake,bios.cannonlake,bios.coffeelake,bios.cometlake,bios.icelake-client,bios.kabylake,bios.kabylake_r,bios.lunarlake,bios.meteorlake,bios.raptorlake,bios.rocketlake,bios.skylake,bios.tigerlake,ifwi.amberlake,ifwi.arrowlake,ifwi.cannonlake,ifwi.cometlake,ifwi.icelake,ifwi.kabylake,ifwi.kabylake_r,ifwi.lunarlake,ifwi.meteorlake,ifwi.raptorlake,ifwi.skylake,ifwi.tigerlake</t>
  </si>
  <si>
    <t>Verify the SOL, USBr &amp; KVM values in Smbios type 130</t>
  </si>
  <si>
    <t>CSS-IVE-101914</t>
  </si>
  <si>
    <t>bios.arrowlake,bios.lunarlake,bios.meteorlake,bios.pantherlake,bios.pantherlake-p,bios.raptorlake,bios.raptorlake_refresh,ifwi.amberlake,ifwi.arrowlake,ifwi.cannonlake,ifwi.coffeelake,ifwi.cometlake,ifwi.kabylake,ifwi.kabylake_r,ifwi.raptorlake,ifwi.raptorlake_refresh,ifwi.tigerlake,ifwi.whiskeylake</t>
  </si>
  <si>
    <t>BIOS Hotkey combination (CTRL-ALT-F1) should display by the BIOS during boot process</t>
  </si>
  <si>
    <t>CSS-IVE-102067</t>
  </si>
  <si>
    <t>bios.alderlake,bios.amberlake,bios.amberlake_7w,bios.arrowlake,bios.coffeelake,bios.cometlake,bios.kabylake,bios.kabylake_r,bios.lunarlake,bios.meteorlake,bios.pantherlake,bios.pantherlake-p,bios.raptorlake,bios.skylake,bios.whiskeylake,ifwi.amberlake,ifwi.cannonlake,ifwi.coffeelake,ifwi.cometlake,ifwi.kabylake,ifwi.kabylake_r,ifwi.skylake,ifwi.tigerlake,ifwi.whiskeylake</t>
  </si>
  <si>
    <t>Verify DCI Enable BIOS policy/options</t>
  </si>
  <si>
    <t>CSS-IVE-102154</t>
  </si>
  <si>
    <t>bios.alderlake,bios.cannonlake,bios.coffeelake,bios.cometlake,bios.icelake-client,bios.jasperlake,bios.lakefield,bios.raptorlake,bios.raptorlake_refresh,bios.rocketlake,bios.tigerlake,bios.whiskeylake,ifwi.cannonlake,ifwi.coffeelake,ifwi.cometlake,ifwi.icelake,ifwi.lakefield,ifwi.raptorlake,ifwi.tigerlake,ifwi.whiskeylake</t>
  </si>
  <si>
    <t>Verify "Platform Debug Consent" BIOS option/policy</t>
  </si>
  <si>
    <t>CSS-IVE-102155</t>
  </si>
  <si>
    <t>bios.alderlake,bios.arrowlake,bios.cannonlake,bios.coffeelake,bios.cometlake,bios.icelake-client,bios.jasperlake,bios.lakefield,bios.lunarlake,bios.meteorlake,bios.pantherlake,bios.pantherlake-h,bios.pantherlake-p,bios.pantherlake-u,bios.raptorlake,bios.raptorlake_refresh,bios.rocketlake,bios.tigerlake,bios.whiskeylake</t>
  </si>
  <si>
    <t>Verify different power state changes on Modern standby enabled system</t>
  </si>
  <si>
    <t>CSS-IVE-102168</t>
  </si>
  <si>
    <t>bios.alderlake,bios.amberlake,bios.arrowlake,bios.cannonlake,bios.coffeelake,bios.cometlake,bios.icelake-client,bios.jasperlake,bios.kabylake,bios.kabylake_r,bios.lakefield,bios.lunarlake,bios.meteorlake,bios.pantherlake,bios.pantherlake-p,bios.raptorlake,bios.raptorlake_refresh,bios.rocketlake,bios.tigerlake,bios.whiskeylake,ifwi.amberlake,ifwi.arrowlake,ifwi.cannonlake,ifwi.coffeelake,ifwi.cometlake,ifwi.icelake,ifwi.jasperlake,ifwi.kabylake,ifwi.kabylake_r,ifwi.lakefield,ifwi.lunarlake,ifwi.meteorlake,ifwi.raptorlake,ifwi.raptorlake_refresh,ifwi.tigerlake,ifwi.whiskeylake</t>
  </si>
  <si>
    <t>Verify different power state changes on system post Sleep cycle</t>
  </si>
  <si>
    <t>CSS-IVE-102169</t>
  </si>
  <si>
    <t>bios.alderlake,bios.amberlake,bios.arrowlake,bios.cannonlake,bios.coffeelake,bios.cometlake,bios.icelake-client,bios.jasperlake,bios.kabylake,bios.kabylake_r,bios.lunarlake,bios.meteorlake,bios.raptorlake,bios.raptorlake_refresh,bios.rocketlake,bios.tigerlake,bios.whiskeylake,ifwi.amberlake,ifwi.arrowlake,ifwi.cannonlake,ifwi.coffeelake,ifwi.cometlake,ifwi.icelake,ifwi.jasperlake,ifwi.kabylake,ifwi.kabylake_r,ifwi.lunarlake,ifwi.meteorlake,ifwi.raptorlake,ifwi.raptorlake_refresh,ifwi.skylake,ifwi.tigerlake,ifwi.whiskeylake</t>
  </si>
  <si>
    <t>Verify AC/DC Switching functionality while CS toggling using LID switch</t>
  </si>
  <si>
    <t>CSS-IVE-102186</t>
  </si>
  <si>
    <t>bios.cpu_pm,fw.ifwi.bios,fw.ifwi.ec</t>
  </si>
  <si>
    <t>bios.alderlake,bios.amberlake,bios.apollolake,bios.arrowlake,bios.cannonlake,bios.coffeelake,bios.cometlake,bios.icelake-client,bios.jasperlake,bios.kabylake,bios.kabylake_r,bios.lakefield,bios.lunarlake,bios.meteorlake,bios.raptorlake,bios.rocketlake,bios.tigerlake,bios.whiskeylake,ifwi.amberlake,ifwi.arrowlake,ifwi.lunarlake,ifwi.meteorlake,ifwi.raptorlake</t>
  </si>
  <si>
    <t>Verify system stability on waking from idle state pre and post S3 cycle</t>
  </si>
  <si>
    <t>CSS-IVE-102193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</si>
  <si>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arrowlake,ifwi.broxton,ifwi.cannonlake,ifwi.coffeelake,ifwi.cometlake,ifwi.geminilake,ifwi.icelake,ifwi.jasperlake,ifwi.kabylake,ifwi.kabylake_r,ifwi.lunarlake,ifwi.meteorlake,ifwi.raptorlake,ifwi.raptorlake_refresh,ifwi.tigerlake,ifwi.whiskeylake</t>
  </si>
  <si>
    <t>Verify System Deep S4 exit in DC mode using AC brick with "Disable DSX ACPRESENT PullDown" enabled in bios</t>
  </si>
  <si>
    <t>CSS-IVE-102258</t>
  </si>
  <si>
    <t>bios.alderlake,bios.arrowlake,bios.cannonlake,bios.cometlake,bios.icelake-client,bios.jasperlake,bios.kabylake_r,bios.lunarlake,bios.meteorlake,bios.raptorlake,bios.tigerlake,bios.whiskeylake,ifwi.cannonlake,ifwi.cometlake,ifwi.icelake,ifwi.kabylake_r,ifwi.tigerlake,ifwi.whiskeylake</t>
  </si>
  <si>
    <t>Verify HDCP 2.2 functionality over TBT port</t>
  </si>
  <si>
    <t>CSS-IVE-102299</t>
  </si>
  <si>
    <t>bios.alderlake,bios.arrowlake,bios.cometlake,bios.icelake-client,bios.kabylake_r,bios.lunarlake,bios.meteorlake,bios.raptorlake,bios.raptorlake_refresh,bios.rocketlake,bios.tigerlake,ifwi.arrowlake,ifwi.cometlake,ifwi.icelake,ifwi.kabylake_r,ifwi.lunarlake,ifwi.meteorlake,ifwi.raptorlake,ifwi.tigerlake</t>
  </si>
  <si>
    <t>Verify HDCP 2.2 functionality over TBT port after Sx and warm reboot cycles</t>
  </si>
  <si>
    <t>CSS-IVE-102300</t>
  </si>
  <si>
    <t>bios.alderlake,bios.arrowlake,bios.icelake-client,bios.kabylake_r,bios.lunarlake,bios.meteorlake,bios.raptorlake,bios.raptorlake_refresh,bios.rocketlake,bios.tigerlake,ifwi.arrowlake,ifwi.icelake,ifwi.kabylake_r,ifwi.lunarlake,ifwi.meteorlake,ifwi.raptorlake,ifwi.raptorlake_refresh,ifwi.tigerlake</t>
  </si>
  <si>
    <t>Verify Booting over Wi-Fi using UEFI PXEv4 Boot</t>
  </si>
  <si>
    <t>CSS-IVE-102472</t>
  </si>
  <si>
    <t>bios.alderlake,bios.arrowlake,bios.cannonlake,bios.coffeelake,bios.icelake-client,bios.lunarlake,bios.meteorlake,bios.pantherlake,bios.pantherlake-p,bios.raptorlake,bios.raptorlake_refresh,bios.tigerlake,bios.whiskeylake,ifwi.coffeelake</t>
  </si>
  <si>
    <t>Verify Bluetooth BLE Devices scan in BIOS</t>
  </si>
  <si>
    <t>CSS-IVE-102475</t>
  </si>
  <si>
    <t>bios.alderlake,bios.arrowlake,bios.cannonlake,bios.coffeelake,bios.cometlake,bios.icelake-client,bios.lunarlake,bios.meteorlake,bios.pantherlake,bios.pantherlake-p,bios.raptorlake,bios.raptorlake_refresh,bios.rocketlake,bios.tigerlake,bios.whiskeylake</t>
  </si>
  <si>
    <t>Verify Booting over Wi-Fi using UEFI HTTPv4 Boot</t>
  </si>
  <si>
    <t>CSS-IVE-102473</t>
  </si>
  <si>
    <t>bios.alderlake,bios.arrowlake,bios.cannonlake,bios.coffeelake,bios.icelake-client,bios.lunarlake,bios.meteorlake,bios.pantherlake,bios.pantherlake-p,bios.raptorlake,bios.raptorlake_refresh,bios.tigerlake,bios.whiskeylake</t>
  </si>
  <si>
    <t>Validate Wi-Fi Network Connectivity by self and External ping</t>
  </si>
  <si>
    <t>CSS-IVE-102612</t>
  </si>
  <si>
    <t>bios.alderlake,bios.arrowlake,bios.cannonlake,bios.coffeelake,bios.cometlake,bios.icelake-client,bios.jasperlake,bios.lakefield,bios.lunarlake,bios.meteorlake,bios.raptorlake,bios.raptorlake_refresh,bios.rocketlake,bios.tigerlake,bios.whiskeylake,ifwi.arrowlake,ifwi.cannonlake,ifwi.coffeelake,ifwi.cometlake,ifwi.icelake,ifwi.lakefield,ifwi.meteorlake,ifwi.raptorlake,ifwi.raptorlake_refresh,ifwi.tigerlake,ifwi.whiskeylake</t>
  </si>
  <si>
    <t>Verify CNVi WLAN Enumeration in OS before / after Connected Standby (CMS) cycle</t>
  </si>
  <si>
    <t>CSS-IVE-105407</t>
  </si>
  <si>
    <t>bios.alderlake,bios.arrowlake,bios.cannonlake,bios.coffeelake,bios.cometlake,bios.icelake-client,bios.jasperlake,bios.lunarlake,bios.meteorlake,bios.pantherlake,bios.pantherlake-p,bios.raptorlake,bios.raptorlake_refresh,bios.rocketlake,bios.tigerlake,bios.whiskeylake</t>
  </si>
  <si>
    <t>Verify ISH Sensor Enumeration pre and post Connected Standby (CMS) cycle - Ambient Light Sensor (ALS)</t>
  </si>
  <si>
    <t>CSS-IVE-105411</t>
  </si>
  <si>
    <t>bios.alderlake,bios.amberlake,bios.arrowlake,bios.cannonlake,bios.coffeelake,bios.cometlake,bios.icelake-client,bios.kabylake_r,bios.lakefield,bios.meteorlake,bios.raptorlake,bios.raptorlake_refresh,bios.rocketlake,bios.tigerlake,bios.whiskeylake,ifwi.amberlake,ifwi.cannonlake,ifwi.coffeelake,ifwi.cometlake,ifwi.icelake,ifwi.kabylake_r,ifwi.lakefield,ifwi.tigerlake,ifwi.whiskeylake</t>
  </si>
  <si>
    <t>Verify ISH Sensor Enumeration pre and post Connected Standby (CMS) cycle - Gyro</t>
  </si>
  <si>
    <t>CSS-IVE-105412</t>
  </si>
  <si>
    <t>bios.alderlake,bios.amberlake,bios.arrowlake,bios.cannonlake,bios.coffeelake,bios.cometlake,bios.icelake-client,bios.kabylake_r,bios.lakefield,bios.meteorlake,bios.raptorlake,bios.tigerlake,bios.whiskeylake,ifwi.amberlake,ifwi.arrowlake,ifwi.cannonlake,ifwi.coffeelake,ifwi.cometlake,ifwi.icelake,ifwi.kabylake_r,ifwi.lakefield,ifwi.tigerlake,ifwi.whiskeylake</t>
  </si>
  <si>
    <t>Verify ISH Sensor Enumeration pre post Connected Standby (CMS) cycle - Accelerometer/3D Accelerometer</t>
  </si>
  <si>
    <t>CSS-IVE-105413</t>
  </si>
  <si>
    <t>bios.alderlake,bios.arrowlake,bios.cannonlake,bios.coffeelake,bios.cometlake,bios.icelake-client,bios.kabylake_r,bios.lakefield,bios.lunarlake,bios.meteorlake,bios.raptorlake,bios.tigerlake,bios.whiskeylake,ifwi.arrowlake,ifwi.cannonlake,ifwi.coffeelake,ifwi.cometlake,ifwi.icelake,ifwi.kabylake_r,ifwi.lakefield,ifwi.raptorlake,ifwi.tigerlake,ifwi.whiskeylake</t>
  </si>
  <si>
    <t>Verify WWAN enumeration pre and post Connected Standby (CMS) cycle</t>
  </si>
  <si>
    <t>CSS-IVE-105421</t>
  </si>
  <si>
    <t>bios.alderlake,bios.amberlake,bios.arrowlake,bios.cannonlake,bios.coffeelake,bios.cometlake,bios.icelake-client,bios.kabylake,bios.kabylake_r,bios.lakefield,bios.lunarlake,bios.meteorlake,bios.pantherlake,bios.pantherlake-p,bios.raptorlake,bios.raptorlake_refresh,bios.tigerlake,bios.whiskeylake,ifwi.amberlake,ifwi.arrowlake,ifwi.cannonlake,ifwi.coffeelake,ifwi.cometlake,ifwi.icelake,ifwi.kabylake,ifwi.kabylake_r,ifwi.lakefield,ifwi.lunarlake,ifwi.meteorlake,ifwi.raptorlake,ifwi.raptorlake_refresh,ifwi.tigerlake,ifwi.whiskeylake</t>
  </si>
  <si>
    <t>Verify discrete Wi-Fi enumeration pre and post Connected Standby (CMS) cycle</t>
  </si>
  <si>
    <t>CSS-IVE-105423</t>
  </si>
  <si>
    <t>bios.alderlake,bios.arrowlake,bios.cannonlake,bios.coffeelake,bios.cometlake,bios.icelake-client,bios.jasperlake,bios.kabylake_r,bios.lakefield,bios.lunarlake,bios.meteorlake,bios.raptorlake,bios.raptorlake_refresh,bios.rocketlake,bios.tigerlake,bios.whiskeylake,ifwi.arrowlake,ifwi.cannonlake,ifwi.coffeelake,ifwi.cometlake,ifwi.icelake,ifwi.kabylake_r,ifwi.lakefield,ifwi.lunarlake,ifwi.meteorlake,ifwi.raptorlake,ifwi.raptorlake_refresh,ifwi.tigerlake,ifwi.whiskeylake</t>
  </si>
  <si>
    <t>Verify Touch panel Enumeration pre and post Connected Standby (CMS) cycle</t>
  </si>
  <si>
    <t>CSS-IVE-105424</t>
  </si>
  <si>
    <t>bios.alderlake,bios.arrowlake,bios.cannonlake,bios.coffeelake,bios.cometlake,bios.icelake-client,bios.jasperlake,bios.kabylake_r,bios.lunarlake,bios.meteorlake,bios.raptorlake,bios.whiskeylake,ifwi.arrowlake,ifwi.cannonlake,ifwi.coffeelake,ifwi.cometlake,ifwi.icelake,ifwi.kabylake_r,ifwi.lunarlake,ifwi.meteorlake,ifwi.raptorlake,ifwi.whiskeylake</t>
  </si>
  <si>
    <t>ISH Sensor Enumeration pre and post Connected Standby (CMS) cycle - Magnetometer</t>
  </si>
  <si>
    <t>CSS-IVE-105425</t>
  </si>
  <si>
    <t>bios.alderlake,bios.arrowlake,bios.cannonlake,bios.coffeelake,bios.cometlake,bios.icelake-client,bios.lakefield,bios.meteorlake,bios.raptorlake,bios.tigerlake,bios.whiskeylake,ifwi.arrowlake,ifwi.cannonlake,ifwi.coffeelake,ifwi.cometlake,ifwi.icelake,ifwi.lakefield,ifwi.raptorlake,ifwi.tigerlake,ifwi.whiskeylake</t>
  </si>
  <si>
    <t>Validate data transfer functionality between USB drives connected over Type-C port</t>
  </si>
  <si>
    <t>CSS-IVE-105628</t>
  </si>
  <si>
    <t>bios.alderlake,bios.arrowlake,bios.cannonlake,bios.coffeelake,bios.cometlake,bios.icelake-client,bios.jasperlake,bios.lakefield,bios.lunarlake,bios.meteorlake,bios.pantherlake,bios.pantherlake-h,bios.pantherlake-p,bios.pantherlake-u,bios.raptorlake,bios.raptorlake_refresh,bios.rocketlake,bios.tigerlake,bios.whiskeylake,ifwi.arrowlake,ifwi.cannonlake,ifwi.coffeelake,ifwi.cometlake,ifwi.icelake,ifwi.lakefield,ifwi.lunarlake,ifwi.meteorlake,ifwi.raptorlake,ifwi.raptorlake_refresh,ifwi.tigerlake,ifwi.tigerlake_refresh,ifwi.whiskeylake</t>
  </si>
  <si>
    <t>Verify TCSS xHCI controller support enable/disable functionality in BIOS</t>
  </si>
  <si>
    <t>CSS-IVE-105632</t>
  </si>
  <si>
    <t>bios.alderlake,bios.arrowlake,bios.icelake-client,bios.lunarlake,bios.meteorlake,bios.pantherlake-h,bios.pantherlake-p,bios.pantherlake-u,bios.raptorlake,bios.raptorlake_refresh,bios.tigerlake,bios.whiskeylake</t>
  </si>
  <si>
    <t>Verify SUT does not boot in Dead battery condition</t>
  </si>
  <si>
    <t>CSS-IVE-105576</t>
  </si>
  <si>
    <t>bios.platform,fw.ifwi.bios,fw.ifwi.ec</t>
  </si>
  <si>
    <t>bios.alderlake,bios.apollolake,bios.arrowlake,bios.cannonlake,bios.coffeelake,bios.cometlake,bios.icelake-client,bios.jasperlake,bios.kabylake,bios.kabylake_r,bios.lakefield,bios.lunarlake,bios.meteorlake,bios.raptorlake,bios.raptorlake_refresh,bios.tigerlake,bios.whiskeylake,ifwi.arrowlake,ifwi.lunarlake,ifwi.meteorlake,ifwi.raptorlake,ifwi.raptorlake_refresh</t>
  </si>
  <si>
    <t>Verify SUT wake from S3, S4 using PCIE LAN devices (WOL)</t>
  </si>
  <si>
    <t>CSS-IVE-63272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</si>
  <si>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pantherlake-s,bios.raptorlake,bios.raptorlake_refresh,bios.rocketlake,bios.tigerlake,bios.whiskeylake,ifwi.amberlake,ifwi.apollolake,ifwi.arrowlake,ifwi.cannonlake,ifwi.coffeelake,ifwi.cometlake,ifwi.geminilake,ifwi.icelake,ifwi.kabylake,ifwi.kabylake_r,ifwi.lunarlake,ifwi.meteorlake,ifwi.raptorlake,ifwi.raptorlake_refresh,ifwi.tigerlake,ifwi.whiskeylake</t>
  </si>
  <si>
    <t>Verify USB devices information are displayed in F7 boot menu, connected over Type-C port</t>
  </si>
  <si>
    <t>CSS-IVE-113592</t>
  </si>
  <si>
    <t>bios.alderlake,bios.arrowlake,bios.cannonlake,bios.coffeelake,bios.cometlake,bios.icelake-client,bios.jasperlake,bios.lakefield,bios.lunarlake,bios.meteorlake,bios.pantherlake,bios.pantherlake-p,bios.raptorlake,bios.raptorlake_refresh,bios.rocketlake,bios.tigerlake,bios.whiskeylake,ifwi.cannonlake,ifwi.coffeelake,ifwi.cometlake,ifwi.icelake,ifwi.lakefield,ifwi.raptorlake_refresh,ifwi.tigerlake,ifwi.tigerlake_refresh,ifwi.whiskeylake</t>
  </si>
  <si>
    <t>Verify  crash dump and crash logging</t>
  </si>
  <si>
    <t>CSS-IVE-111675</t>
  </si>
  <si>
    <t>bios.alderlake,bios.arrowlake,bios.icelake-client,bios.lunarlake,bios.meteorlake,bios.pantherlake,bios.pantherlake-h,bios.pantherlake-p,bios.pantherlake-s,bios.pantherlake-u,bios.raptorlake,bios.raptorlake_refresh,bios.rocketlake,bios.tigerlake,ifwi.arrowlake,ifwi.lunarlake,ifwi.meteorlake,ifwi.raptorlake</t>
  </si>
  <si>
    <t>Verify 3.5mm jack Wired headphones/headset detection on Pre and Post S3 cycle</t>
  </si>
  <si>
    <t>CSS-IVE-113704</t>
  </si>
  <si>
    <t>bios.alderlake,bios.arrowlake,bios.geminilake,bios.icelake-client,bios.jasperlake,bios.lunarlake,bios.meteorlake,bios.raptorlake,bios.raptorlake_refresh,bios.rocketlake,bios.tigerlake,ifwi.arrowlake,ifwi.geminilake,ifwi.icelake,ifwi.meteorlake,ifwi.raptorlake,ifwi.raptorlake_refresh,ifwi.tigerlake</t>
  </si>
  <si>
    <t>Verify 3.5mm jack Wired headphones/headset detection on Pre and Post S0i3 (Modern Standby) cycle</t>
  </si>
  <si>
    <t>CSS-IVE-113708</t>
  </si>
  <si>
    <t>bios.alderlake,bios.arrowlake,bios.geminilake,bios.icelake-client,bios.jasperlake,bios.lakefield,bios.lunarlake,bios.meteorlake,bios.raptorlake,bios.raptorlake_refresh,bios.rocketlake,bios.tigerlake,ifwi.geminilake,ifwi.icelake,ifwi.lakefield,ifwi.raptorlake,ifwi.raptorlake_refresh,ifwi.tigerlake</t>
  </si>
  <si>
    <t>Verify 3.5mm jack Wired headphones/headset detection after abrupt G3</t>
  </si>
  <si>
    <t>CSS-IVE-113849</t>
  </si>
  <si>
    <t>bios.alderlake,bios.arrowlake,bios.geminilake,bios.icelake-client,bios.lunarlake,bios.meteorlake,bios.raptorlake,bios.raptorlake_refresh,bios.rocketlake,bios.tigerlake,ifwi.arrowlake,ifwi.geminilake,ifwi.icelake,ifwi.meteorlake,ifwi.raptorlake,ifwi.raptorlake_refresh,ifwi.tigerlake</t>
  </si>
  <si>
    <t>Verify if AMT configuration menu is accessible in MEBx setup in DC mode</t>
  </si>
  <si>
    <t>CSS-IVE-113731</t>
  </si>
  <si>
    <t>bios.alderlake,bios.arrowlake,bios.lunarlake,bios.raptorlake,ifwi.tigerlake</t>
  </si>
  <si>
    <t>Verify system completes S4 Resume Cycles using "ResumeOK.efi" tool</t>
  </si>
  <si>
    <t>CSS-IVE-114359</t>
  </si>
  <si>
    <t>bios.alderlake,bios.amberlake,bios.arrowlake,bios.cannonlake,bios.coffeelake,bios.cometlake,bios.icelake-client,bios.jasperlake,bios.kabylake,bios.kabylake_r,bios.lakefield,bios.lunarlake,bios.meteorlake,bios.raptorlake,bios.rocketlake,bios.tigerlake,bios.whiskeylake,ifwi.amberlake,ifwi.arrowlake,ifwi.cannonlake,ifwi.coffeelake,ifwi.cometlake,ifwi.icelake,ifwi.jasperlake,ifwi.kabylake,ifwi.kabylake_r,ifwi.lakefield,ifwi.lunarlake,ifwi.meteorlake,ifwi.raptorlake,ifwi.skylake,ifwi.tigerlake,ifwi.whiskeylake</t>
  </si>
  <si>
    <t>Verify Booting over LAN using UEFI PXEv6 Network</t>
  </si>
  <si>
    <t>CSS-IVE-114715</t>
  </si>
  <si>
    <t>bios.pch,fw.ifwi.gbe,fw.ifwi.pchc</t>
  </si>
  <si>
    <t>bios.alderlake,bios.arrowlake,bios.cannonlake,bios.coffeelake,bios.cometlake,bios.icelake-client,bios.lunarlake,bios.meteorlake,bios.pantherlake,bios.pantherlake-p,bios.pantherlake-s,bios.raptorlake,bios.raptorlake_refresh,bios.rocketlake,bios.tigerlake,bios.whiskeylake,ifwi.arrowlake,ifwi.cannonlake,ifwi.coffeelake,ifwi.cometlake,ifwi.icelake,ifwi.lunarlake,ifwi.meteorlake,ifwi.raptorlake,ifwi.raptorlake_refresh,ifwi.tigerlake,ifwi.tigerlake_refresh,ifwi.whiskeylake</t>
  </si>
  <si>
    <t>Verify Booting with UEFI HTTPv6 network support availability in BIOS</t>
  </si>
  <si>
    <t>CSS-IVE-114716</t>
  </si>
  <si>
    <t>Verify Booting over LAN using UEFI PXEv4 network</t>
  </si>
  <si>
    <t>CSS-IVE-114717</t>
  </si>
  <si>
    <t>bios.alderlake,bios.arrowlake,bios.cannonlake,bios.coffeelake,bios.cometlake,bios.icelake-client,bios.lunarlake,bios.meteorlake,bios.pantherlake,bios.pantherlake-p,bios.raptorlake,bios.raptorlake_refresh,bios.rocketlake,bios.tigerlake,bios.whiskeylake,ifwi.arrowlake,ifwi.cannonlake,ifwi.coffeelake,ifwi.cometlake,ifwi.icelake,ifwi.lunarlake,ifwi.meteorlake,ifwi.raptorlake,ifwi.raptorlake_refresh,ifwi.tigerlake,ifwi.tigerlake_refresh,ifwi.whiskeylake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</si>
  <si>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</si>
  <si>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</si>
  <si>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</si>
  <si>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</si>
  <si>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bios.alderlake,bios.arrowlake,bios.cannonlake,bios.coffeelake,bios.cometlake,bios.icelake-client,bios.jasperlake,bios.lunarlake,bios.meteorlake,bios.raptorlake,bios.raptorlake_refresh,bios.rocketlake,bios.tigerlake,bios.whiskeylake</t>
  </si>
  <si>
    <t>Validate Network functionality over USB Type-C port</t>
  </si>
  <si>
    <t>CSS-IVE-114802</t>
  </si>
  <si>
    <t>bios.alderlake,bios.arrowlake,bios.cannonlake,bios.coffeelake,bios.cometlake,bios.icelake-client,bios.jasperlake,bios.lakefield,bios.lunarlake,bios.meteorlake,bios.raptorlake,bios.raptorlake_refresh,bios.rocketlake,bios.tigerlake,bios.whiskeylake</t>
  </si>
  <si>
    <t>Verify PPIN feature support using Processor Utility tool</t>
  </si>
  <si>
    <t>CSS-IVE-114973</t>
  </si>
  <si>
    <t>bios.alderlake,bios.arrowlake,bios.icelake-client,bios.lunarlake,bios.pantherlake,bios.pantherlake-p,bios.raptorlake,bios.raptorlake_refresh,bios.rocketlake,bios.tigerlake</t>
  </si>
  <si>
    <t>Verify PPIN Feature when SUT is in EOM mode</t>
  </si>
  <si>
    <t>CSS-IVE-114980</t>
  </si>
  <si>
    <t>bios.alderlake,bios.arrowlake,bios.icelake-client,bios.jasperlake,bios.lakefield,bios.lunarlake,bios.meteorlake,bios.pantherlake,bios.pantherlake-p,bios.raptorlake,bios.raptorlake_refresh,bios.rocketlake,bios.tigerlake,ifwi.lakefield</t>
  </si>
  <si>
    <t>[FSP] Verify SX transition of the system with FSP VS build</t>
  </si>
  <si>
    <t>CSS-IVE-114982</t>
  </si>
  <si>
    <t>bios.cpu_pm,bios.fsp,bios.platform</t>
  </si>
  <si>
    <t>bios.alderlake,bios.arrowlake,bios.cannonlake,bios.coffeelake,bios.cometlake,bios.icelake-client,bios.lunarlake,bios.meteorlake,bios.pantherlake,bios.pantherlake-p,bios.raptorlake,bios.raptorlake_refresh,bios.rocketlake,bios.whiskeylake</t>
  </si>
  <si>
    <t>Verify Connected MoS entry/exit using power button/Timer option</t>
  </si>
  <si>
    <t>CSS-IVE-115018</t>
  </si>
  <si>
    <t>bios.alderlake,bios.amberlake,bios.arrowlake,bios.cannonlake,bios.coffeelake,bios.cometlake,bios.icelake-client,bios.jasperlake,bios.kabylake,bios.kabylake_r,bios.lakefield,bios.lunarlake,bios.meteorlake,bios.pantherlake,bios.pantherlake-p,bios.raptorlake,bios.raptorlake_refresh,bios.rocketlake,bios.tigerlake,bios.whiskeylake,ifwi.amberlake,ifwi.arrowlake,ifwi.cannonlake,ifwi.coffeelake,ifwi.cometlake,ifwi.icelake,ifwi.jasperlake,ifwi.kabylake,ifwi.kabylake_r,ifwi.lakefield,ifwi.lunarlake,ifwi.meteorlake,ifwi.raptorlake,ifwi.raptorlake_refresh,ifwi.skylake,ifwi.tigerlake,ifwi.tigerlake_refresh,ifwi.whiskeylake</t>
  </si>
  <si>
    <t>Verify AMT storage redirection should support for TBT vPro dock</t>
  </si>
  <si>
    <t>CSS-IVE-113806</t>
  </si>
  <si>
    <t>bios.alderlake,bios.arrowlake,bios.lunarlake,bios.meteorlake,bios.pantherlake,bios.pantherlake-p,bios.raptorlake,bios.tigerlake,ifwi.arrowlake,ifwi.cometlake,ifwi.lunarlake,ifwi.meteorlake</t>
  </si>
  <si>
    <t>Verify Dual Touch functionality in OS</t>
  </si>
  <si>
    <t>CSS-IVE-113744</t>
  </si>
  <si>
    <t>bios.alderlake,bios.amberlake,bios.arrowlake,bios.cannonlake,bios.coffeelake,bios.icelake-client,bios.kabylake,bios.kabylake_r,bios.lakefield,bios.lunarlake,bios.meteorlake,bios.raptorlake,bios.tigerlake</t>
  </si>
  <si>
    <t>Verify Dual Touch functionality in OS after Sx</t>
  </si>
  <si>
    <t>CSS-IVE-113809</t>
  </si>
  <si>
    <t>Verify Dual Touch functionality in OS after CMS cycle</t>
  </si>
  <si>
    <t>CSS-IVE-113810</t>
  </si>
  <si>
    <t>Verify discrete WLAN ON-OFF-ON functionality in OS</t>
  </si>
  <si>
    <t>CSS-IVE-115310</t>
  </si>
  <si>
    <t>Verify System auto wakes from hibernate via RTC with system in DC mode</t>
  </si>
  <si>
    <t>CSS-IVE-115590</t>
  </si>
  <si>
    <t>bios.alderlake,bios.arrowlake,bios.coffeelake,bios.cometlake,bios.icelake-client,bios.jasperlake,bios.lakefield,bios.lunarlake,bios.meteorlake,bios.pantherlake,bios.pantherlake-p,bios.raptorlake,bios.raptorlake_refresh,bios.tigerlake,bios.whiskeylake,ifwi.arrowlake,ifwi.coffeelake,ifwi.cometlake,ifwi.icelake,ifwi.jasperlake,ifwi.lakefield,ifwi.lunarlake,ifwi.meteorlake,ifwi.raptorlake,ifwi.raptorlake_refresh,ifwi.tigerlake,ifwi.whiskeylake</t>
  </si>
  <si>
    <t>Verify ISH Sensor Enumeration pre and post Connected Modern Standby (CMS) cycle - Altimeter</t>
  </si>
  <si>
    <t>CSS-IVE-115738</t>
  </si>
  <si>
    <t>bios.alderlake,bios.arrowlake,bios.cometlake,bios.icelake-client,bios.lakefield,bios.lunarlake,bios.meteorlake,bios.raptorlake,bios.whiskeylake,ifwi.cometlake,ifwi.icelake,ifwi.lakefield,ifwi.raptorlake,ifwi.whiskeylake</t>
  </si>
  <si>
    <t>Verify independent BIOS setup option to Enable/Disable INT3400 Device and Processor thermal device participants</t>
  </si>
  <si>
    <t>CSS-IVE-116722</t>
  </si>
  <si>
    <t>bios.alderlake,bios.apollolake,bios.arrowlake,bios.cannonlake,bios.coffeelake,bios.cometlake,bios.icelake-client,bios.jasperlake,bios.kabylake,bios.kabylake_r,bios.lakefield,bios.lunarlake,bios.meteorlake,bios.pantherlake,bios.pantherlake-p,bios.raptorlake,bios.rocketlake,bios.tigerlake,bios.whiskeylake</t>
  </si>
  <si>
    <t>Validate system residency for SLP_S0 in CMS post Sx</t>
  </si>
  <si>
    <t>CSS-IVE-116741</t>
  </si>
  <si>
    <t>bios.alderlake,bios.amberlake,bios.arrowlake,bios.cannonlake,bios.coffeelake,bios.cometlake,bios.icelake-client,bios.jasperlake,bios.kabylake,bios.kabylake_r,bios.lakefield,bios.lunarlake,bios.meteorlake,bios.pantherlake,bios.pantherlake-p,bios.pantherlake-s,bios.raptorlake,bios.raptorlake_refresh,bios.rocketlake,bios.skylake,bios.tigerlake,bios.whiskeylake,ifwi.amberlake,ifwi.cannonlake,ifwi.coffeelake,ifwi.cometlake,ifwi.icelake,ifwi.kabylake,ifwi.kabylake_r,ifwi.lakefield,ifwi.raptorlake_refresh,ifwi.tigerlake,ifwi.whiskeylake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</si>
  <si>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</si>
  <si>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</si>
  <si>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</si>
  <si>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</si>
  <si>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</si>
  <si>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</si>
  <si>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Modem ASPM support</t>
  </si>
  <si>
    <t>CSS-IVE-114258</t>
  </si>
  <si>
    <t>bios.alderlake,bios.arrowlake,bios.cometlake,bios.lunarlake,bios.meteorlake,bios.pantherlake,bios.pantherlake-p,bios.raptorlake,bios.raptorlake_refresh,bios.tigerlake</t>
  </si>
  <si>
    <t>Verify Bluetooth BLE supported HID device Functionality in OS</t>
  </si>
  <si>
    <t>CSS-IVE-117339</t>
  </si>
  <si>
    <t>bios.alderlake,bios.arrowlake,bios.cannonlake,bios.coffeelake,bios.cometlake,bios.icelake-client,bios.jasperlake,bios.kabylake_r,bios.lakefield,bios.lunarlake,bios.meteorlake,bios.pantherlake,bios.pantherlake-p,bios.raptorlake,bios.raptorlake_refresh,bios.rocketlake,bios.tigerlake,bios.whiskeylake</t>
  </si>
  <si>
    <t>Verify Power Consumption by Wi-Fi module using "Power Meter" tool</t>
  </si>
  <si>
    <t>CSS-IVE-117486</t>
  </si>
  <si>
    <t>bios.alderlake,bios.amberlake,bios.arrowlake,bios.icelake-client,bios.jasperlake,bios.lakefield,bios.lunarlake,bios.meteorlake,bios.raptorlake,bios.raptorlake_refresh,bios.tigerlake</t>
  </si>
  <si>
    <t>Verify Wi-Fi and Bluetooth functionality after Sx(S3, S4, S5) and reboot cycles with RTD3 option enabled in BIOS</t>
  </si>
  <si>
    <t>CSS-IVE-117680</t>
  </si>
  <si>
    <t>bios.alderlake,bios.amberlake,bios.apollolake,bios.arrowlake,bios.broxton,bios.cannonlake,bios.cometlake,bios.geminilake,bios.icelake-client,bios.jasperlake,bios.kabylake,bios.kabylake_r,bios.lunarlake,bios.meteorlake,bios.raptorlake,bios.rocketlake,bios.tigerlake,bios.whiskeylake,ifwi.amberlake,ifwi.apollolake,ifwi.arrowlake,ifwi.broxton,ifwi.cannonlake,ifwi.cometlake,ifwi.geminilake,ifwi.icelake,ifwi.kabylake,ifwi.kabylake_r,ifwi.tigerlake,ifwi.whiskeylake</t>
  </si>
  <si>
    <t>Verify RTD3 flow support for TBT SSD device</t>
  </si>
  <si>
    <t>CSS-IVE-117850</t>
  </si>
  <si>
    <t>bios.alderlake,bios.amberlake,bios.arrowlake,bios.cannonlake,bios.coffeelake,bios.icelake-client,bios.kabylake,bios.kabylake_r,bios.lunarlake,bios.meteorlake,bios.pantherlake,bios.pantherlake-p,bios.raptorlake,bios.raptorlake_refresh,bios.rocketlake,bios.tigerlake,bios.whiskeylake</t>
  </si>
  <si>
    <t>Verify Dual Touch Enumeration in Device manager</t>
  </si>
  <si>
    <t>CSS-IVE-117947</t>
  </si>
  <si>
    <t>bios.pch,bios.platform,fw.ifwi.ish</t>
  </si>
  <si>
    <t>bios.alderlake,bios.amberlake,bios.arrowlake,bios.cannonlake,bios.coffeelake,bios.icelake-client,bios.kabylake,bios.kabylake_r,bios.lakefield,bios.lunarlake,bios.meteorlake,bios.raptorlake,bios.tigerlake,ifwi.arrowlake,ifwi.lakefield,ifwi.lunarlake,ifwi.meteorlake,ifwi.raptorlake,ifwi.tigerlake</t>
  </si>
  <si>
    <t>Verify Xml Cli support for External Bios</t>
  </si>
  <si>
    <t>CSS-IVE-117937</t>
  </si>
  <si>
    <t>bios.alderlake,bios.arrowlake,bios.lunarlake,bios.meteorlake,bios.pantherlake,bios.pantherlake-p,bios.pantherlake-s,bios.raptorlake,bios.raptorlake_refresh,bios.rocketlake</t>
  </si>
  <si>
    <t>Verify CPU frequency throttles when core temperature exceeds passive trip point with DTS SMM enabled and DTT disabled</t>
  </si>
  <si>
    <t>CSS-IVE-117969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</si>
  <si>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raptorlake,bios.rocketlake,bios.tigerlake,bios.whiskeylake</t>
  </si>
  <si>
    <t>Verify Dual Touch Enumeration in Device manager Pre and Post S4 Cycle</t>
  </si>
  <si>
    <t>CSS-IVE-117948</t>
  </si>
  <si>
    <t>bios.alderlake,bios.amberlake,bios.arrowlake,bios.cannonlake,bios.coffeelake,bios.icelake-client,bios.kabylake,bios.kabylake_r,bios.lakefield,bios.lunarlake,bios.meteorlake,bios.raptorlake,bios.tigerlake,ifwi.lakefield,ifwi.tigerlake</t>
  </si>
  <si>
    <t>Verify Dual Touch Enumeration in Device manager Pre and Post S5 Cycle</t>
  </si>
  <si>
    <t>CSS-IVE-117949</t>
  </si>
  <si>
    <t>Verify Dual Touch Enumeration in Device manager Pre and Post CMS</t>
  </si>
  <si>
    <t>CSS-IVE-117950</t>
  </si>
  <si>
    <t>Verify local machine AMT WEBUI is accessible after sx cycles over TBT-vPRO-Dock</t>
  </si>
  <si>
    <t>CSS-IVE-118133</t>
  </si>
  <si>
    <t>Verify Remote Restart and shutdown on TBT-vPRO Dock</t>
  </si>
  <si>
    <t>CSS-IVE-118152</t>
  </si>
  <si>
    <t>Verify USB-R Controllers is initialized during boot by verifying Keyboard/Mouse can be used to enter BIOS Setup while Booting SUT from S5 using KVM over TBT-vPRO-Dock</t>
  </si>
  <si>
    <t>CSS-IVE-118173</t>
  </si>
  <si>
    <t>bios.alderlake,bios.arrowlake,bios.lunarlake,bios.meteorlake,bios.pantherlake,bios.pantherlake-p,bios.raptorlake,bios.tigerlake,ifwi.cometlake</t>
  </si>
  <si>
    <t>Verify if BIOS populates SMBIOS table 130 with "vPro TBT dock  supported state</t>
  </si>
  <si>
    <t>CSS-IVE-118175</t>
  </si>
  <si>
    <t>bios.alderlake,bios.pantherlake,bios.pantherlake-p,bios.raptorlake,bios.raptorlake_refresh,bios.rocketlake</t>
  </si>
  <si>
    <t>Verify Booting over PCIe LAN using UEFI PXEv4 network</t>
  </si>
  <si>
    <t>CSS-IVE-118279</t>
  </si>
  <si>
    <t>bios.arrowlake,bios.cannonlake,bios.coffeelake,bios.cometlake,bios.icelake-client,bios.lunarlake,bios.meteorlake,bios.pantherlake,bios.pantherlake-p,bios.raptorlake,bios.raptorlake_refresh,bios.rocketlake,bios.tigerlake,bios.whiskeylake</t>
  </si>
  <si>
    <t>Verify BIOS policy for WWAN support</t>
  </si>
  <si>
    <t>CSS-IVE-118328</t>
  </si>
  <si>
    <t>bios.alderlake,bios.arrowlake,bios.cometlake,bios.icelake-client,bios.lakefield,bios.lunarlake,bios.meteorlake,bios.pantherlake,bios.pantherlake-p,bios.raptorlake,bios.raptorlake_refresh,bios.tigerlake</t>
  </si>
  <si>
    <t>Verify Per Platform Antenna Gain support in BIOS</t>
  </si>
  <si>
    <t>CSS-IVE-118409</t>
  </si>
  <si>
    <t>bios.alderlake,bios.arrowlake,bios.cometlake,bios.jasperlake,bios.lunarlake,bios.meteorlake,bios.raptorlake,bios.raptorlake_refresh,bios.rocketlake,bios.tigerlake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</si>
  <si>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</si>
  <si>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</si>
  <si>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</si>
  <si>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</si>
  <si>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bios.alderlake,bios.arrowlake,bios.cometlake,bios.lunarlake,bios.meteorlake,bios.raptorlake,bios.raptorlake_refresh,bios.rocketlake,bios.tigerlake</t>
  </si>
  <si>
    <t>Verify stability of Wi-Fi and BT functionality with ECKV (External Clock Valid) option enabled in BIOS</t>
  </si>
  <si>
    <t>CSS-IVE-118414</t>
  </si>
  <si>
    <t>bios.alderlake,bios.arrowlake,bios.cometlake,bios.jasperlake,bios.lunarlake,bios.meteorlake,bios.pantherlake,bios.pantherlake-p,bios.pantherlake-u,bios.raptorlake,bios.raptorlake_refresh,bios.rocketlake,bios.tigerlake</t>
  </si>
  <si>
    <t>Verify BIOS settings remains intact with MAF mode booting after Warm and Cold Boot cycles</t>
  </si>
  <si>
    <t>CSS-IVE-118683</t>
  </si>
  <si>
    <t>bios.alderlake,bios.arrowlake,bios.cometlake,bios.icelake-client,bios.jasperlake,bios.lunarlake,bios.meteorlake,bios.pantherlake,bios.pantherlake-p,bios.raptorlake,bios.raptorlake_refresh,bios.rocketlake,bios.tigerlake</t>
  </si>
  <si>
    <t>Verify BIOS settings remains intact with G3 mode booting after Warm and Cold Boot cycles</t>
  </si>
  <si>
    <t>CSS-IVE-118684</t>
  </si>
  <si>
    <t>bios.alderlake,bios.amberlake,bios.arrowlake,bios.cometlake,bios.icelake-client,bios.lunarlake,bios.meteorlake,bios.raptorlake,bios.raptorlake_refresh</t>
  </si>
  <si>
    <t>Verify BIOS settings remains intact with MAF mode booting after Sx cycles</t>
  </si>
  <si>
    <t>CSS-IVE-118685</t>
  </si>
  <si>
    <t>Verify BIOS settings remains intact with G3 mode booting after Sx cycles</t>
  </si>
  <si>
    <t>CSS-IVE-118686</t>
  </si>
  <si>
    <t>Verify BIOS settings remains intact with G3 mode booting after power interrupts (Reset / G3) cycles</t>
  </si>
  <si>
    <t>CSS-IVE-118688</t>
  </si>
  <si>
    <t>Verify PD controller Firmware version in BIOS, OS and System Scope Tool</t>
  </si>
  <si>
    <t>CSS-IVE-118741</t>
  </si>
  <si>
    <t>bios.alderlake,bios.arrowlake,bios.icelake-client,bios.lunarlake,bios.meteorlake,bios.pantherlake-p,bios.pantherlake-px,bios.pantherlake-s,bios.raptorlake,bios.tigerlake,ifwi.alderlake,ifwi.icelake,ifwi.tigerlake</t>
  </si>
  <si>
    <t>Verify Debug log for no Heci Timeout</t>
  </si>
  <si>
    <t>CSS-IVE-118742</t>
  </si>
  <si>
    <t>bios.alderlake,bios.arrowlake,bios.cometlake,bios.icelake-client,bios.lunarlake,bios.meteorlake,bios.raptorlake</t>
  </si>
  <si>
    <t>Verify CSME change from MKHI agent to MCHI agent</t>
  </si>
  <si>
    <t>CSS-IVE-118745</t>
  </si>
  <si>
    <t>bios.alderlake,bios.arrowlake,bios.cometlake,bios.icelake-client,bios.lunarlake,bios.meteorlake,bios.raptorlake,bios.rocketlake,bios.tigerlake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</si>
  <si>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</si>
  <si>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</si>
  <si>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</si>
  <si>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</si>
  <si>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bios.alderlake,bios.arrowlake,bios.coffeelake,bios.cometlake,bios.icelake-client,bios.jasperlake,bios.lakefield,bios.lunarlake,bios.meteorlake,bios.raptorlake,bios.raptorlake_refresh,bios.rocketlake,bios.tigerlake,bios.whiskeylake,ifwi.coffeelake,ifwi.cometlake,ifwi.icelake,ifwi.lakefield,ifwi.raptorlake_refresh,ifwi.tigerlake,ifwi.whiskeylake</t>
  </si>
  <si>
    <t>Verify USB4 storage functionality after S4,S5, warm and cold boot cycles</t>
  </si>
  <si>
    <t>CSS-IVE-122123</t>
  </si>
  <si>
    <t>bios.platform,bios.sa,fw.ifwi.dekelPhy,fw.ifwi.iom,fw.ifwi.pmc,fw.ifwi.sam,fw.ifwi.tbt</t>
  </si>
  <si>
    <t>bios.alderlake,bios.arrowlake,bios.lunarlake,bios.meteorlake,bios.pantherlake,bios.pantherlake-p,bios.raptorlake,bios.raptorlake_refresh,bios.rocketlake,bios.tigerlake,ifwi.raptorlake_refresh,ifwi.tigerlake</t>
  </si>
  <si>
    <t>Verify GPE event triggered in ACPI during ACPI wake alarm test in hibernate</t>
  </si>
  <si>
    <t>CSS-IVE-122129</t>
  </si>
  <si>
    <t>bios.alderlake,bios.arrowlake,bios.coffeelake,bios.cometlake,bios.icelake-client,bios.lunarlake,bios.meteorlake,bios.raptorlake,bios.rocketlake,bios.tigerlake,bios.whiskeylake</t>
  </si>
  <si>
    <t>Validate the CPU ID information is captured in Debug logs</t>
  </si>
  <si>
    <t>CSS-IVE-119128</t>
  </si>
  <si>
    <t>bios.alderlake,bios.amberlake,bios.arrowlake,bios.cannonlake,bios.coffeelake,bios.cometlake,bios.icelake-client,bios.jasperlake,bios.kabylake,bios.kabylake_r,bios.lakefield,bios.lunarlake,bios.meteorlake,bios.raptorlake,bios.raptorlake_refresh,bios.rocketlake,bios.tigerlake</t>
  </si>
  <si>
    <t>Verify ACPI D3Cold setup option"s help text</t>
  </si>
  <si>
    <t>CSS-IVE-128700</t>
  </si>
  <si>
    <t>bios.alderlake,bios.arrowlake,bios.lunarlake,bios.meteorlake,bios.pantherlake,bios.pantherlake-p,bios.raptorlake,bios.raptorlake_refresh,bios.rocketlake,bios.tigerlake</t>
  </si>
  <si>
    <t>Verify CPU enters C10 after removal of USB disk used as source for Music playback in Modern Standby</t>
  </si>
  <si>
    <t>CSS-IVE-130049</t>
  </si>
  <si>
    <t>bios.alderlake,bios.amberlake,bios.arrowlake,bios.coffeelake,bios.cometlake,bios.icelake-client,bios.jasperlake,bios.kabylake,bios.lakefield,bios.lunarlake,bios.meteorlake,bios.raptorlake,bios.raptorlake_refresh,bios.rocketlake,bios.skylake,bios.tigerlake,bios.whiskeylake,ifwi.alderlake,ifwi.coffeelake,ifwi.cometlake,ifwi.icelake,ifwi.rocketlake</t>
  </si>
  <si>
    <t>Verify PC10 with TBT Dock Hotplug/unplug after S4</t>
  </si>
  <si>
    <t>CSS-IVE-130050</t>
  </si>
  <si>
    <t>bios.alderlake,bios.amberlake,bios.arrowlake,bios.coffeelake,bios.cometlake,bios.icelake-client,bios.kabylake,bios.lunarlake,bios.meteorlake,bios.raptorlake,bios.raptorlake_refresh,bios.rocketlake,bios.skylake,bios.tigerlake,bios.whiskeylake,ifwi.alderlake,ifwi.coffeelake,ifwi.cometlake,ifwi.icelake,ifwi.lunarlake,ifwi.raptorlake_refresh,ifwi.rocketlake,ifwi.tigerlake,ifwi.tigerlake_refresh,ifwi.whiskeylake</t>
  </si>
  <si>
    <t>Verify Bus0 Devices with function disabled in bios setup using PEP bios checker tool</t>
  </si>
  <si>
    <t>CSS-IVE-132607</t>
  </si>
  <si>
    <t>bios.alderlake,bios.amberlake,bios.arrowlake,bios.cannonlake,bios.coffeelake,bios.cometlake,bios.icelake-client,bios.kabylake,bios.kabylake_r,bios.lakefield,bios.lunarlake,bios.meteorlake,bios.pantherlake,bios.pantherlake-p,bios.raptorlake,bios.rocketlake,bios.tigerlake,bios.whiskeylake</t>
  </si>
  <si>
    <t>Verify BIOS to implement DSM to enable UAOL workaround</t>
  </si>
  <si>
    <t>CSS-IVE-132616</t>
  </si>
  <si>
    <t>bios.alderlake,bios.arrowlake,bios.lunarlake,bios.meteorlake,bios.pantherlake,bios.pantherlake-p,bios.raptorlake,bios.raptorlake_refresh,bios.tigerlake</t>
  </si>
  <si>
    <t>Verify TBT-External Graphics hot-plug functionality with Integrated graphics</t>
  </si>
  <si>
    <t>CSS-IVE-86989</t>
  </si>
  <si>
    <t>bios.alderlake,bios.amberlake,bios.arrowlake,bios.cannonlake,bios.coffeelake,bios.cometlake,bios.icelake-client,bios.kabylake,bios.kabylake_r,bios.lunarlake,bios.meteorlake,bios.raptorlake,bios.raptorlake_refresh,bios.rocketlake,bios.tigerlake,bios.whiskeylake,ifwi.amberlake,ifwi.cannonlake,ifwi.coffeelake,ifwi.cometlake,ifwi.icelake,ifwi.kabylake,ifwi.kabylake_r,ifwi.raptorlake_refresh,ifwi.tigerlake,ifwi.whiskeylake</t>
  </si>
  <si>
    <t>Validate GOP-VBT Merge tool functionality by comparing VBT dump file from EDK shell with modified VBT file</t>
  </si>
  <si>
    <t>CSS-IVE-132907</t>
  </si>
  <si>
    <t>bios.alderlake,bios.arrowlake,bios.cometlake,bios.icelake-client,bios.jasperlake,bios.lakefield,bios.lunarlake,bios.meteorlake,bios.pantherlake,bios.pantherlake-p,bios.pantherlake-s,bios.raptorlake,bios.raptorlake_refresh,bios.rocketlake,bios.tigerlake</t>
  </si>
  <si>
    <t>Verify display plug/unplug using Type-C Dock when SUT in CMS</t>
  </si>
  <si>
    <t>CSS-IVE-133011</t>
  </si>
  <si>
    <t>bios.alderlake,bios.arrowlake,bios.lunarlake,bios.meteorlake,bios.raptorlake,bios.raptorlake_refresh,bios.rocketlake</t>
  </si>
  <si>
    <t>[OCR] Verify BIOS should provide Boot options Support  for one Click recovery</t>
  </si>
  <si>
    <t>CSS-IVE-122399</t>
  </si>
  <si>
    <t>bios.alderlake,bios.arrowlake,bios.lunarlake,bios.meteorlake,bios.raptorlake,bios.tigerlake,ifwi.tigerlake</t>
  </si>
  <si>
    <t>Verify all Type-C port functionality with debug settings disabled</t>
  </si>
  <si>
    <t>CSS-IVE-133069</t>
  </si>
  <si>
    <t>bios.alderlake,bios.arrowlake,bios.lunarlake,bios.meteorlake,bios.pantherlake-h,bios.pantherlake-p,bios.pantherlake-u,bios.raptorlake,bios.raptorlake_refresh</t>
  </si>
  <si>
    <t>Verify TBT Device functionality with TCSS D3 Cold support enabled</t>
  </si>
  <si>
    <t>CSS-IVE-133080</t>
  </si>
  <si>
    <t>bios.alderlake,bios.arrowlake,bios.icelake-client,bios.lunarlake,bios.meteorlake,bios.pantherlake,bios.pantherlake-p,bios.raptorlake,bios.raptorlake_refresh,bios.tigerlake</t>
  </si>
  <si>
    <t>Verify USB4 storage functionality on cold plug</t>
  </si>
  <si>
    <t>CSS-IVE-122095</t>
  </si>
  <si>
    <t>bios.platform,bios.sa,fw.ifwi.iom,fw.ifwi.nphy,fw.ifwi.pmc,fw.ifwi.sam,fw.ifwi.sphy,fw.ifwi.tbt</t>
  </si>
  <si>
    <t>bios.alderlake,bios.arrowlake,bios.lunarlake,bios.meteorlake,bios.pantherlake,bios.pantherlake-p,bios.pantherlake-s,bios.raptorlake,bios.raptorlake_refresh,bios.rocketlake,bios.tigerlake,ifwi.arrowlake,ifwi.lunarlake,ifwi.meteorlake,ifwi.raptorlake,ifwi.raptorlake_refresh</t>
  </si>
  <si>
    <t>Verify system stability on performing 5 cycles of Hybrid Sleep</t>
  </si>
  <si>
    <t>CSS-IVE-133121</t>
  </si>
  <si>
    <t>Validate USB4 Hub Device functionality on hot insert and removal</t>
  </si>
  <si>
    <t>CSS-IVE-133219</t>
  </si>
  <si>
    <t>bios.alderlake,bios.arrowlake,bios.lunarlake,bios.meteorlake,bios.pantherlake,bios.pantherlake-p,bios.raptorlake,bios.raptorlake_refresh,bios.rocketlake,bios.tigerlake,ifwi.alderlake,ifwi.raptorlake_refresh,ifwi.tigerlake</t>
  </si>
  <si>
    <t>Validate USB4 Hub Device functionality after S4, S5, warm and cold boot cycles</t>
  </si>
  <si>
    <t>CSS-IVE-133222</t>
  </si>
  <si>
    <t>bios.alderlake,bios.arrowlake,bios.lunarlake,bios.meteorlake,bios.pantherlake,bios.pantherlake-p,bios.raptorlake,bios.raptorlake_refresh,bios.rocketlake,bios.tigerlake,ifwi.raptorlake_refresh,ifwi.tigerlake,ifwi.tigerlake_refresh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</si>
  <si>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</si>
  <si>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</si>
  <si>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</si>
  <si>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</si>
  <si>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</si>
  <si>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</si>
  <si>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</si>
  <si>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</si>
  <si>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</si>
  <si>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</si>
  <si>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</si>
  <si>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</si>
  <si>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</si>
  <si>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</si>
  <si>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</si>
  <si>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</si>
  <si>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</si>
  <si>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</si>
  <si>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</si>
  <si>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</si>
  <si>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bios.alderlake,bios.arrowlake,bios.lunarlake,bios.meteorlake,bios.pantherlake,bios.pantherlake-p,bios.raptorlake,bios.raptorlake_refresh,bios.rocketlake,bios.tigerlake,ifwi.lunarlake,ifwi.pantherlake-p,ifwi.raptorlake_refresh,ifwi.tigerlake</t>
  </si>
  <si>
    <t>Verify PCH DFx Trace hub support</t>
  </si>
  <si>
    <t>CSS-IVE-133123</t>
  </si>
  <si>
    <t>[Automation]Verify system stability when hot-plug Type-C power adapter 1000 cycles</t>
  </si>
  <si>
    <t>CSS-IVE-134013</t>
  </si>
  <si>
    <t>bios.alderlake,bios.icelake-client,bios.jasperlake,bios.lakefield,bios.raptorlake,bios.raptorlake_refresh,bios.tigerlake,ifwi.icelake,ifwi.lakefield,ifwi.raptorlake_refresh,ifwi.tigerlake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</si>
  <si>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</si>
  <si>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</si>
  <si>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</si>
  <si>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</si>
  <si>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</si>
  <si>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</si>
  <si>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Touch Panel(I2C) functionality in Bios</t>
  </si>
  <si>
    <t>CSS-IVE-135865</t>
  </si>
  <si>
    <t>bios.arrowlake,bios.icelake-client,bios.lunarlake,bios.meteorlake,bios.raptorlake,bios.raptorlake_refresh,bios.tigerlake</t>
  </si>
  <si>
    <t>[OCR] Verify AMT triggered Windows Recovery Environment (WinRE) over wired LAN</t>
  </si>
  <si>
    <t>CSS-IVE-136305</t>
  </si>
  <si>
    <t>[OCR] Verify if BIOS provides option to enable/disable AMT UEFI Boot Options</t>
  </si>
  <si>
    <t>CSS-IVE-135851</t>
  </si>
  <si>
    <t>[OCR] Verify Windows Recovery working if OCR WinRE option is disabled in BIOS</t>
  </si>
  <si>
    <t>CSS-IVE-136301</t>
  </si>
  <si>
    <t>bios.alderlake,bios.arrowlake,bios.lunarlake,bios.meteorlake,bios.raptorlake,bios.tigerlake</t>
  </si>
  <si>
    <t>[OCR] Verify Windows Recovery (WinRE) Functionality from AMT Remote session with OCR option disabled in BIOS over wired LAN</t>
  </si>
  <si>
    <t>CSS-IVE-136306</t>
  </si>
  <si>
    <t>[OCR] Verify AMT triggered PBA Boot Flow over wired LAN</t>
  </si>
  <si>
    <t>CSS-IVE-136309</t>
  </si>
  <si>
    <t>bios.alderlake,bios.arrowlake,bios.lunarlake,bios.meteorlake,bios.pantherlake,bios.pantherlake-p,bios.raptorlake,bios.tigerlake,ifwi.tigerlake</t>
  </si>
  <si>
    <t>[OCR] Verify AMT triggered HTTPS Boot Flow over wired LAN</t>
  </si>
  <si>
    <t>CSS-IVE-136310</t>
  </si>
  <si>
    <t>[OCR] Verify Windows Recovery Environment (WinRE) Boot  with Reset PC(Keep my files) Option over wired LAN</t>
  </si>
  <si>
    <t>CSS-IVE-136313</t>
  </si>
  <si>
    <t>[OCR] Verify Windows Recovery Environment (WinRE) Boot  with Reset PC(Remove everything ) Option over wired LAN</t>
  </si>
  <si>
    <t>CSS-IVE-136314</t>
  </si>
  <si>
    <t>[OCR] Verify OCR progress and state via AMT Event log for WinRE boot over wired LAN</t>
  </si>
  <si>
    <t>CSS-IVE-136380</t>
  </si>
  <si>
    <t>[OCR] Verify OCR progress and state via AMT Event log for PBA boot over wired LAN</t>
  </si>
  <si>
    <t>CSS-IVE-136381</t>
  </si>
  <si>
    <t>[OCR] Verify OCR progress and state via AMT Event log for HTTPS Boot over wired LAN</t>
  </si>
  <si>
    <t>CSS-IVE-136382</t>
  </si>
  <si>
    <t>bios.alderlake,bios.arrowlake,bios.lunarlake,bios.meteorlake,bios.pantherlake,bios.pantherlake-p,bios.raptorlake,bios.tigerlake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</si>
  <si>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</si>
  <si>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</si>
  <si>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</si>
  <si>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</si>
  <si>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[OCR] Verify HTTPS Boot flow for One Click Recovery</t>
  </si>
  <si>
    <t>CSS-IVE-144440</t>
  </si>
  <si>
    <t>[OCR] Verify Windows Recovery Environment (WinRE) Boot flow for One Click Recovery</t>
  </si>
  <si>
    <t>CSS-IVE-144432</t>
  </si>
  <si>
    <t>[OCR] Verify PBA Boot flow for One Click Recovery</t>
  </si>
  <si>
    <t>CSS-IVE-144439</t>
  </si>
  <si>
    <t>[OCR] Verify System Recovery When OCR_HTTPS boot Flow is interrupted from AMT Remote session over wired LAN</t>
  </si>
  <si>
    <t>CSS-IVE-144511</t>
  </si>
  <si>
    <t>[OCR] Verify System Recovery When OCR_PBA boot Flow is interrupted from AMT Remote session over wired LAN</t>
  </si>
  <si>
    <t>CSS-IVE-144510</t>
  </si>
  <si>
    <t>Verify BIOS to update post codes on punit register</t>
  </si>
  <si>
    <t>CSS-IVE-135714</t>
  </si>
  <si>
    <t>bios.alderlake,bios.arrowlake,bios.lunarlake,bios.meteorlake,bios.pantherlake,bios.pantherlake-p,bios.raptorlake,bios.rocketlake</t>
  </si>
  <si>
    <t>Verify multiple global reset functionality cycles check in SUT with Debug BIOS</t>
  </si>
  <si>
    <t>CSS-IVE-144719</t>
  </si>
  <si>
    <t>bios.alderlake,bios.arrowlake,bios.lunarlake,bios.meteorlake,bios.raptorlake,bios.raptorlake_refresh,bios.tigerlake,ifwi.tigerlake</t>
  </si>
  <si>
    <t>[OCR] Verify One Click Recovery boot options when AC power is removed from SUT</t>
  </si>
  <si>
    <t>CSS-IVE-144589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</si>
  <si>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</si>
  <si>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</si>
  <si>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</si>
  <si>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</si>
  <si>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[OCR] Verify OCR_Boot Capabilities Via WSMAN Browser</t>
  </si>
  <si>
    <t>CSS-IVE-144830</t>
  </si>
  <si>
    <t>[OCR] Verify Remote Power Command after performing OCR_WinRE Boot flow</t>
  </si>
  <si>
    <t>CSS-IVE-144829</t>
  </si>
  <si>
    <t>Verify Concurrent Type-C Display functionality on hot plug over Type-C port and Connector reversibility</t>
  </si>
  <si>
    <t>CSS-IVE-144827</t>
  </si>
  <si>
    <t>bios.alderlake,bios.arrowlake,bios.jasperlake,bios.lakefield,bios.lunarlake,bios.meteorlake,bios.raptorlake,bios.raptorlake_refresh,bios.rocketlake,bios.tigerlake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</si>
  <si>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</si>
  <si>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</si>
  <si>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</si>
  <si>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</si>
  <si>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</si>
  <si>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</si>
  <si>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</si>
  <si>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</si>
  <si>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</si>
  <si>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</si>
  <si>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</si>
  <si>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</si>
  <si>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</si>
  <si>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</si>
  <si>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</si>
  <si>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</si>
  <si>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</si>
  <si>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</si>
  <si>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bios.alderlake,bios.arrowlake,bios.lakefield,bios.lunarlake,bios.meteorlake,bios.raptorlake,bios.raptorlake_refresh,bios.rocketlake,bios.tigerlake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</si>
  <si>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</si>
  <si>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</si>
  <si>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</si>
  <si>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</si>
  <si>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MEBx Menu should not Present in BIOS on Consumer SKU IFWI</t>
  </si>
  <si>
    <t>CSS-IVE-145632</t>
  </si>
  <si>
    <t>Validate GOP-VBT Merge tool functionality with Release and Debug image</t>
  </si>
  <si>
    <t>CSS-IVE-145232</t>
  </si>
  <si>
    <t>bios.alderlake,bios.arrowlake,bios.jasperlake,bios.lunarlake,bios.meteorlake,bios.raptorlake,bios.raptorlake_refresh,bios.rocketlake</t>
  </si>
  <si>
    <t>Verify if  system support disable/enable of the Crossover Canyon capability</t>
  </si>
  <si>
    <t>CSS-IVE-133650</t>
  </si>
  <si>
    <t>bios.alderlake,bios.amberlake,bios.arrowlake,bios.lunarlake,bios.meteorlake,bios.raptorlake,bios.rocketlake,bios.tigerlake</t>
  </si>
  <si>
    <t>Verify WiFi functionality in UEFI and KVM session establishment working same time for WiFi OCR support</t>
  </si>
  <si>
    <t>CSS-IVE-145974</t>
  </si>
  <si>
    <t>[OCR] Verify AMT triggered HTTPS Boot Flow over Wifi</t>
  </si>
  <si>
    <t>CSS-IVE-145976</t>
  </si>
  <si>
    <t>bios.me,bios.platform</t>
  </si>
  <si>
    <t>Verify HD Display Audio enumeration and functionality using Type-C to HDMI display by hot-plugging/unplugging display during and before/after S3/S4 cycles</t>
  </si>
  <si>
    <t>CSS-IVE-145982</t>
  </si>
  <si>
    <t>bios.alderlake,bios.arrowlake,bios.lunarlake,bios.meteorlake,bios.raptorlake,bios.raptorlake_refresh,bios.tigerlake</t>
  </si>
  <si>
    <t>ISH Sensor Enumeration- Hall effect Sensor</t>
  </si>
  <si>
    <t>CSS-IVE-146961</t>
  </si>
  <si>
    <t>[Hybrid] Verify system stability post Connected Modern Standby when only Atom or BIG cores are  individually enabled</t>
  </si>
  <si>
    <t>CSS-IVE-147000</t>
  </si>
  <si>
    <t>[OCR] Verify AMT triggered Windows Recovery Environment (WinRE) over Wireless LAN</t>
  </si>
  <si>
    <t>CSS-IVE-147136</t>
  </si>
  <si>
    <t>[OCR] Verify Windows Recovery (WinRE) Functionality from AMT Remote session with OCR option disabled in BIOS over Wireless LAN</t>
  </si>
  <si>
    <t>CSS-IVE-147137</t>
  </si>
  <si>
    <t>[OCR] Verify AMT triggered PBA Boot Flow over Wireless LAN</t>
  </si>
  <si>
    <t>CSS-IVE-147138</t>
  </si>
  <si>
    <t>[OCR] Verify Windows Recovery Environment (WinRE) Boot  with Reset PC(Keep my files) Option over Wireless LAN</t>
  </si>
  <si>
    <t>CSS-IVE-147139</t>
  </si>
  <si>
    <t>[OCR] Verify Windows Recovery Environment (WinRE) Boot  with Reset PC(Remove everything ) Option over Wireless LAN</t>
  </si>
  <si>
    <t>CSS-IVE-147140</t>
  </si>
  <si>
    <t>[OCR] Verify OCR progress and state via AMT Event log for WinRE boot over Wireless LAN</t>
  </si>
  <si>
    <t>CSS-IVE-147143</t>
  </si>
  <si>
    <t>bios.alderlake,bios.arrowlake,bios.lunarlake,bios.meteorlake,bios.pantherlake,bios.pantherlake-p,bios.raptorlake,ifwi.alderlake,ifwi.arrowlake,ifwi.lunarlake,ifwi.meteorlake,ifwi.raptorlake</t>
  </si>
  <si>
    <t>[OCR] Verify OCR progress and state via AMT Event log for PBA boot over Wireless LAN</t>
  </si>
  <si>
    <t>CSS-IVE-147144</t>
  </si>
  <si>
    <t>[OCR] Verify OCR progress and state via AMT Event log for HTTPS Boot over Wireless LAN</t>
  </si>
  <si>
    <t>CSS-IVE-147145</t>
  </si>
  <si>
    <t>bios.alderlake,bios.arrowlake,bios.lunarlake,bios.meteorlake,bios.raptorlake,ifwi.alderlake,ifwi.arrowlake,ifwi.lunarlake,ifwi.meteorlake,ifwi.raptorlake</t>
  </si>
  <si>
    <t>CSS-IVE-147177</t>
  </si>
  <si>
    <t>CSS-IVE-147178</t>
  </si>
  <si>
    <t>CSS-IVE-147179</t>
  </si>
  <si>
    <t>[OCR] Verify System Recovery When OCR_WinRE boot Flow is interrupted from AMT Remote session over Wireless LAN</t>
  </si>
  <si>
    <t>CSS-IVE-147180</t>
  </si>
  <si>
    <t>[OCR] Verify System Recovery When OCR_HTTPS boot Flow is interrupted from AMT Remote session over Wireless LAN</t>
  </si>
  <si>
    <t>CSS-IVE-147181</t>
  </si>
  <si>
    <t>[OCR] Verify System Recovery When OCR_PBA boot Flow is interrupted from AMT Remote session over Wireless LAN</t>
  </si>
  <si>
    <t>CSS-IVE-147182</t>
  </si>
  <si>
    <t>CSS-IVE-147183</t>
  </si>
  <si>
    <t>CSS-IVE-147184</t>
  </si>
  <si>
    <t>CSS-IVE-147185</t>
  </si>
  <si>
    <t>CSS-IVE-147186</t>
  </si>
  <si>
    <t>Verify the BIOS first Boot time and Cold Boot time is inline with responsiveness metrics</t>
  </si>
  <si>
    <t>CSS-IVE-70027</t>
  </si>
  <si>
    <t>bios.alderlake,bios.apollolake,bios.arrowlake,bios.geminilake,bios.lunarlake,bios.meteorlake,bios.pantherlake,bios.pantherlake-p,bios.raptorlake</t>
  </si>
  <si>
    <t>Verify System memory using Windows Memory Diagnostics tool (Basic)</t>
  </si>
  <si>
    <t>CSS-IVE-99732</t>
  </si>
  <si>
    <t>anaray5x</t>
  </si>
  <si>
    <t>bios.mrc_client</t>
  </si>
  <si>
    <t>bios.alderlake,bios.amberlake,bios.arrowlake,bios.geminilake,bios.icelake-client,bios.jasperlake,bios.lakefield,bios.lunarlake,bios.meteorlake,bios.raptorlake,bios.rocketlake,bios.tigerlake,ifwi.arrowlake,ifwi.geminilake,ifwi.icelake,ifwi.lakefield,ifwi.lunarlake,ifwi.meteorlake,ifwi.raptorlake,ifwi.tigerlake</t>
  </si>
  <si>
    <t>Verify System memory using Windows Memory Diagnostics tool (Standard)</t>
  </si>
  <si>
    <t>CSS-IVE-135380</t>
  </si>
  <si>
    <t>Verify  MRC training with 2xRefresh  is Enabled</t>
  </si>
  <si>
    <t>CSS-IVE-136372</t>
  </si>
  <si>
    <t>bios.alderlake,bios.amberlake,bios.amberlake_7w,bios.arrowlake,bios.cannonlake,bios.coffeelake,bios.cometlake,bios.geminilake,bios.icelake-client,bios.jasperlake,bios.kabylake,bios.kabylake_g,bios.kabylake_r,bios.lakefield,bios.lunarlake,bios.meteorlake,bios.raptorlake,bios.raptorlake_refresh,bios.rocketlake,bios.skylake,bios.tigerlake,bios.whiskeylake</t>
  </si>
  <si>
    <t>Verify  MRC training when 2xRefresh  is Disabled and Hardware RHP is Enabled</t>
  </si>
  <si>
    <t>CSS-IVE-136373</t>
  </si>
  <si>
    <t>bios.alderlake,bios.amberlake,bios.amberlake_7w,bios.arrowlake,bios.cannonlake,bios.coffeelake,bios.cometlake,bios.icelake-client,bios.jasperlake,bios.kabylake,bios.kabylake_g,bios.kabylake_r,bios.lakefield,bios.lunarlake,bios.meteorlake,bios.raptorlake,bios.raptorlake_refresh,bios.rocketlake,bios.skylake,bios.tigerlake,bios.whiskeylake</t>
  </si>
  <si>
    <t>Verify Volume Management Device (VMD) controller bar registers should initialize at PEI phase</t>
  </si>
  <si>
    <t>CSS-IVE-135443</t>
  </si>
  <si>
    <t>albinbal</t>
  </si>
  <si>
    <t>Verify S4 wake using power button in  DC /AC only mode</t>
  </si>
  <si>
    <t>CSS-IVE-61856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</si>
  <si>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tigerlake,bios.whiskeylake,ifwi.amberlake,ifwi.arrowlake,ifwi.lunarlake,ifwi.meteorlake,ifwi.raptorlake,ifwi.raptorlake_refresh</t>
  </si>
  <si>
    <t>Verify Lid Switch open/close functionality at S3 state - test</t>
  </si>
  <si>
    <t>CSS-IVE-61859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</si>
  <si>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skylake,bios.tigerlake,bios.whiskeylake,ifwi.amberlake,ifwi.arrowlake,ifwi.lunarlake,ifwi.meteorlake,ifwi.raptorlake,ifwi.raptorlake_refresh</t>
  </si>
  <si>
    <t>Verify Lid Switch Action can "Shut down" the system</t>
  </si>
  <si>
    <t>CSS-IVE-61860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</si>
  <si>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tigerlake,bios.whiskeylake</t>
  </si>
  <si>
    <t>Verify Lid Switch Action can put system to S4 and Lid Switch Action can not wake system from S4</t>
  </si>
  <si>
    <t>CSS-IVE-61861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</si>
  <si>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aptorlake_refresh,bios.tigerlake,bios.whiskeylake,ifwi.amberlake,ifwi.apollolake,ifwi.arrowlake,ifwi.lunarlake,ifwi.meteorlake,ifwi.raptorlake,ifwi.raptorlake_refresh</t>
  </si>
  <si>
    <t>Verify if the SUT shuts down when the Power Button is held for more than 10 seconds</t>
  </si>
  <si>
    <t>CSS-IVE-61866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</si>
  <si>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rocketlake,bios.tigerlake,bios.whiskeylake,ifwi.amberlake,ifwi.arrowlake,ifwi.lunarlake,ifwi.meteorlake,ifwi.raptorlake,ifwi.raptorlake_refresh</t>
  </si>
  <si>
    <t>Verify the  functionality of Hardware buttons</t>
  </si>
  <si>
    <t>CSS-IVE-61869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</si>
  <si>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tigerlake,bios.whiskeylake,ifwi.coffeelake</t>
  </si>
  <si>
    <t>Verify Press power button can act as a wake source for S4 and S3 states</t>
  </si>
  <si>
    <t>CSS-IVE-91440</t>
  </si>
  <si>
    <t>Verify "Slide to shutdown" option does not come up on UI on resuming from CMS / S0i3</t>
  </si>
  <si>
    <t>CSS-IVE-79983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</si>
  <si>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rrowlake,ifwi.cannonlake,ifwi.coffeelake,ifwi.cometlake,ifwi.geminilake,ifwi.icelake,ifwi.kabylake,ifwi.kabylake_r,ifwi.lakefield,ifwi.lunarlake,ifwi.meteorlake,ifwi.raptorlake,ifwi.tigerlake,ifwi.whiskeylake</t>
  </si>
  <si>
    <t>Verify Type-C Connector reversibility - USB only devices</t>
  </si>
  <si>
    <t>CSS-IVE-73195</t>
  </si>
  <si>
    <t>bios.alderlake,bios.amberlake,bios.apollolake,bios.arrowlake,bios.cannonlake,bios.coffeelake,bios.cometlake,bios.geminilake,bios.icelake-client,bios.jasperlake,bios.kabylake,bios.kabylake_r,bios.lakefield,bios.lunarlake,bios.meteorlake,bios.pantherlake,bios.pantherlake-p,bios.pantherlake-s,bios.raptorlake,bios.raptorlake_refresh,bios.rocketlake,bios.skylake,bios.tigerlake,bios.tigerlake_refresh,bios.whiskeylake,ifwi.amberlake,ifwi.apollolake,ifwi.arrowlake,ifwi.cannonlake,ifwi.coffeelake,ifwi.cometlake,ifwi.geminilake,ifwi.icelake,ifwi.kabylake,ifwi.kabylake_r,ifwi.lakefield,ifwi.lunarlake,ifwi.meteorlake,ifwi.raptorlake,ifwi.raptorlake_refresh,ifwi.tigerlake,ifwi.tigerlake_refresh,ifwi.whiskeylake</t>
  </si>
  <si>
    <t>Verify USB-Keyboards functionality connected on Type-C port in Pre-OS and Post OS environment</t>
  </si>
  <si>
    <t>CSS-IVE-76273</t>
  </si>
  <si>
    <t>bios.alderlake,bios.amberlake,bios.apollolake,bios.arrowlake,bios.cannonlake,bios.coffeelake,bios.geminilake,bios.icelake-client,bios.jasperlake,bios.kabylake,bios.kabylake_r,bios.lakefield,bios.lunarlake,bios.meteorlake,bios.pantherlake-h,bios.pantherlake-p,bios.pantherlake-u,bios.raptorlake,bios.raptorlake_refresh,bios.rocketlake,bios.tigerlake,bios.tigerlake_refresh,bios.whiskeylake,ifwi.amberlake,ifwi.apollolake,ifwi.arrowlake,ifwi.cannonlake,ifwi.coffeelake,ifwi.geminilake,ifwi.icelake,ifwi.kabylake,ifwi.kabylake_r,ifwi.lakefield,ifwi.lunarlake,ifwi.meteorlake,ifwi.raptorlake,ifwi.raptorlake_refresh,ifwi.tigerlake,ifwi.whiskeylake</t>
  </si>
  <si>
    <t>Verify USB Type-C device Connector reversibility functionality when SUT is in Sx (S3,S4,S5)_x000D_
 state</t>
  </si>
  <si>
    <t>CSS-IVE-99710</t>
  </si>
  <si>
    <t>bios.alderlake,bios.amberlake,bios.arrowlake,bios.cannonlake,bios.coffeelake,bios.cometlake,bios.geminilake,bios.icelake-client,bios.jasperlake,bios.kabylake,bios.kabylake_r,bios.lakefield,bios.lunarlake,bios.meteorlake,bios.pantherlake,bios.pantherlake-h,bios.pantherlake-p,bios.pantherlake-u,bios.raptorlake,bios.raptorlake_refresh,bios.rocketlake,bios.tigerlake,bios.whiskeylake,ifwi.amberlake,ifwi.cannonlake,ifwi.coffeelake,ifwi.cometlake,ifwi.geminilake,ifwi.icelake,ifwi.kabylake,ifwi.kabylake_r,ifwi.lakefield,ifwi.raptorlake_refresh,ifwi.tigerlake,ifwi.tigerlake_refresh,ifwi.whiskeylake</t>
  </si>
  <si>
    <t>Verify Type-C Connector reversibility functionality for Display over Type-C port</t>
  </si>
  <si>
    <t>CSS-IVE-99711</t>
  </si>
  <si>
    <t>bios.alderlake,bios.amberlake,bios.arrowlake,bios.cannonlake,bios.coffeelake,bios.cometlake,bios.geminilake,bios.icelake-client,bios.jasperlake,bios.kabylake,bios.kabylake_r,bios.lakefield,bios.lunarlake,bios.meteorlake,bios.pantherlake-s,bios.raptorlake,bios.raptorlake_refresh,bios.rocketlake,bios.tigerlake,bios.whiskeylake,ifwi.amberlake,ifwi.arrowlake,ifwi.cannonlake,ifwi.coffeelake,ifwi.cometlake,ifwi.geminilake,ifwi.icelake,ifwi.kabylake,ifwi.kabylake_r,ifwi.lakefield,ifwi.lunarlake,ifwi.meteorlake,ifwi.raptorlake,ifwi.raptorlake_refresh,ifwi.tigerlake,ifwi.whiskeylake</t>
  </si>
  <si>
    <t>Verify system stability when hot-plug Type-C power adapter</t>
  </si>
  <si>
    <t>CSS-IVE-134011</t>
  </si>
  <si>
    <t>bios.platform,bios.sa,fw.ifwi.dekelPhy,fw.ifwi.iom,fw.ifwi.pmc,fw.ifwi.tbt</t>
  </si>
  <si>
    <t>bios.alderlake,bios.apollolake,bios.arrowlake,bios.cannonlake,bios.coffeelake,bios.cometlake,bios.geminilake,bios.icelake-client,bios.jasperlake,bios.kabylake,bios.kabylake_r,bios.lakefield,bios.lunarlake,bios.meteorlake,bios.raptorlake,bios.raptorlake_refresh,bios.tigerlake,bios.whiskeylake,ifwi.apollolake,ifwi.cannonlake,ifwi.coffeelake,ifwi.cometlake,ifwi.geminilake,ifwi.icelake,ifwi.jasperlake,ifwi.kabylake,ifwi.kabylake_r,ifwi.lakefield,ifwi.raptorlake_refresh,ifwi.tigerlake,ifwi.whiskeylake</t>
  </si>
  <si>
    <t>Verify Boot to OS from NVMe Storage</t>
  </si>
  <si>
    <t>CSS-IVE-76111</t>
  </si>
  <si>
    <t>bios.pch,fw.ifwi.bios,fw.ifwi.others</t>
  </si>
  <si>
    <t>bios.alderlake,bios.amberlake,bios.apollolake,bios.arrowlake,bios.cannonlake,bios.coffeelake,bios.cometlake,bios.geminilake,bios.icelake-client,bios.jasperlake,bios.kabylake,bios.kabylake_r,bios.lakefield,bios.lunarlake,bios.meteorlake,bios.pantherlake,bios.pantherlake-p,bios.pantherlake-s,bios.pantherlake-u,bios.raptorlake,bios.ridgeport,bios.rocketlake,bios.skylake,bios.tigerlake,bios.tigerlake_refresh,bios.whiskeylake,ifwi.arrowlake,ifwi.coffeelake,ifwi.lunarlake,ifwi.meteorlake,ifwi.raptorlake</t>
  </si>
  <si>
    <t>Verify Dead battery charging in S5 state using Type-C charger</t>
  </si>
  <si>
    <t>CSS-IVE-80690</t>
  </si>
  <si>
    <t>bios.pch,fw.ifwi.bios,fw.ifwi.ec</t>
  </si>
  <si>
    <t>bios.alderlake,bios.apollolake,bios.arrowlake,bios.cannonlake,bios.coffeelake,bios.cometlake,bios.icelake-client,bios.jasperlake,bios.kabylake,bios.kabylake_r,bios.lakefield,bios.lunarlake,bios.meteorlake,bios.raptorlake,bios.raptorlake_refresh,bios.tigerlake,bios.whiskeylake,ifwi.lunarlake,ifwi.meteorlake,ifwi.raptorlake,ifwi.raptorlake_refresh</t>
  </si>
  <si>
    <t>Verify that battery gets charged only when  AC  is inserted and battery is present</t>
  </si>
  <si>
    <t>CSS-IVE-76042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</si>
  <si>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tigerlake,bios.whiskeylake,ifwi.amberlake,ifwi.arrowlake,ifwi.coffeelake,ifwi.lunarlake,ifwi.meteorlake,ifwi.raptorlake,ifwi.raptorlake_refresh</t>
  </si>
  <si>
    <t>Verify that SUT goes to S4 automatically on reaching critical battery level and does not resume on pressing power button</t>
  </si>
  <si>
    <t>CSS-IVE-71185</t>
  </si>
  <si>
    <t>Verify that battery is charged and discharged at near critical battery level</t>
  </si>
  <si>
    <t>CSS-IVE-71567</t>
  </si>
  <si>
    <t>bios.alderlake,bios.amberlake,bios.apollolake,bios.arrowlake,bios.broxton,bios.cannonlake,bios.coffeelake,bios.cometlake,bios.elkhartlake,bios.geminilake,bios.icelake-client,bios.jasperlake,bios.kabylake,bios.kabylake_r,bios.lakefield,bios.lunarlake,bios.meteorlake,bios.raptorlake,bios.raptorlake_refresh,bios.tigerlake,bios.whiskeylake,ifwi.amberlake,ifwi.apollolake,ifwi.arrowlake,ifwi.broxton,ifwi.cannonlake,ifwi.coffeelake,ifwi.cometlake,ifwi.elkhartlake,ifwi.geminilake,ifwi.icelake,ifwi.kabylake,ifwi.kabylake_r,ifwi.lakefield,ifwi.lunarlake,ifwi.meteorlake,ifwi.raptorlake,ifwi.raptorlake_refresh,ifwi.tigerlake,ifwi.whiskeylake</t>
  </si>
  <si>
    <t>Verify that SUT goes to S4 automatically on reaching critical battery level (5%) and does not resume on pressing power button</t>
  </si>
  <si>
    <t>CSS-IVE-81059</t>
  </si>
  <si>
    <t>Verify System stability on Sleep on battery and resume on  AC  brick and vice versa</t>
  </si>
  <si>
    <t>CSS-IVE-145301</t>
  </si>
  <si>
    <t>Verify CPU fan is on during system boot</t>
  </si>
  <si>
    <t>CSS-IVE-71406</t>
  </si>
  <si>
    <t>bios.alderlake,bios.amberlake,bios.apollolake,bios.arrowlake,bios.cannonlake,bios.coffeelake,bios.cometlake,bios.icelake-client,bios.jasperlake,bios.kabylake,bios.kabylake_r,bios.lakefield,bios.lunarlake,bios.meteorlake,bios.pantherlake,bios.pantherlake-p,bios.pantherlake-s,bios.raptorlake,bios.rocketlake,bios.tigerlake,bios.whiskeylake,ifwi.coffeelake</t>
  </si>
  <si>
    <t>Verify CPU Fan speed can be set/read through commands in EFI mode</t>
  </si>
  <si>
    <t>CSS-IVE-72687</t>
  </si>
  <si>
    <t>bios.alderlake,bios.amberlake,bios.apollolake,bios.arrowlake,bios.cannonlake,bios.coffeelake,bios.cometlake,bios.geminilake,bios.icelake-client,bios.jasperlake,bios.kabylake,bios.kabylake_r,bios.lakefield,bios.raptorlake,bios.rocketlake,bios.tigerlake,bios.whiskeylake,ifwi.coffeelake,ifwi.cometlake</t>
  </si>
  <si>
    <t>Verify Scan matrix keyboard windows hotkey functionality</t>
  </si>
  <si>
    <t>CSS-IVE-61868</t>
  </si>
  <si>
    <t>bios.alderlake,bios.amberlake,bios.apollolake,bios.arrowlake,bios.cannonlake,bios.coffeelake,bios.cometlake,bios.icelake-client,bios.jasperlake,bios.kabylake,bios.kabylake_r,bios.lakefield,bios.lunarlake,bios.meteorlake,bios.pantherlake,bios.pantherlake-p,bios.raptorlake,bios.raptorlake_refresh,bios.tigerlake,bios.whiskeylake,ifwi.alderlake,ifwi.raptorlake_refresh</t>
  </si>
  <si>
    <t>Verify S3 and S4 LED status</t>
  </si>
  <si>
    <t>CSS-IVE-61838</t>
  </si>
  <si>
    <t>bios.alderlake,bios.amberlake,bios.apollolake,bios.arrowlake,bios.cannonlake,bios.coffeelake,bios.cometlake,bios.geminilake,bios.icelake-client,bios.kabylake,bios.kabylake_r,bios.lunarlake,bios.meteorlake,bios.pantherlake,bios.pantherlake-p,bios.raptorlake,bios.raptorlake_refresh,bios.rocketlake,bios.tigerlake,bios.whiskeylake,ifwi.coffeelake,ifwi.cometlake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</si>
  <si>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</si>
  <si>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</si>
  <si>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</si>
  <si>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</si>
  <si>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bios.platform,fw.ifwi.others,fw.ifwi.pmc</t>
  </si>
  <si>
    <t>bios.alderlake,bios.arrowlake,bios.jasperlake,bios.lunarlake,bios.meteorlake,bios.raptorlake,bios.raptorlake_refresh,bios.rocketlake,ifwi.arrowlake,ifwi.lunarlake,ifwi.meteorlake,ifwi.raptorlake</t>
  </si>
  <si>
    <t>Verify Hibernate, Shutdown entry and exit via power button</t>
  </si>
  <si>
    <t>CSS-IVE-145406</t>
  </si>
  <si>
    <t>bios.alderlake,bios.arrowlake,bios.jasperlake,bios.lunarlake,bios.meteorlake,bios.pantherlake,bios.pantherlake-p,bios.raptorlake,bios.raptorlake_refresh,bios.rocketlake,ifwi.arrowlake,ifwi.lunarlake,ifwi.meteorlake,ifwi.raptorlake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</si>
  <si>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</si>
  <si>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</si>
  <si>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</si>
  <si>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</si>
  <si>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system entry and exit from Deep S4 and Deep S5 power state</t>
  </si>
  <si>
    <t>CSS-IVE-145413</t>
  </si>
  <si>
    <t>bios.alderlake,bios.arrowlake,bios.jasperlake,bios.lunarlake,bios.meteorlake,bios.pantherlake-s,bios.raptorlake,ifwi.arrowlake,ifwi.lunarlake,ifwi.meteorlake,ifwi.raptorlake</t>
  </si>
  <si>
    <t>Verify system entry and exit to Deep S4 and Deep S5 modes with system in AC mode</t>
  </si>
  <si>
    <t>CSS-IVE-145414</t>
  </si>
  <si>
    <t>bios.alderlake,bios.arrowlake,bios.lunarlake,bios.meteorlake,bios.raptorlake,bios.rocketlake,ifwi.arrowlake,ifwi.lunarlake,ifwi.meteorlake,ifwi.raptorlake</t>
  </si>
  <si>
    <t>Verify CPU turbo boost functionality  pre and post S4 , S5 , warm and cold reboot cycles</t>
  </si>
  <si>
    <t>CSS-IVE-145415</t>
  </si>
  <si>
    <t>bios.alderlake,bios.amberlake,bios.arrowlake,bios.coffeelake,bios.jasperlake,bios.kabylake,bios.lunarlake,bios.meteorlake,bios.raptorlake,bios.raptorlake_refresh,bios.rocketlake,bios.skylake,bios.whiskeylake,ifwi.alderlake,ifwi.arrowlake,ifwi.jasperlake,ifwi.lunarlake,ifwi.meteorlake,ifwi.raptorlake,ifwi.rocketlake</t>
  </si>
  <si>
    <t>Verify system stability on waking from idle state pre and post S4,S5 ,warm and cold reboot cycles</t>
  </si>
  <si>
    <t>CSS-IVE-145416</t>
  </si>
  <si>
    <t>bios.alderlake,bios.arrowlake,bios.jasperlake,bios.lunarlake,bios.meteorlake,bios.raptorlake,bios.raptorlake_refresh,bios.rocketlake,ifwi.arrowlake,ifwi.lunarlake,ifwi.meteorlake,ifwi.raptorlake,ifwi.raptorlake_refresh</t>
  </si>
  <si>
    <t>Verify post code functionality across Sx cycles</t>
  </si>
  <si>
    <t>CSS-IVE-118169</t>
  </si>
  <si>
    <t>bios.alderlake,bios.amber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,ifwi.coffeelake</t>
  </si>
  <si>
    <t>Verify SUT wake from Pseudo G3 via RTC Wake Functionality</t>
  </si>
  <si>
    <t>CSS-IVE-145824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</si>
  <si>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raptorlake,bios.raptorlake_refresh,bios.rocketlake,bios.tigerlake,bios.whiskeylake,ifwi.alderlake,ifwi.arrowlake,ifwi.lunarlake,ifwi.meteorlake,ifwi.raptorlake,ifwi.raptorlake_refresh</t>
  </si>
  <si>
    <t>Verify EC initiate PG3 only when SUT is on battery power source</t>
  </si>
  <si>
    <t>CSS-IVE-147130</t>
  </si>
  <si>
    <t>bios.alderlake,bios.arrowlake,bios.meteorlake,bios.raptorlake,bios.raptorlake_refresh,ifwi.arrowlake,ifwi.meteorlake,ifwi.raptorlake,ifwi.raptorlake_refresh</t>
  </si>
  <si>
    <t>[FSP2.0]: Verify FSP_INFO_HEADER Information</t>
  </si>
  <si>
    <t>CSS-IVE-78895</t>
  </si>
  <si>
    <t>bios.cpu_pm,bios.me,bios.platform,bios.sa</t>
  </si>
  <si>
    <t>bios.alderlake,bios.amberlake,bios.apollolake,bios.arrowlake,bios.cannonlake,bios.coffeelake,bios.cometlake,bios.geminilake,bios.icelake-client,bios.jasperlake,bios.kabylake,bios.kabylake_r,bios.lakefield,bios.lunarlake,bios.meteorlake,bios.pantherlake,bios.pantherlake-p,bios.pantherlake-u,bios.raptorlake,bios.raptorlake_refresh,bios.rocketlake,bios.tigerlake,bios.whiskeylake</t>
  </si>
  <si>
    <t>[FSP2.0]: Verify FSP_INFO_EXTENDED_HEADER Information.</t>
  </si>
  <si>
    <t>CSS-IVE-78896</t>
  </si>
  <si>
    <t>bios.alderlake,bios.amberlake,bios.apollolake,bios.arrowlake,bios.cannonlake,bios.coffeelake,bios.geminilake,bios.icelake-client,bios.jasperlake,bios.kabylake,bios.kabylake_r,bios.lakefield,bios.lunarlake,bios.meteorlake,bios.pantherlake,bios.pantherlake-p,bios.raptorlake,bios.raptorlake_refresh,bios.rocketlake,bios.tigerlake,bios.whiskeylake</t>
  </si>
  <si>
    <t>[FSP2.0]: Verify FSP Patch Table Information</t>
  </si>
  <si>
    <t>CSS-IVE-78899</t>
  </si>
  <si>
    <t>bios.alderlake,bios.amberlake,bios.apollolake,bios.arrowlake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</t>
  </si>
  <si>
    <t>[FSP] Verify FSP Header File(.fd) and boot setting file(.bsf) loads correctly into BCT tool</t>
  </si>
  <si>
    <t>CSS-IVE-80420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</si>
  <si>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</t>
  </si>
  <si>
    <t>[FSP2.0]: Verify GUID of SMBIOS HOB"s (Memory, Processor and Cache)</t>
  </si>
  <si>
    <t>CSS-IVE-86540</t>
  </si>
  <si>
    <t>bios.fsp,bios.pch,bios.platform</t>
  </si>
  <si>
    <t>bios.alderlake,bios.amberlake,bios.apollolake,bios.arrowlake,bios.cannonlake,bios.coffeelake,bios.cometlake,bios.geminilake,bios.icelake-client,bios.jasperlake,bios.kabylake,bios.kabylake_r,bios.lakefield,bios.lunarlake,bios.meteorlake,bios.pantherlake,bios.pantherlake-p,bios.pantherlake-s,bios.raptorlake,bios.raptorlake_refresh,bios.rocketlake,bios.skylake,bios.tigerlake,bios.whiskeylake</t>
  </si>
  <si>
    <t>[FSP] Verify FSP BIOS Boot Flow</t>
  </si>
  <si>
    <t>CSS-IVE-78905</t>
  </si>
  <si>
    <t>bios.cpu_pm,bios.platform,fw.ifwi.bios</t>
  </si>
  <si>
    <t>bios.alderlake,bios.arrowlake,bios.cannonlake,bios.coffeelake,bios.geminilake,bios.icelake-client,bios.jasperlake,bios.kabylake,bios.kabylake_r,bios.lakefield,bios.lunarlake,bios.meteorlake,bios.pantherlake,bios.pantherlake-p,bios.pantherlake-s,bios.raptorlake,bios.raptorlake_refresh,bios.tigerlake,ifwi.arrowlake,ifwi.cannonlake,ifwi.coffeelake,ifwi.geminilake,ifwi.icelake,ifwi.kabylake,ifwi.kabylake_r,ifwi.lakefield,ifwi.raptorlake,ifwi.raptorlake_refresh</t>
  </si>
  <si>
    <t>[FSP] Verify FSP BIOS Dispatch mode Boot Flow</t>
  </si>
  <si>
    <t>CSS-IVE-118658</t>
  </si>
  <si>
    <t>bios.alderlake,bios.arrowlake,bios.cometlake,bios.icelake-client,bios.jasperlake,bios.kabylake,bios.lunarlake,bios.meteorlake,bios.pantherlake,bios.pantherlake-p,bios.pantherlake-u,bios.raptorlake,bios.raptorlake_refresh,bios.rocketlake,bios.tigerlake,ifwi.arrowlake,ifwi.cometlake,ifwi.icelake,ifwi.kabylake,ifwi.lunarlake,ifwi.raptorlake,ifwi.raptorlake_refresh,ifwi.tigerlake,ifwi.tigerlake_refresh</t>
  </si>
  <si>
    <t>[FSP2.1]: Verify FSP_SMBIOS_EFI_PEI_GRAPHICS_DEVICE_INFO_HOB table</t>
  </si>
  <si>
    <t>CSS-IVE-122365</t>
  </si>
  <si>
    <t>bios.alderlake,bios.arrowlake,bios.cometlake,bios.jasperlake,bios.lunarlake,bios.meteorlake,bios.pantherlake,bios.pantherlake-p,bios.pantherlake-s,bios.raptorlake,bios.raptorlake_refresh,bios.rocketlake,bios.tigerlake</t>
  </si>
  <si>
    <t>[FSP][GCC]: Validate Pre and Post OS display with different FSP Bios</t>
  </si>
  <si>
    <t>CSS-IVE-132857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</si>
  <si>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raptorlake,bios.raptorlake_refresh,bios.rocketlake,bios.whiskeylake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</si>
  <si>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</si>
  <si>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</si>
  <si>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</si>
  <si>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</si>
  <si>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</si>
  <si>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</si>
  <si>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pantherlake-s,bios.raptorlake,bios.raptorlake_refresh,bios.rocketlake,bios.skylake,bios.whiskeylake</t>
  </si>
  <si>
    <t>[FSP][GCC]: Verify FSP BIOS Boot Flow</t>
  </si>
  <si>
    <t>CSS-IVE-132864</t>
  </si>
  <si>
    <t>bios.cpu_pm,bios.fsp,bios.platform,fw.ifwi.bios</t>
  </si>
  <si>
    <t>bios.alderlake,bios.arrowlake,bios.cannonlake,bios.coffeelake,bios.cometlake,bios.geminilake,bios.icelake-client,bios.jasperlake,bios.kabylake,bios.kabylake_r,bios.lunarlake,bios.meteorlake,bios.pantherlake,bios.pantherlake-p,bios.pantherlake-s,bios.raptorlake,bios.raptorlake_refresh,ifwi.arrowlake,ifwi.cannonlake,ifwi.coffeelake,ifwi.cometlake,ifwi.geminilake,ifwi.kabylake,ifwi.kabylake_r,ifwi.raptorlake,ifwi.raptorlake_refresh</t>
  </si>
  <si>
    <t>[FSP][GCC] Verify FSP BIOS Dispatch/API mode Boot Flow</t>
  </si>
  <si>
    <t>CSS-IVE-132865</t>
  </si>
  <si>
    <t>bios.alderlake,bios.arrowlake,bios.cometlake,bios.icelake-client,bios.jasperlake,bios.kabylake,bios.lunarlake,bios.meteorlake,bios.pantherlake,bios.pantherlake-p,bios.pantherlake-u,bios.raptorlake,bios.raptorlake_refresh,bios.rocketlake,ifwi.arrowlake,ifwi.cometlake,ifwi.icelake,ifwi.kabylake,ifwi.lunarlake,ifwi.raptorlake,ifwi.raptorlake_refresh</t>
  </si>
  <si>
    <t>[FSP2.0][GCC]: Verify "FSP Information" under BIOS</t>
  </si>
  <si>
    <t>CSS-IVE-132867</t>
  </si>
  <si>
    <t>bios.alderlake,bios.arrowlake,bios.cannonlake,bios.coffeelake,bios.cometlake,bios.icelake-client,bios.lunarlake,bios.meteorlake,bios.pantherlake,bios.pantherlake-p,bios.pantherlake-s,bios.raptorlake,bios.raptorlake_refresh,bios.rocketlake,bios.whiskeylake</t>
  </si>
  <si>
    <t>[FSP] [GCC]Verify SX transition of the system with FSP GCC Release build</t>
  </si>
  <si>
    <t>CSS-IVE-132870</t>
  </si>
  <si>
    <t>bios.alderlake,bios.arrowlake,bios.cannonlake,bios.coffeelake,bios.cometlake,bios.icelake-client,bios.lunarlake,bios.meteorlake,bios.raptorlake,bios.raptorlake_refresh,bios.rocketlake,bios.whiskeylake</t>
  </si>
  <si>
    <t>[FSP][GCC]: Verify FSP_INFO_HEADER Information</t>
  </si>
  <si>
    <t>CSS-IVE-132852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</si>
  <si>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pantherlake-u,bios.raptorlake,bios.raptorlake_refresh,bios.rocketlake,bios.whiskeylake</t>
  </si>
  <si>
    <t>[FSP][GCC]: Verify FSP version on SUT</t>
  </si>
  <si>
    <t>CSS-IVE-132853</t>
  </si>
  <si>
    <t>bios.alderlake,bios.amberlake,bios.apollolake,bios.arrowlake,bios.cannonlake,bios.coffeelake,bios.cometlake,bios.geminilake,bios.icelake-client,bios.jasperlake,bios.kabylake,bios.kabylake_r,bios.lunarlake,bios.meteorlake,bios.raptorlake,bios.raptorlake_refresh,bios.rocketlake,bios.skylake,bios.whiskeylake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</si>
  <si>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</si>
  <si>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</si>
  <si>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</si>
  <si>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</si>
  <si>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bios.alderlake,bios.amberlake,bios.apollolake,bios.arrowlake,bios.cannonlake,bios.coffeelake,bios.cometlake,bios.geminilake,bios.icelake-client,bios.jasperlake,bios.kabylake,bios.kabylake_r,bios.lunarlake,bios.meteorlake,bios.raptorlake,bios.raptorlake_refresh,bios.rocketlake,bios.whiskeylake</t>
  </si>
  <si>
    <t>[FSP2.1][GCC]: Verify FSP_SMBIOS_EFI_PEI_GRAPHICS_DEVICE_INFO_HOB table</t>
  </si>
  <si>
    <t>CSS-IVE-132898</t>
  </si>
  <si>
    <t>bios.fsp,bios.platform,bios.sa</t>
  </si>
  <si>
    <t>bios.alderlake,bios.arrowlake,bios.cometlake,bios.jasperlake,bios.lunarlake,bios.meteorlake,bios.pantherlake,bios.pantherlake-p,bios.pantherlake-s,bios.raptorlake,bios.raptorlake_refresh,bios.rocketlake</t>
  </si>
  <si>
    <t>Verify BIOS expose option to enable/disable the SRIOV feature</t>
  </si>
  <si>
    <t>CSS-IVE-130040</t>
  </si>
  <si>
    <t>bios.alderlake,bios.arrowlake,bios.lunarlake,bios.meteorlake,bios.pantherlake,bios.pantherlake-p,bios.raptorlake,bios.raptorlake_refresh,bios.tigerlake,ifwi.tigerlake</t>
  </si>
  <si>
    <t>Exercising GMM/GNA Error check in BIOS and corresponding BDF values</t>
  </si>
  <si>
    <t>CSS-IVE-50447</t>
  </si>
  <si>
    <t>bios.alderlake,bios.amberlake,bios.arrowlake,bios.cannonlake,bios.coffeelake,bios.icelake-client,bios.jasperlake,bios.kabylake,bios.kabylake_r,bios.lunarlake,bios.meteorlake,bios.raptorlake,bios.raptorlake_refresh,bios.rocketlake,bios.tigerlake,bios.whiskeylake</t>
  </si>
  <si>
    <t>Check if GMM/GNA device is fused enabled and check for BIOS option to Enable/ Disable GMM/GNA</t>
  </si>
  <si>
    <t>CSS-IVE-50448</t>
  </si>
  <si>
    <t>bios.alderlake,bios.arrowlake,bios.cannonlake,bios.coffeelake,bios.cometlake,bios.icelake-client,bios.jasperlake,bios.kabylake,bios.raptorlake,bios.raptorlake_refresh,bios.rocketlake,bios.tigerlake</t>
  </si>
  <si>
    <t>Verify that the BIOS shall display the VBIOS/GOP version</t>
  </si>
  <si>
    <t>CSS-IVE-50460</t>
  </si>
  <si>
    <t>bios.alderlake,bios.arrowlake,bios.cannonlake,bios.icelake-client,bios.jasperlake,bios.kabylake,bios.lunarlake,bios.meteorlake,bios.pantherlake,bios.pantherlake-p,bios.raptorlake,bios.raptorlake_refresh,bios.rocketlake,bios.tigerlake</t>
  </si>
  <si>
    <t>Verify PAVP BIOS option</t>
  </si>
  <si>
    <t>CSS-IVE-69482</t>
  </si>
  <si>
    <t>bios.alderlake,bios.amberlake,bios.apollolake,bios.arrowlake,bios.broxton,bios.cannonlake,bios.coffeelake,bios.geminilake,bios.icelake-client,bios.jasperlake,bios.kabylake,bios.lakefield,bios.lunarlake,bios.meteorlake,bios.pantherlake,bios.pantherlake-p,bios.raptorlake,bios.raptorlake_refresh,bios.rocketlake,bios.tigerlake,bios.whiskeylake</t>
  </si>
  <si>
    <t>Verify HDMI &amp; DP hot-plug functionality, with default display connected</t>
  </si>
  <si>
    <t>CSS-IVE-69500</t>
  </si>
  <si>
    <t>bios.alderlake,bios.apollolake,bios.arrowlake,bios.broxton,bios.cannonlake,bios.cometlake,bios.geminilake,bios.icelake-client,bios.kabylake,bios.lunarlake,bios.meteorlake,bios.raptorlake,bios.raptorlake_refresh,bios.rocketlake,bios.tigerlake</t>
  </si>
  <si>
    <t>Verify that platform supports for DP and Hot-plug of DP in dual display mode</t>
  </si>
  <si>
    <t>CSS-IVE-69884</t>
  </si>
  <si>
    <t>bios.alderlake,bios.apollolake,bios.arrowlake,bios.broxton,bios.cannonlake,bios.cometlake,bios.geminilake,bios.icelake-client,bios.kabylake,bios.lunarlake,bios.meteorlake,bios.pantherlake,bios.pantherlake-p,bios.raptorlake,bios.rocketlake,bios.tigerlake</t>
  </si>
  <si>
    <t>Verifying EDID (Extended Display Identification Data) support check for display resolution/refresh rate</t>
  </si>
  <si>
    <t>CSS-IVE-69915</t>
  </si>
  <si>
    <t>bios.alderlake,bios.apollolake,bios.arrowlake,bios.broxton,bios.geminilake,bios.lunarlake,bios.meteorlake,bios.raptorlake,bios.raptorlake_refresh,bios.rocketlake,bios.tigerlake</t>
  </si>
  <si>
    <t>Check DMI is enabled by default in BIOS for Halo/ DT boards</t>
  </si>
  <si>
    <t>CSS-IVE-70915</t>
  </si>
  <si>
    <t>bios.alderlake,bios.arrowlake,bios.cannonlake,bios.coffeelake,bios.cometlake,bios.kabylake,bios.lunarlake,bios.meteorlake,bios.raptorlake,bios.rocketlake,bios.tigerlake</t>
  </si>
  <si>
    <t>Verify Power Management (PM) support for GT</t>
  </si>
  <si>
    <t>CSS-IVE-70951</t>
  </si>
  <si>
    <t>bios.alderlake,bios.amberlake,bios.arrowlake,bios.cannonlake,bios.coffeelake,bios.cometlake,bios.icelake-client,bios.kabylake,bios.kabylake_r,bios.lunarlake,bios.meteorlake,bios.raptorlake,bios.raptorlake_refresh,bios.rocketlake,bios.skylake,bios.tigerlake,bios.whiskeylake</t>
  </si>
  <si>
    <t>Check HG is detected in UEFI shell and OS Device Manager</t>
  </si>
  <si>
    <t>CSS-IVE-71471</t>
  </si>
  <si>
    <t>bios.alderlake,bios.arrowlake,bios.cannonlake,bios.coffeelake,bios.icelake-client,bios.jasperlake,bios.kabylake,bios.kabylake_r,bios.meteorlake,bios.pantherlake,bios.pantherlake-p,bios.raptorlake,bios.raptorlake_refresh,bios.rocketlake,bios.skylake,bios.tigerlake,bios.whiskeylake</t>
  </si>
  <si>
    <t>Validate Hybrid Graphics (HG) enumeration at OS with DP display connected on SUT</t>
  </si>
  <si>
    <t>CSS-IVE-80836</t>
  </si>
  <si>
    <t>bios.alderlake,bios.apollolake,bios.arrowlake,bios.cometlake,bios.geminilake,bios.icelake-client,bios.meteorlake,bios.pantherlake,bios.pantherlake-p,bios.raptorlake,bios.rocketlake,bios.tigerlake,ifwi.apollolake,ifwi.arrowlake,ifwi.cometlake,ifwi.geminilake,ifwi.icelake,ifwi.raptorlake,ifwi.tigerlake</t>
  </si>
  <si>
    <t>Validate basic eDP display functionality at Pre-OS and Post OS level with Hybrid Graphics (HG) on PCIe x4 slot</t>
  </si>
  <si>
    <t>CSS-IVE-80838</t>
  </si>
  <si>
    <t>bios.sa,fw.ifwi.bios</t>
  </si>
  <si>
    <t>bios.alderlake,bios.apollolake,bios.arrowlake,bios.cometlake,bios.geminilake,bios.icelake-client,bios.meteorlake,bios.pantherlake,bios.pantherlake-p,bios.raptorlake,bios.tigerlake,ifwi.apollolake,ifwi.arrowlake,ifwi.cometlake,ifwi.geminilake,ifwi.icelake,ifwi.meteorlake,ifwi.raptorlake,ifwi.tigerlake</t>
  </si>
  <si>
    <t>Verify system completes S3 successfully when Hybrid Graphics (HG) card on PCIe x4 Slot with DP display connected in SUT</t>
  </si>
  <si>
    <t>CSS-IVE-80845</t>
  </si>
  <si>
    <t>bios.alderlake,bios.amberlake,bios.apollolake,bios.arrowlake,bios.cometlake,bios.geminilake,bios.icelake-client,bios.meteorlake,bios.pantherlake,bios.pantherlake-p,bios.raptorlake,bios.tigerlake,ifwi.apollolake,ifwi.arrowlake,ifwi.cometlake,ifwi.geminilake,ifwi.icelake,ifwi.meteorlake,ifwi.raptorlake,ifwi.tigerlake</t>
  </si>
  <si>
    <t>Verify system completes warm reboot cycles successfully with Hybrid graphics on PCIE-X4 slot</t>
  </si>
  <si>
    <t>CSS-IVE-80849</t>
  </si>
  <si>
    <t>bios.alderlake,bios.apollolake,bios.arrowlake,bios.geminilake,bios.icelake-client,bios.meteorlake,bios.pantherlake,bios.pantherlake-p,bios.raptorlake,bios.rocketlake,bios.tigerlake,ifwi.apollolake,ifwi.arrowlake,ifwi.geminilake,ifwi.icelake,ifwi.meteorlake,ifwi.raptorlake,ifwi.tigerlake</t>
  </si>
  <si>
    <t>Verify FHD USB camera is functioning properly for capturing images &amp; video</t>
  </si>
  <si>
    <t>CSS-IVE-86896</t>
  </si>
  <si>
    <t>bios.alderlake,bios.arrowlake,bios.geminilake,bios.jasperlake,bios.lakefield,bios.lunarlake,bios.meteorlake,bios.pantherlake-p,bios.pantherlake-u,bios.raptorlake,bios.raptorlake_refresh,bios.rocketlake,bios.tigerlake,ifwi.arrowlake,ifwi.geminilake,ifwi.lakefield,ifwi.lunarlake,ifwi.meteorlake,ifwi.raptorlake,ifwi.raptorlake_refresh,ifwi.tigerlake</t>
  </si>
  <si>
    <t>Verify ACPI Id of Audio DSP Device in ACPI dump</t>
  </si>
  <si>
    <t>CSS-IVE-80316</t>
  </si>
  <si>
    <t>Validate HDMI/DP Display Out at Pre-OS and Post OS level with Hybrid Graphics (HG) Card connected on x4 Slot</t>
  </si>
  <si>
    <t>CSS-IVE-80840</t>
  </si>
  <si>
    <t>bios.alderlake,bios.amberlake,bios.apollolake,bios.arrowlake,bios.cometlake,bios.icelake-client,bios.meteorlake,bios.pantherlake,bios.pantherlake-p,bios.raptorlake,bios.tigerlake,ifwi.apollolake,ifwi.arrowlake,ifwi.cometlake,ifwi.icelake,ifwi.meteorlake,ifwi.raptorlake,ifwi.tigerlake</t>
  </si>
  <si>
    <t>Verify Display detection in EFI shell with 5K display panel</t>
  </si>
  <si>
    <t>CSS-IVE-98890</t>
  </si>
  <si>
    <t>bios.alderlake,bios.arrowlake,bios.cannonlake,bios.coffeelake,bios.icelake-client,bios.jasperlake,bios.lunarlake,bios.meteorlake,bios.raptorlake,bios.raptorlake_refresh,bios.rocketlake,bios.tigerlake,bios.whiskeylake</t>
  </si>
  <si>
    <t>Verification of resolution for 5K display panel in Pre-OS</t>
  </si>
  <si>
    <t>CSS-IVE-99449</t>
  </si>
  <si>
    <t>bios.alderlake,bios.arrowlake,bios.icelake-client,bios.lunarlake,bios.meteorlake,bios.raptorlake,bios.raptorlake_refresh,bios.rocketlake,bios.tigerlake</t>
  </si>
  <si>
    <t>Verify Video play back on Extended Mode with eDP+HDMI Display panels connected</t>
  </si>
  <si>
    <t>CSS-IVE-99733</t>
  </si>
  <si>
    <t>bios.alderlake,bios.arrowlake,bios.cannonlake,bios.coffeelake,bios.cometlake,bios.icelake-client,bios.jasperlake,bios.lunarlake,bios.meteorlake,bios.raptorlake,bios.raptorlake_refresh,bios.rocketlake,bios.tigerlake,bios.whiskeylake,ifwi.coffeelake</t>
  </si>
  <si>
    <t>Verify Video play back on Extended Mode with eDP+DP Display panels connected</t>
  </si>
  <si>
    <t>CSS-IVE-99734</t>
  </si>
  <si>
    <t>Verify Audio play back on Speakers/headset with enabling Soundwire option in BIOS</t>
  </si>
  <si>
    <t>CSS-IVE-86900</t>
  </si>
  <si>
    <t>bios.pch,fw.ifwi.bios</t>
  </si>
  <si>
    <t>bios.alderlake,bios.arrowlake,bios.cannonlake,bios.coffeelake,bios.cometlake,bios.icelake-client,bios.jasperlake,bios.lakefield,bios.lunarlake,bios.meteorlake,bios.pantherlake-s,bios.raptorlake,bios.raptorlake_refresh,bios.rocketlake,bios.tigerlake,bios.whiskeylake,ifwi.arrowlake,ifwi.cannonlake,ifwi.coffeelake,ifwi.cometlake,ifwi.icelake,ifwi.lakefield,ifwi.raptorlake,ifwi.raptorlake_refresh,ifwi.tigerlake,ifwi.whiskeylake</t>
  </si>
  <si>
    <t>Verify Audio play back and recording on 3.5mm-Jack-Headset (via Soundwire)</t>
  </si>
  <si>
    <t>CSS-IVE-99977</t>
  </si>
  <si>
    <t>bios.pch,fw.ifwi.bios,fw.ifwi.pchc</t>
  </si>
  <si>
    <t>Verify 8K Display Panel enumeration in Device Manager</t>
  </si>
  <si>
    <t>CSS-IVE-100089</t>
  </si>
  <si>
    <t>Verification of resolution for 8K display panel in Pre-OS</t>
  </si>
  <si>
    <t>CSS-IVE-100090</t>
  </si>
  <si>
    <t>Verification of resolution for 8K display panel in Post OS</t>
  </si>
  <si>
    <t>CSS-IVE-100091</t>
  </si>
  <si>
    <t>bios.alderlake,bios.arrowlake,bios.birchstream_diamondrapids,bios.lunarlake,bios.meteorlake,bios.raptorlake,bios.raptorlake_refresh,bios.tigerlake,ifwi.arrowlake,ifwi.lunarlake,ifwi.meteorlake,ifwi.raptorlake,ifwi.raptorlake_refresh,ifwi.tigerlake</t>
  </si>
  <si>
    <t>Verify VP9 video playback functionality in OS</t>
  </si>
  <si>
    <t>CSS-IVE-101310</t>
  </si>
  <si>
    <t>bios.alderlake,bios.arrowlake,bios.icelake-client,bios.jasperlake,bios.lakefield,bios.lunarlake,bios.meteorlake,bios.raptorlake,bios.raptorlake_refresh,bios.rocketlake,bios.tigerlake</t>
  </si>
  <si>
    <t>Verify Display detection in Pre OS with 4K display panel</t>
  </si>
  <si>
    <t>CSS-IVE-101920</t>
  </si>
  <si>
    <t>bios.alderlake,bios.arrowlake,bios.cannonlake,bios.coffeelake,bios.cometlake,bios.icelake-client,bios.lunarlake,bios.meteorlake,bios.raptorlake,bios.raptorlake_refresh,bios.rocketlake,bios.tigerlake</t>
  </si>
  <si>
    <t>Verify Audio Play back on HDMI 4K Display Panel</t>
  </si>
  <si>
    <t>CSS-IVE-101924</t>
  </si>
  <si>
    <t>Verify Tri-display is working in Extended mode</t>
  </si>
  <si>
    <t>CSS-IVE-103532</t>
  </si>
  <si>
    <t>Verify IPU Enable/Disable Capability in BIOS</t>
  </si>
  <si>
    <t>CSS-IVE-105482</t>
  </si>
  <si>
    <t>bios.alderlake,bios.arrowlake,bios.cometlake,bios.icelake-client,bios.jasperlake,bios.lunarlake,bios.meteorlake,bios.pantherlake-p,bios.pantherlake-s,bios.pantherlake-u,bios.raptorlake,bios.raptorlake_refresh,bios.tigerlake,bios.tigerlake_refresh,ifwi.arrowlake,ifwi.lunarlake,ifwi.meteorlake,ifwi.raptorlake,ifwi.raptorlake_refresh</t>
  </si>
  <si>
    <t>Verify Audio Play back on USB-Headset post S3 cycle</t>
  </si>
  <si>
    <t>CSS-IVE-114636</t>
  </si>
  <si>
    <t>bios.pch,fw.ifwi.pchc,fw.ifwi.pmc</t>
  </si>
  <si>
    <t>bios.alderlake,bios.arrowlake,bios.cannonlake,bios.coffeelake,bios.cometlake,bios.icelake-client,bios.lunarlake,bios.meteorlake,bios.raptorlake,bios.raptorlake_refresh,bios.rocketlake,bios.tigerlake,ifwi.arrowlake,ifwi.cannonlake,ifwi.coffeelake,ifwi.cometlake,ifwi.icelake,ifwi.lunarlake,ifwi.meteorlake,ifwi.raptorlake,ifwi.raptorlake_refresh,ifwi.tigerlake</t>
  </si>
  <si>
    <t>Verify Audio Play back on USB-Headset pre and post S0i3(Modern Standby) cycle</t>
  </si>
  <si>
    <t>CSS-IVE-114639</t>
  </si>
  <si>
    <t>bios.ald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ifwi.apollolake,ifwi.arrowlake,ifwi.broxton,ifwi.cannonlake,ifwi.coffeelake,ifwi.cometlake,ifwi.geminilake,ifwi.icelake,ifwi.kabylake,ifwi.kabylake_r,ifwi.lakefield,ifwi.lunarlake,ifwi.meteorlake,ifwi.raptorlake,ifwi.raptorlake_refresh,ifwi.tigerlake</t>
  </si>
  <si>
    <t>Verify Audio Play back on 8K DP Monitor</t>
  </si>
  <si>
    <t>CSS-IVE-102052</t>
  </si>
  <si>
    <t>Verify Gen4 HG card basic functionality on x16 PEG slot post S3 cycles</t>
  </si>
  <si>
    <t>CSS-IVE-118790</t>
  </si>
  <si>
    <t>bios.alderlake,bios.arrowlake,bios.meteorlake,bios.pantherlake,bios.pantherlake-p,bios.raptorlake,bios.raptorlake_refresh,bios.rocketlake,bios.tigerlake,ifwi.arrowlake,ifwi.meteorlake,ifwi.raptorlake,ifwi.raptorlake_refresh</t>
  </si>
  <si>
    <t>Verify Gen4 HG card basic functionality on x16 PEG slot post CMS cycles</t>
  </si>
  <si>
    <t>CSS-IVE-118793</t>
  </si>
  <si>
    <t>Verify Gen4 HG card basic functionality on x16 PEG slot post DMS cycles</t>
  </si>
  <si>
    <t>CSS-IVE-118794</t>
  </si>
  <si>
    <t>Verify Gen4 HG card basic functionality on x4 PCIe Gen4 slot post S3 cycles with HDMI display connected in SUT</t>
  </si>
  <si>
    <t>CSS-IVE-118930</t>
  </si>
  <si>
    <t>Verify Gen4 HG card basic functionality on x4 PCIe Gen4 slot post DMS cycles with HDMI display connected in SUT</t>
  </si>
  <si>
    <t>CSS-IVE-118934</t>
  </si>
  <si>
    <t>bios.alderlake,bios.arrowlake,bios.meteorlake,bios.pantherlake,bios.pantherlake-p,bios.raptorlake,bios.raptorlake_refresh,bios.tigerlake,ifwi.arrowlake,ifwi.raptorlake,ifwi.raptorlake_refresh</t>
  </si>
  <si>
    <t>Verify Gen4 HG card basic functionality on x4 PCIe Gen4 slot post S3 cycles with DP display connected in SUT</t>
  </si>
  <si>
    <t>CSS-IVE-119016</t>
  </si>
  <si>
    <t>Verify Gen4 HG card basic functionality on x4 PCIe Gen4 slot post CMS cycles with DP display connected in SUT</t>
  </si>
  <si>
    <t>CSS-IVE-119019</t>
  </si>
  <si>
    <t>bios.sa,fw.ifwi.bios,fw.ifwi.pmc</t>
  </si>
  <si>
    <t>Verify Gen4 HG card basic functionality on x4 PCIe Gen4 slot post DMS cycles with DP display connected in SUT</t>
  </si>
  <si>
    <t>CSS-IVE-119020</t>
  </si>
  <si>
    <t>Validate DashG enumerated as PCI Device at EFI</t>
  </si>
  <si>
    <t>CSS-IVE-119043</t>
  </si>
  <si>
    <t>bios.alderlake,bios.arrowlake,bios.meteorlake,bios.pantherlake,bios.pantherlake-p,bios.raptorlake,bios.raptorlake_refresh</t>
  </si>
  <si>
    <t>Verify DashG card basic functionality on PCI PEG slot with HDMI display connected in SUT</t>
  </si>
  <si>
    <t>bios.alderlake,bios.arrowlake,bios.meteorlake,bios.raptorlake,bios.raptorlake_refresh,ifwi.arrowlake</t>
  </si>
  <si>
    <t>Verify DashG card basic functionality on x16 PEG slot post S3 cycles</t>
  </si>
  <si>
    <t>CSS-IVE-119046</t>
  </si>
  <si>
    <t>Verify DashG card basic functionality on x16 PEG slot post S4 cycles</t>
  </si>
  <si>
    <t>CSS-IVE-119047</t>
  </si>
  <si>
    <t>bios.alderlake,bios.arrowlake,bios.meteorlake,bios.raptorlake,ifwi.arrowlake</t>
  </si>
  <si>
    <t>Verify DashG card basic functionality on x16 PEG slot post S5 cycles</t>
  </si>
  <si>
    <t>CSS-IVE-119048</t>
  </si>
  <si>
    <t>Verify DashG card basic functionality on x16 PEG slot post CMS cycles</t>
  </si>
  <si>
    <t>CSS-IVE-119049</t>
  </si>
  <si>
    <t>Verify DashG card basic functionality on x16 PEG slot post DMS cycles</t>
  </si>
  <si>
    <t>CSS-IVE-119050</t>
  </si>
  <si>
    <t>Verify Pkg C-state with SUT idle and display ON</t>
  </si>
  <si>
    <t>CSS-IVE-130051</t>
  </si>
  <si>
    <t>bios.alderlake,bios.amberlake,bios.arrowlake,bios.coffeelake,bios.cometlake,bios.icelake-client,bios.jasperlake,bios.kabylake,bios.lakefield,bios.lunarlake,bios.meteorlake,bios.raptorlake,bios.raptorlake_refresh,bios.rocketlake,bios.skylake,bios.tigerlake,bios.whiskeylake,ifwi.alderlake,ifwi.amberlake,ifwi.arrowlake,ifwi.coffeelake,ifwi.cometlake,ifwi.icelake,ifwi.jasperlake,ifwi.kabylake,ifwi.meteorlake,ifwi.raptorlake,ifwi.raptorlake_refresh,ifwi.rocketlake,ifwi.whiskeylake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</si>
  <si>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</si>
  <si>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</si>
  <si>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</si>
  <si>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</si>
  <si>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</si>
  <si>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</si>
  <si>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Gen4 Hybrid Graphics (HG) basic functionality on x4 PCIe slot with HDMI display connected, pre and post S4 and S5 cycles</t>
  </si>
  <si>
    <t>CSS-IVE-145197</t>
  </si>
  <si>
    <t>bios.alderlake,bios.arrowlake,bios.meteorlake,bios.pantherlake,bios.pantherlake-p,bios.raptorlake,ifwi.arrowlake,ifwi.meteorlake,ifwi.raptorlake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</si>
  <si>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</si>
  <si>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</si>
  <si>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</si>
  <si>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</si>
  <si>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</si>
  <si>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</si>
  <si>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bios.alderlake,bios.arrowlake,bios.jasperlake,bios.lunarlake,bios.meteorlake,bios.pantherlake,bios.pantherlake-p,bios.raptorlake,bios.rocketlake,ifwi.arrowlake,ifwi.lunarlake,ifwi.meteorlake,ifwi.raptorlake</t>
  </si>
  <si>
    <t>Verify the Dual Display functionality (onboard eDP+HDMI) in BIOS setup, EFI and OS</t>
  </si>
  <si>
    <t>CSS-IVE-145256</t>
  </si>
  <si>
    <t>Verify video playback in OS  pre and post S4, S5, warm and cold reboot cycles</t>
  </si>
  <si>
    <t>CSS-IVE-145260</t>
  </si>
  <si>
    <t>bios.platform,fw.ifwi.bios,fw.ifwi.pmc</t>
  </si>
  <si>
    <t>bios.alderlake,bios.arrowlake,bios.jasperlake,bios.lunarlake,bios.meteorlake,bios.pantherlake,bios.pantherlake-p,bios.pantherlake-s,bios.raptorlake,bios.raptorlake_refresh,bios.rocketlake,ifwi.arrowlake,ifwi.lunarlake,ifwi.meteorlake,ifwi.raptorlake,ifwi.raptorlake_refresh</t>
  </si>
  <si>
    <t>Verify correct CPU details displayed in BIOS Setup page</t>
  </si>
  <si>
    <t>CSS-IVE-62681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</si>
  <si>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-s,bios.raptorlake,bios.raptorlake_refresh,bios.rocketlake,bios.tigerlake,bios.whiskeylake,ifwi.coffeelake</t>
  </si>
  <si>
    <t>Verify that Platform firmware Information is correctly displayed in BIOS setup</t>
  </si>
  <si>
    <t>CSS-IVE-44402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</si>
  <si>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aptorlake_refresh,bios.rocketlake,bios.skylake_x,bios.tigerlake,bios.whiskeylake,ifwi.amberlake,ifwi.apollolake,ifwi.broxton,ifwi.cannonlake,ifwi.coffeelake,ifwi.cometlake,ifwi.geminilake,ifwi.icelake,ifwi.kabylake,ifwi.kabylake_r,ifwi.lakefield,ifwi.raptorlake,ifwi.skylake_x,ifwi.tigerlake,ifwi.whiskeylake</t>
  </si>
  <si>
    <t>Verification of SPI Initialization</t>
  </si>
  <si>
    <t>CSS-IVE-62160</t>
  </si>
  <si>
    <t>bios.alderlake,bios.amberlake,bios.arrowlake,bios.cannonlake,bios.coffeelake,bios.cometlake,bios.icelake-client,bios.jasperlake,bios.kabylake,bios.kabylake_r,bios.lakefield,bios.lunarlake,bios.meteorlake,bios.pantherlake,bios.pantherlake-p,bios.pantherlake-u,bios.raptorlake,bios.rocketlake,bios.tigerlake,bios.whiskeylake</t>
  </si>
  <si>
    <t>Verify disable/enable ISH Controller option in BIOS</t>
  </si>
  <si>
    <t>CSS-IVE-65810</t>
  </si>
  <si>
    <t>bios.alderlake,bios.amberlake,bios.apollolake,bios.arrowlake,bios.broxton,bios.cannonlake,bios.coffeelake,bios.geminilake,bios.icelake-client,bios.kabylake,bios.kabylake_r,bios.lakefield,bios.lunarlake,bios.meteorlake,bios.pantherlake,bios.pantherlake-p,bios.pantherlake-s,bios.pantherlake-u,bios.raptorlake,bios.rocketlake,bios.skylake,bios.tigerlake,ifwi.amberlake,ifwi.apollolake,ifwi.arrowlake,ifwi.broxton,ifwi.cannonlake,ifwi.coffeelake,ifwi.geminilake,ifwi.icelake,ifwi.kabylake,ifwi.kabylake_r,ifwi.lakefield,ifwi.lunarlake,ifwi.meteorlake,ifwi.raptorlake,ifwi.tigerlake</t>
  </si>
  <si>
    <t>Verify Trace hub initialization in debug BIOS</t>
  </si>
  <si>
    <t>CSS-IVE-71061</t>
  </si>
  <si>
    <t>bios.alderlake,bios.apollolake,bios.arrowlake,bios.broxton,bios.cannonlake,bios.coffeelake,bios.cometlake,bios.icelake-client,bios.jasperlake,bios.kabylake,bios.lakefield,bios.lunarlake,bios.meteorlake,bios.pantherlake-s,bios.raptorlake,bios.raptorlake_refresh,bios.rocketlake,bios.skylake,bios.tigerlake,bios.whiskeylake</t>
  </si>
  <si>
    <t>Verify AMT BIOS option check under PCH-FW configuration</t>
  </si>
  <si>
    <t>CSS-IVE-71765</t>
  </si>
  <si>
    <t>bios.alderlake,bios.amberlake,bios.arrowlake,bios.cannonlake,bios.coffeelake,bios.cometlake,bios.kabylake,bios.kabylake_r,bios.lunarlake,bios.meteorlake,bios.pantherlake,bios.pantherlake-p,bios.pantherlake-s,bios.raptorlake,bios.rocketlake,bios.skylake,bios.tigerlake,bios.whiskeylake,ifwi.kabylake,ifwi.skylake</t>
  </si>
  <si>
    <t>Verify BIOS options listed under AMT configuration in PCH-FW menu</t>
  </si>
  <si>
    <t>CSS-IVE-72612</t>
  </si>
  <si>
    <t>bios.alderlake,bios.amberlake,bios.arrowlake,bios.cannonlake,bios.coffeelake,bios.cometlake,bios.kabylake,bios.kabylake_r,bios.lunarlake,bios.meteorlake,bios.pantherlake,bios.pantherlake-p,bios.pantherlake-s,bios.raptorlake,bios.rocketlake,bios.skylake,bios.tigerlake,bios.whiskeylake,ifwi.kabylake</t>
  </si>
  <si>
    <t>Verify USB devices information are displayed in BIOS setup</t>
  </si>
  <si>
    <t>CSS-IVE-84871</t>
  </si>
  <si>
    <t>bios.amberlake,bios.arrowlake,bios.cannonlake,bios.coffeelake,bios.cometlake,bios.icelake-client,bios.kabylake,bios.kabylake_r,bios.lakefield,bios.lunarlake,bios.pantherlake,bios.pantherlake-p,bios.raptorlake,bios.raptorlake_refresh,bios.tigerlake,bios.whiskeylake,ifwi.amberlake,ifwi.cannonlake,ifwi.coffeelake,ifwi.cometlake,ifwi.icelake,ifwi.kabylake,ifwi.kabylake_r,ifwi.lakefield,ifwi.raptorlake_refresh,ifwi.tigerlake,ifwi.whiskeylake</t>
  </si>
  <si>
    <t>ACPI entry for GPIO controller</t>
  </si>
  <si>
    <t>CSS-IVE-80015</t>
  </si>
  <si>
    <t>bios.alderlake,bios.amberlake,bios.arrowlake,bios.cannonlake,bios.coffeelake,bios.cometlake,bios.icelake-client,bios.jasperlake,bios.kabylake,bios.lakefield,bios.lunarlake,bios.meteorlake,bios.pantherlake,bios.pantherlake-p,bios.pantherlake-u,bios.raptorlake,bios.raptorlake_refresh,bios.rocketlake,bios.tigerlake,bios.whiskeylake</t>
  </si>
  <si>
    <t>Verify Audio device is enumerated as PCI device</t>
  </si>
  <si>
    <t>CSS-IVE-86457</t>
  </si>
  <si>
    <t>Verify SUT wake from Sx states (S3, S4, S5) using LAN</t>
  </si>
  <si>
    <t>CSS-IVE-76033</t>
  </si>
  <si>
    <t>bios.alderlake,bios.amberlake,bios.arrowlake,bios.cannonlake,bios.coffeelake,bios.cometlake,bios.icelake-client,bios.kabylake,bios.kabylake_r,bios.lunarlake,bios.meteorlake,bios.pantherlake,bios.pantherlake-p,bios.pantherlake-s,bios.raptorlake,bios.raptorlake_refresh,bios.rocketlake,bios.tigerlake,bios.whiskeylake</t>
  </si>
  <si>
    <t>Verify BIOS should provide UEFI support for onboard LAN</t>
  </si>
  <si>
    <t>CSS-IVE-85706</t>
  </si>
  <si>
    <t>bios.alderlake,bios.arrowlake,bios.cannonlake,bios.coffeelake,bios.cometlake,bios.lunarlake,bios.meteorlake,bios.raptorlake,bios.raptorlake_refresh,bios.whiskeylake</t>
  </si>
  <si>
    <t>Verify "PCH Trace Hub Enable Mode" BIOS policy/option for NPK Support</t>
  </si>
  <si>
    <t>CSS-IVE-84935</t>
  </si>
  <si>
    <t>bios.alderlake,bios.arrowlake,bios.cannonlake,bios.coffeelake,bios.cometlake,bios.icelake-client,bios.jasperlake,bios.lakefield,bios.lunarlake,bios.meteorlake,bios.pantherlake,bios.pantherlake-p,bios.raptorlake,bios.raptorlake_refresh,bios.rocketlake,bios.tigerlake,bios.whiskeylake</t>
  </si>
  <si>
    <t>Verify HDD serial number display at Ready To Boot event</t>
  </si>
  <si>
    <t>CSS-IVE-78772</t>
  </si>
  <si>
    <t>bios.alderlake,bios.arrowlake,bios.cannonlake,bios.coffeelake,bios.icelake-client,bios.jasperlake,bios.kabylake,bios.meteorlake,bios.pantherlake,bios.pantherlake-p,bios.raptorlake,bios.rocketlake,bios.tigerlake,bios.whiskeylake</t>
  </si>
  <si>
    <t>Verify Embedded-keyboard functionality in pre and post OS</t>
  </si>
  <si>
    <t>CSS-IVE-93289</t>
  </si>
  <si>
    <t>Verify BIOS detects Gen 1 compatible PCI Express LAN Cards</t>
  </si>
  <si>
    <t>CSS-IVE-93983</t>
  </si>
  <si>
    <t>bios.alderlake,bios.amberlake,bios.arrowlake,bios.cannonlake,bios.coffeelake,bios.icelake-client,bios.kabylake,bios.kabylake_r,bios.lunarlake,bios.meteorlake,bios.raptorlake,bios.rocketlake,bios.skylake,bios.tigerlake,bios.whiskeylake</t>
  </si>
  <si>
    <t>Verify that BIOS detects and initializes SSDs/SATA drives attached to PCIe x4 port</t>
  </si>
  <si>
    <t>CSS-IVE-93996</t>
  </si>
  <si>
    <t>bios.alderlake,bios.apollolake,bios.arrowlake,bios.cannonlake,bios.coffeelake,bios.geminilake,bios.icelake-client,bios.kabylake,bios.meteorlake,bios.pantherlake-p,bios.pantherlake-u,bios.raptorlake,bios.rocketlake,bios.skylake,bios.tigerlake,bios.whiskeylake,ifwi.apollolake,ifwi.arrowlake,ifwi.cannonlake,ifwi.coffeelake,ifwi.geminilake,ifwi.icelake,ifwi.kabylake,ifwi.lunarlake,ifwi.meteorlake,ifwi.raptorlake,ifwi.tigerlake,ifwi.whiskeylake</t>
  </si>
  <si>
    <t>Verify SATA controller type device detection in EFI shell</t>
  </si>
  <si>
    <t>CSS-IVE-97232</t>
  </si>
  <si>
    <t>bios.alderlake,bios.arrowlake,bios.cannonlake,bios.coffeelake,bios.cometlake,bios.icelake-client,bios.kabylake,bios.kabylake_r,bios.meteorlake,bios.pantherlake-p,bios.pantherlake-u,bios.raptorlake,bios.rocketlake,bios.skylake,bios.whiskeylake,ifwi.cannonlake,ifwi.coffeelake,ifwi.cometlake,ifwi.icelake,ifwi.kabylake,ifwi.kabylake_r,ifwi.whiskeylake</t>
  </si>
  <si>
    <t>Verify "CPU Trace Hub Enable Mode" BIOS policy/option for NPK Support</t>
  </si>
  <si>
    <t>CSS-IVE-99217</t>
  </si>
  <si>
    <t>bios.alderlake,bios.arrowlake,bios.cannonlake,bios.coffeelake,bios.icelake-client,bios.jasperlake,bios.lakefield,bios.raptorlake,bios.raptorlake_refresh,bios.rocketlake,bios.tigerlake</t>
  </si>
  <si>
    <t>Verify "CPU/SOC TH Mem Buffer Size 1" BIOS option/policy for NPK Support</t>
  </si>
  <si>
    <t>CSS-IVE-99218</t>
  </si>
  <si>
    <t>bios.alderlake,bios.arrowlake,bios.cannonlake,bios.coffeelake,bios.icelake-client,bios.jasperlake,bios.lakefield,bios.lunarlake,bios.meteorlake,bios.pantherlake,bios.pantherlake-h,bios.pantherlake-p,bios.pantherlake-u,bios.raptorlake,bios.rocketlake,bios.tigerlake</t>
  </si>
  <si>
    <t>Verify "CPU/SOC TH Mem Buffer Size 0" BIOS option/policy for NPK Support</t>
  </si>
  <si>
    <t>CSS-IVE-99334</t>
  </si>
  <si>
    <t>bios.a21,bios.alderlake,bios.arrowlake,bios.cannonlake,bios.coffeelake,bios.icelake-client,bios.jasperlake,bios.lakefield,bios.lunarlake,bios.meteorlake,bios.pantherlake,bios.pantherlake-h,bios.pantherlake-p,bios.pantherlake-u,bios.raptorlake,bios.raptorlake_refresh,bios.rocketlake,bios.tigerlake</t>
  </si>
  <si>
    <t>Verify SUT support Debug Trace log capture via TAP over JTAG (Route traces to PTI)</t>
  </si>
  <si>
    <t>CSS-IVE-99696</t>
  </si>
  <si>
    <t>bios.platform,fw.ifwi.others,fw.ifwi.pchc</t>
  </si>
  <si>
    <t>bios.alderlake,bios.arrowlake,bios.cannonlake,bios.coffeelake,bios.cometlake,bios.icelake-client,bios.jasperlake,bios.lakefield,bios.lunarlake,bios.meteorlake,bios.pantherlake,bios.pantherlake-p,bios.pantherlake-s,bios.raptorlake,bios.raptorlake_refresh,bios.rocketlake,bios.tigerlake,bios.whiskeylake,ifwi.arrowlake,ifwi.cannonlake,ifwi.coffeelake,ifwi.cometlake,ifwi.icelake,ifwi.lakefield,ifwi.lunarlake,ifwi.meteorlake,ifwi.raptorlake,ifwi.tigerlake,ifwi.whiskeylake</t>
  </si>
  <si>
    <t>Verify SUT support Debug Trace log capture - Route traces to BSSB in low power mode</t>
  </si>
  <si>
    <t>CSS-IVE-99698</t>
  </si>
  <si>
    <t>bios.alderlake,bios.arrowlake,bios.cannonlake,bios.coffeelake,bios.cometlake,bios.icelake-client,bios.jasperlake,bios.lakefield,bios.lunarlake,bios.meteorlake,bios.pantherlake,bios.pantherlake-p,bios.pantherlake-s,bios.raptorlake,bios.raptorlake_refresh,bios.rocketlake,bios.tigerlake,bios.whiskeylake,ifwi.arrowlake,ifwi.lunarlake,ifwi.meteorlake,ifwi.raptorlake</t>
  </si>
  <si>
    <t>Verify GPIO driver and device entry in device Manager</t>
  </si>
  <si>
    <t>CSS-IVE-101599</t>
  </si>
  <si>
    <t>bios.alderlake,bios.amberlake,bios.arrowlake,bios.cannonlake,bios.icelake-client,bios.jasperlake,bios.kabylake,bios.kabylake_r,bios.lakefield,bios.lunarlake,bios.meteorlake,bios.raptorlake,bios.raptorlake_refresh,bios.rocketlake,bios.tigerlake</t>
  </si>
  <si>
    <t>Verify BIOS display an option to set Detect timeout value on Root port links</t>
  </si>
  <si>
    <t>CSS-IVE-101628</t>
  </si>
  <si>
    <t>Verify NPK memory configuration is done only after IMR allocations (DID ack)</t>
  </si>
  <si>
    <t>CSS-IVE-105473</t>
  </si>
  <si>
    <t>bios.alderlake,bios.arrowlake,bios.cannonlake,bios.coffeelake,bios.cometlake,bios.icelake-client,bios.jasperlake,bios.lakefield,bios.lunarlake,bios.meteorlake,bios.pantherlake,bios.pantherlake-p,bios.raptorlake,bios.raptorlake_refresh,bios.rocketlake,bios.tigerlake,bios.whiskeylake,ifwi.lunarlake</t>
  </si>
  <si>
    <t>Verify Bios shall support enable/disable PCIE ports options</t>
  </si>
  <si>
    <t>CSS-IVE-105494</t>
  </si>
  <si>
    <t>bios.alderlake,bios.arrowlake,bios.cannonlake,bios.coffeelake,bios.cometlake,bios.icelake-client,bios.jasperlake,bios.lakefield,bios.lunarlake,bios.meteorlake,bios.raptorlake,bios.raptorlake_refresh,bios.rocketlake,bios.tigerlake,bios.whiskeylake,ifwi.cannonlake,ifwi.coffeelake,ifwi.cometlake,ifwi.icelake,ifwi.lakefield,ifwi.raptorlake_refresh,ifwi.tigerlake,ifwi.whiskeylake</t>
  </si>
  <si>
    <t>Verify device initialization and respective register configuration don"t have failures in Self test tool</t>
  </si>
  <si>
    <t>CSS-IVE-105545</t>
  </si>
  <si>
    <t>bios.alderlake,bios.arrowlake,bios.cannonlake,bios.coffeelake,bios.cometlake,bios.icelake-client,bios.jasperlake,bios.lakefield,bios.lunarlake,bios.meteorlake,bios.pantherlake,bios.pantherlake-p,bios.pantherlake-s,bios.pantherlake-u,bios.raptorlake,bios.rocketlake,bios.tigerlake,bios.whiskeylake,ifwi.cannonlake,ifwi.coffeelake,ifwi.cometlake,ifwi.icelake,ifwi.lakefield,ifwi.lunarlake,ifwi.tigerlake,ifwi.whiskeylake</t>
  </si>
  <si>
    <t>Verify BIOS set up option to enable/Disable GPIO Pad</t>
  </si>
  <si>
    <t>CSS-IVE-105563</t>
  </si>
  <si>
    <t>bios.pch,bios.platform,fw.ifwi.bios</t>
  </si>
  <si>
    <t>bios.alderlake,bios.arrowlake,bios.jasperlake,bios.lakefield,bios.lunarlake,bios.meteorlake,bios.pantherlake,bios.pantherlake-p,bios.raptorlake,bios.raptorlake_refresh,bios.rocketlake,bios.tigerlake,ifwi.lakefield,ifwi.raptorlake,ifwi.tigerlake</t>
  </si>
  <si>
    <t>Verify setting Detect timeout value in BIOS and ensure no halt message in debug log with device connected</t>
  </si>
  <si>
    <t>CSS-IVE-105635</t>
  </si>
  <si>
    <t>bios.alderlake,bios.arrowlake,bios.cannonlake,bios.coffeelake,bios.cometlake,bios.icelake-client,bios.lunarlake,bios.meteorlake,bios.raptorlake,bios.raptorlake_refresh,bios.rocketlake,bios.tigerlake,bios.whiskeylake</t>
  </si>
  <si>
    <t>Verify setting Detect timeout value in BIOS and respective system halt with device not connected</t>
  </si>
  <si>
    <t>CSS-IVE-105636</t>
  </si>
  <si>
    <t>bios.alderlake,bios.arrowlake,bios.cannonlake,bios.coffeelake,bios.cometlake,bios.icelake-client,bios.lunarlake,bios.meteorlake,bios.raptorlake,bios.rocketlake,bios.tigerlake,bios.whiskeylake</t>
  </si>
  <si>
    <t>Verify BIOS setup option to Enable/ Disable EXT_V1P05_RAIL_Sx/S0ix Configuration</t>
  </si>
  <si>
    <t>CSS-IVE-113611</t>
  </si>
  <si>
    <t>bios.alderlake,bios.apollolake,bios.cannonlake,bios.coffeelake,bios.cometlake,bios.icelake-client,bios.jasperlake,bios.kabylake,bios.kabylake_r,bios.lakefield,bios.raptorlake,bios.raptorlake_refresh,bios.rocketlake,bios.tigerlake,bios.whiskeylake,ifwi.raptorlake_refresh</t>
  </si>
  <si>
    <t>Verify BIOS set up Option used for changing ramp times of different modes in FIVR configuration</t>
  </si>
  <si>
    <t>CSS-IVE-113614</t>
  </si>
  <si>
    <t>bios.alderlake,bios.apollolake,bios.cannonlake,bios.coffeelake,bios.cometlake,bios.icelake-client,bios.jasperlake,bios.kabylake,bios.kabylake_r,bios.lakefield,bios.pantherlake,bios.pantherlake-p,bios.pantherlake-u,bios.raptorlake,bios.raptorlake_refresh,bios.rocketlake,bios.tigerlake,bios.whiskeylake,ifwi.raptorlake_refresh</t>
  </si>
  <si>
    <t>Verify VMD Register Lock bit when VMD device is not in use</t>
  </si>
  <si>
    <t>CSS-IVE-113691</t>
  </si>
  <si>
    <t>bios.alderlake,bios.arrowlake,bios.meteorlake,bios.pantherlake,bios.pantherlake-p,bios.raptorlake,bios.tigerlake,bios.whiskeylake</t>
  </si>
  <si>
    <t>Check Dekel FW Version from BIOS</t>
  </si>
  <si>
    <t>CSS-IVE-114775</t>
  </si>
  <si>
    <t>bios.alderlake,bios.lakefield,bios.raptorlake,bios.ridgeport,bios.rocketlake,bios.tigerlake,bios.tigerlake_refresh,ifwi.lakefield,ifwi.raptorlake,ifwi.tigerlake</t>
  </si>
  <si>
    <t>Verify VMD enable/disable bit in OS with respect to option set in BIOS</t>
  </si>
  <si>
    <t>CSS-IVE-115645</t>
  </si>
  <si>
    <t>bios.cpu_pm,fw.ifwi.bios</t>
  </si>
  <si>
    <t>bios.alderlake,bios.arrowlake,bios.meteorlake,bios.raptorlake,bios.tigerlake,bios.whiskeylake,ifwi.raptorlake,ifwi.tigerlake,ifwi.whiskeylake</t>
  </si>
  <si>
    <t>Verify Bios support for I2C RTD3</t>
  </si>
  <si>
    <t>CSS-IVE-115677</t>
  </si>
  <si>
    <t>bios.alderlake,bios.arrowlake,bios.cannonlake,bios.coffeelake,bios.icelake-client,bios.jasperlake,bios.lakefield,bios.lunarlake,bios.meteorlake,bios.pantherlake,bios.pantherlake-p,bios.pantherlake-s,bios.raptorlake,bios.raptorlake_refresh,bios.rocketlake,bios.tigerlake,bios.whiskeylake</t>
  </si>
  <si>
    <t>Verify Bios support for I3C and UART RTD3</t>
  </si>
  <si>
    <t>CSS-IVE-115722</t>
  </si>
  <si>
    <t>bios.alderlake,bios.arrowlake,bios.cannonlake,bios.coffeelake,bios.icelake-client,bios.lakefield,bios.lunarlake,bios.meteorlake,bios.pantherlake,bios.pantherlake-p,bios.pantherlake-s,bios.raptorlake,bios.tigerlake,bios.whiskeylake</t>
  </si>
  <si>
    <t>Verify Bios support for SPI RTD3</t>
  </si>
  <si>
    <t>CSS-IVE-115727</t>
  </si>
  <si>
    <t>bios.alderlake,bios.arrowlake,bios.cannonlake,bios.coffeelake,bios.icelake-client,bios.lakefield,bios.lunarlake,bios.meteorlake,bios.pantherlake,bios.pantherlake-p,bios.pantherlake-s,bios.raptorlake,bios.raptorlake_refresh,bios.rocketlake,bios.tigerlake,bios.whiskeylake</t>
  </si>
  <si>
    <t>Verify GPIO initialization and respective values don"t have failures in GPIO configuration tool</t>
  </si>
  <si>
    <t>CSS-IVE-115843</t>
  </si>
  <si>
    <t>bios.mem_decode,bios.pch,bios.platform,fw.ifwi.bios</t>
  </si>
  <si>
    <t>bios.alderlake,bios.arrowlake,bios.cannonlake,bios.coffeelake,bios.cometlake,bios.icelake-client,bios.jasperlake,bios.lakefield,bios.lunarlake,bios.meteorlake,bios.pantherlake,bios.pantherlake-p,bios.pantherlake-s,bios.pantherlake-u,bios.raptorlake,bios.rocketlake,bios.tigerlake,bios.whiskeylake,ifwi.cannonlake,ifwi.coffeelake,ifwi.cometlake,ifwi.icelake,ifwi.lakefield,ifwi.raptorlake,ifwi.tigerlake,ifwi.whiskeylake</t>
  </si>
  <si>
    <t>Verify Bios have option to Enable/Disable On-board Components</t>
  </si>
  <si>
    <t>CSS-IVE-116761</t>
  </si>
  <si>
    <t>bios.alderlake,bios.arrowlake,bios.cannonlake,bios.coffeelake,bios.cometlake,bios.icelake-client,bios.jasperlake,bios.lunarlake,bios.meteorlake,bios.raptorlake,bios.rocketlake,bios.tigerlake,bios.whiskeylake</t>
  </si>
  <si>
    <t>Verify HID driver event filter driver from BIOS menu for non-mobile platforms</t>
  </si>
  <si>
    <t>CSS-IVE-117935</t>
  </si>
  <si>
    <t>bios.alderlake,bios.arrowlake,bios.coffeelake,bios.cometlake,bios.lunarlake,bios.meteorlake,bios.raptorlake,bios.rocketlake,ifwi.coffeelake,ifwi.cometlake,ifwi.raptorlake_refresh</t>
  </si>
  <si>
    <t>Verify Bios locks TCO_BASE by writing to specific TCO_BASE_LOCK</t>
  </si>
  <si>
    <t>CSS-IVE-118000</t>
  </si>
  <si>
    <t>Verify VTd support for PCIe ports</t>
  </si>
  <si>
    <t>CSS-IVE-118313</t>
  </si>
  <si>
    <t>bios.alderlake,bios.arrowlake,bios.cannonlake,bios.coffeelake,bios.cometlake,bios.icelake-client,bios.lunarlake,bios.meteorlake,bios.raptorlake,bios.whiskeylake,ifwi.cannonlake,ifwi.coffeelake,ifwi.cometlake,ifwi.icelake,ifwi.whiskeylake</t>
  </si>
  <si>
    <t>Verify Gen1 to Gen4 speed check with PCIe Gen4 device connected over PCIe Gen4 supported X16 PEG slot</t>
  </si>
  <si>
    <t>CSS-IVE-119077</t>
  </si>
  <si>
    <t>bios.pch,fw.ifwi.pmc</t>
  </si>
  <si>
    <t>bios.alderlake,bios.arrowlake,bios.meteorlake,bios.pantherlake,bios.pantherlake-p,bios.raptorlake,bios.raptorlake_refresh,bios.rocketlake,bios.tigerlake,ifwi.arrowlake,ifwi.meteorlake,ifwi.raptorlake,ifwi.raptorlake_refresh,ifwi.tigerlake</t>
  </si>
  <si>
    <t>Verify BIOS setup option to enable/disable EXT_VNN_RAIL_Sx/S0ix Configuration</t>
  </si>
  <si>
    <t>CSS-IVE-120096</t>
  </si>
  <si>
    <t>bios.alderlake,bios.apollolake,bios.cannonlake,bios.coffeelake,bios.cometlake,bios.icelake-client,bios.jasperlake,bios.kabylake,bios.kabylake_r,bios.lakefield,bios.raptorlake,bios.raptorlake_refresh,bios.tigerlake,bios.whiskeylake,ifwi.raptorlake_refresh</t>
  </si>
  <si>
    <t>Verify VMD RTD3 Cold support with SATA connected</t>
  </si>
  <si>
    <t>CSS-IVE-120109</t>
  </si>
  <si>
    <t>bios.alderlake,bios.arrowlake,bios.meteorlake,bios.pantherlake,bios.pantherlake-p,bios.raptorlake,bios.tigerlake,bios.whiskeylake,ifwi.tigerlake,ifwi.whiskeylake</t>
  </si>
  <si>
    <t>Verify Secured registers are locked for PCIE Gen4</t>
  </si>
  <si>
    <t>CSS-IVE-120324</t>
  </si>
  <si>
    <t>bios.pch,bios.sa</t>
  </si>
  <si>
    <t>bios.alderlake,bios.arrowlake,bios.lunarlake,bios.meteorlake,bios.raptorlake,bios.ridgeport,bios.rocketlake,bios.tigerlake</t>
  </si>
  <si>
    <t>Verify Booting over LAN using UEFI PXEv4 Network with TBT + native security (VT-d) + IOMMU enabled in BIOS</t>
  </si>
  <si>
    <t>CSS-IVE-129935</t>
  </si>
  <si>
    <t>bios.alderlake,bios.arrowlake,bios.icelake-client,bios.meteorlake,bios.raptorlake,bios.raptorlake_refresh,bios.tigerlake</t>
  </si>
  <si>
    <t>Verify BEEP sound during system startup with Soundwire interface</t>
  </si>
  <si>
    <t>CSS-IVE-129934</t>
  </si>
  <si>
    <t>Verify BIOS updates the PCIe register for PEG60</t>
  </si>
  <si>
    <t>CSS-IVE-132602</t>
  </si>
  <si>
    <t>bios.alderlake,bios.arrowlake,bios.lunarlake,bios.meteorlake,bios.raptorlake,bios.rocketlake,bios.tigerlake</t>
  </si>
  <si>
    <t>Verify System notification tones in OS</t>
  </si>
  <si>
    <t>CSS-IVE-132826</t>
  </si>
  <si>
    <t>Verify Audio playback over DP monitor</t>
  </si>
  <si>
    <t>CSS-IVE-132875</t>
  </si>
  <si>
    <t>Verify display for all connected panels (HDMI, eDP, DP, MIPI, Onboard Type-C)</t>
  </si>
  <si>
    <t>CSS-IVE-132932</t>
  </si>
  <si>
    <t>bios.alderlake,bios.amberlake,bios.amberlake_7w,bios.apollolake,bios.arrowlake,bios.broxton,bios.cannonlake,bios.coffeelake,bios.geminilake,bios.icelake-client,bios.jasperlake,bios.kabylake,bios.kabylake_r,bios.lunarlake,bios.meteorlake,bios.raptorlake,bios.rocketlake,bios.skylake,bios.tigerlake,bios.whiskeylake,ifwi.amberlake,ifwi.apollolake,ifwi.broxton,ifwi.cannonlake,ifwi.coffeelake,ifwi.geminilake,ifwi.icelake,ifwi.kabylake,ifwi.kabylake_r,ifwi.tigerlake,ifwi.whiskeylake</t>
  </si>
  <si>
    <t>Verify Audio DRM playback over 3.5mm-Jack-Headsets (via HD-A)</t>
  </si>
  <si>
    <t>CSS-IVE-132948</t>
  </si>
  <si>
    <t>bios.alderlake,bios.arrowlake,bios.lunarlake,bios.meteorlake,bios.raptorlake,bios.raptorlake_refresh,ifwi.arrowlake,ifwi.lunarlake,ifwi.meteorlake,ifwi.raptorlake,ifwi.raptorlake_refresh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</si>
  <si>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</si>
  <si>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</si>
  <si>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</si>
  <si>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</si>
  <si>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Two NVMe-SSD"s detection in Bios when connected to M.2 Gen4 slots from CPU &amp; PCH.</t>
  </si>
  <si>
    <t>CSS-IVE-133059</t>
  </si>
  <si>
    <t>bios.alderlake,bios.arrowlake,bios.lunarlake,bios.meteorlake,bios.pantherlake,bios.pantherlake-p,bios.pantherlake-s,bios.raptorlake,bios.rocketlake,ifwi.arrowlake,ifwi.lunarlake,ifwi.meteorlake,ifwi.raptorlake</t>
  </si>
  <si>
    <t>Verify SX cycles with NVMe SSD"s connected to M.2 Gen4 slots from CPU &amp; PCH.</t>
  </si>
  <si>
    <t>CSS-IVE-133060</t>
  </si>
  <si>
    <t>bios.alderlake,bios.arrowlake,bios.lunarlake,bios.meteorlake,bios.pantherlake,bios.pantherlake-p,bios.raptorlake,bios.rocketlake,ifwi.arrowlake,ifwi.lunarlake,ifwi.meteorlake,ifwi.raptorlake</t>
  </si>
  <si>
    <t>Verify NVMe-SSD"s detection in Bios &amp; O.S when connected to x4 slots &amp; M.2 slots from CPU &amp; PCH.</t>
  </si>
  <si>
    <t>CSS-IVE-133550</t>
  </si>
  <si>
    <t>Verify VMD RTD3Cold support with add-on-card on x4 slot connected with NVMe.</t>
  </si>
  <si>
    <t>CSS-IVE-133702</t>
  </si>
  <si>
    <t>bios.alderlake,bios.arrowlake,bios.cometlake,bios.meteorlake,bios.pantherlake,bios.pantherlake-p,bios.raptorlake,bios.tigerlake,bios.whiskeylake,ifwi.cometlake,ifwi.tigerlake,ifwi.whiskeylake</t>
  </si>
  <si>
    <t>Verify VMD RTD3Cold support with NVMe connected to PCH M.2 slot.</t>
  </si>
  <si>
    <t>CSS-IVE-133708</t>
  </si>
  <si>
    <t>bios.alderlake,bios.arrowlake,bios.cometlake,bios.meteorlake,bios.pantherlake-s,bios.raptorlake,bios.tigerlake,bios.whiskeylake,ifwi.cometlake,ifwi.tigerlake,ifwi.whiskeylake</t>
  </si>
  <si>
    <t>Verify Dual Tau Feature writing MMIO values With cTDp &amp; Non- cTDP  Part</t>
  </si>
  <si>
    <t>CSS-IVE-133743</t>
  </si>
  <si>
    <t>Verify Gen1 to Gen5 speed check with Gen4 device connected over Gen5 supported X8 slot</t>
  </si>
  <si>
    <t>CSS-IVE-135406</t>
  </si>
  <si>
    <t>Verify that BIOS shall provide verb tables for HDA Config</t>
  </si>
  <si>
    <t>CSS-IVE-135401</t>
  </si>
  <si>
    <t>bios.alderlake,bios.arrowlake,bios.lunarlake,bios.meteorlake,bios.pantherlake,bios.pantherlake-p,bios.raptorlake,bios.raptorlake_refresh,bios.rocketlake</t>
  </si>
  <si>
    <t>Verify PS_ON Residency with TypeC device connected to dTBT USBC port</t>
  </si>
  <si>
    <t>CSS-IVE-135709</t>
  </si>
  <si>
    <t>bios.alderlake,bios.arrowlake,bios.lunarlake,bios.meteorlake,bios.raptorlake,bios.rocketlake</t>
  </si>
  <si>
    <t>Verify Gen1 to Gen5 speed check with PCIe Gen4 NVMe SSD connected over PCIe Gen5 supported X16 slot</t>
  </si>
  <si>
    <t>CSS-IVE-144400</t>
  </si>
  <si>
    <t>Verify that the PCH SATA Controller is set and operating in RAID Mode with NVMe SSD Through VMD</t>
  </si>
  <si>
    <t>CSS-IVE-144539</t>
  </si>
  <si>
    <t>Verify RAID support with NVMe SSD  Through VMD</t>
  </si>
  <si>
    <t>CSS-IVE-144594</t>
  </si>
  <si>
    <t>Verify CPU attached storage with OPAL supported NVME SSD in OPAL menu Through VMD</t>
  </si>
  <si>
    <t>CSS-IVE-144600</t>
  </si>
  <si>
    <t>bios.alderlake,bios.arrowlake,bios.meteorlake,bios.raptorlake,bios.tigerlake,ifwi.tigerlake</t>
  </si>
  <si>
    <t>Verify BIOS provide DDR-RFIM feature enable/disable status via MCHBAR</t>
  </si>
  <si>
    <t>CSS-IVE-145686</t>
  </si>
  <si>
    <t>Verify DMIC basic functionality test with Soundwire Codec</t>
  </si>
  <si>
    <t>CSS-IVE-145488</t>
  </si>
  <si>
    <t>bios.alderlake,bios.amberlake,bios.arrowlake,bios.lunarlake,bios.meteorlake,bios.pantherlake,bios.pantherlake-p,bios.raptorlake,bios.rocketlake,bios.tigerlake,ifwi.arrowlake,ifwi.meteorlake,ifwi.raptorlake,ifwi.tigerlake</t>
  </si>
  <si>
    <t>Verify DMIC basic functionality test over High Definition Audio (HDA) Codec</t>
  </si>
  <si>
    <t>CSS-IVE-145663</t>
  </si>
  <si>
    <t>bios.alderlake,bios.amberlake,bios.arrowlake,bios.lunarlake,bios.meteorlake,bios.pantherlake-h,bios.pantherlake-p,bios.pantherlake-u,bios.raptorlake,bios.rocketlake,bios.tigerlake</t>
  </si>
  <si>
    <t>Verify DMIC basic functionality test over High Definition Audio (HDA) Codec, pre and post CMS cycles</t>
  </si>
  <si>
    <t>CSS-IVE-145667</t>
  </si>
  <si>
    <t>Verify Remapped NVMe-SSD"s detection in Bios &amp; O.S when connected to  x4 slots &amp; M.2 slots from CPU &amp; PCH.</t>
  </si>
  <si>
    <t>CSS-IVE-145692</t>
  </si>
  <si>
    <t>Verify Discrete Bluetooth device function test in OS pre and post S4 , S5 , warm and cold reboot cycles</t>
  </si>
  <si>
    <t>CSS-IVE-145052</t>
  </si>
  <si>
    <t>bios.alderlake,bios.arrowlake,bios.jasperlake,bios.lunarlake,bios.meteorlake,bios.pantherlake,bios.pantherlake-p,bios.raptorlake,bios.raptorlake_refresh,bios.rocketlake,ifwi.arrowlake,ifwi.lunarlake,ifwi.meteorlake,ifwi.raptorlake,ifwi.raptorlake_refresh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</si>
  <si>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</si>
  <si>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</si>
  <si>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</si>
  <si>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</si>
  <si>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bios.alderlake,bios.amberlake,bios.arrowlake,bios.jasperlake,bios.lunarlake,bios.meteorlake,bios.raptorlake,bios.raptorlake_refresh,bios.rocketlake</t>
  </si>
  <si>
    <t>Verify WWAN functionality  pre and post S4 , S5 , warm and cold reboot cycles</t>
  </si>
  <si>
    <t>CSS-IVE-145049</t>
  </si>
  <si>
    <t>bios.alderlake,bios.amberlake,bios.arrowlake,bios.lunarlake,bios.meteorlake,bios.pantherlake,bios.pantherlake-p,bios.raptorlake,ifwi.lunarlake,ifwi.meteorlake,ifwi.raptorlake</t>
  </si>
  <si>
    <t>Verify CNVd Bluetooth Enumeration in OS before and after warm and cold reset</t>
  </si>
  <si>
    <t>CSS-IVE-145030</t>
  </si>
  <si>
    <t>bios.alderlake,bios.arrowlake,bios.jasperlake,bios.lunarlake,bios.meteorlake,bios.pantherlake,bios.pantherlake-p,bios.raptorlake,bios.raptorlake_refresh,bios.rocketlake</t>
  </si>
  <si>
    <t>Verify DP/mini DP panel display in BIOS Setup, EFI and OS</t>
  </si>
  <si>
    <t>CSS-IVE-145253</t>
  </si>
  <si>
    <t>Verify CNVi Bluetooth Enumeration in OS before and after warm and cold  reset</t>
  </si>
  <si>
    <t>CSS-IVE-145028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</si>
  <si>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</si>
  <si>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</si>
  <si>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</si>
  <si>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</si>
  <si>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bios.pch,fw.ifwi.bios,fw.ifwi.pmc</t>
  </si>
  <si>
    <t>bios.alderlake,bios.arrowlake,bios.jasperlake,bios.lunarlake,bios.meteorlake,bios.raptorlake,bios.raptorlake_refresh,bios.rocketlake,ifwi.alderlake,ifwi.arrowlake,ifwi.lunarlake,ifwi.meteorlake,ifwi.raptorlake,ifwi.raptorlake_refresh</t>
  </si>
  <si>
    <t>Verify RTD3 support for HD Audio Controller with and without Audio playback</t>
  </si>
  <si>
    <t>CSS-IVE-145226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</si>
  <si>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</si>
  <si>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</si>
  <si>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</si>
  <si>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</si>
  <si>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bios.alderlake,bios.arrowlake,bios.jasperlake,bios.lunarlake,bios.meteorlake,bios.pantherlake,bios.pantherlake-p,bios.pantherlake-s,bios.raptorlake,bios.raptorlake_refresh,bios.rocketlake</t>
  </si>
  <si>
    <t>Verify HD Display Audio (Intel Display Audio) enumeration pre and post S4, S5, warm and cold reboot cycles</t>
  </si>
  <si>
    <t>CSS-IVE-145258</t>
  </si>
  <si>
    <t>Verify volume Up &amp; Down buttons function test in OS pre and post S4, S5, warm and cold reboot cycles</t>
  </si>
  <si>
    <t>CSS-IVE-145261</t>
  </si>
  <si>
    <t>bios.platform,fw.ifwi.bios,fw.ifwi.ec,fw.ifwi.pchc</t>
  </si>
  <si>
    <t>bios.alderlake,bios.arrowlake,bios.jasperlake,bios.lunarlake,bios.meteorlake,bios.pantherlake,bios.pantherlake-p,bios.pantherlake-s,bios.raptorlake,bios.raptorlake_refresh,bios.rocketlake,ifwi.arrowlake,ifwi.lunarlake,ifwi.meteorlake,ifwi.raptorlake</t>
  </si>
  <si>
    <t>Validate system attains Graphics turbo frequency when threshold loads are applied on graphics cores  pre and post S4, S5, warm and cold reboot cycles</t>
  </si>
  <si>
    <t>CSS-IVE-145262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</si>
  <si>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</si>
  <si>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</si>
  <si>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</si>
  <si>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</si>
  <si>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bios.alderlake,bios.amberlake,bios.apollolake,bios.arrowlake,bios.broxton,bios.cannonlake,bios.coffeelake,bios.cometlake,bios.geminilake,bios.icelake-client,bios.kabylake,bios.kabylake_r,bios.lakefield,bios.lunarlake,bios.meteorlake,bios.raptorlake,bios.raptorlake_refresh,bios.rocketlake,bios.tigerlake,bios.whiskeylake,ifwi.amberlake,ifwi.apollolake,ifwi.broxton,ifwi.cannonlake,ifwi.coffeelake,ifwi.cometlake,ifwi.geminilake,ifwi.icelake,ifwi.kabylake,ifwi.kabylake_r,ifwi.lakefield,ifwi.tigerlake,ifwi.whiskeylake</t>
  </si>
  <si>
    <t>Validate hot-plug USB keyboard, mouse over USB Type-A port when SUT is in BIOS, EFI and OS level</t>
  </si>
  <si>
    <t>CSS-IVE-64111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</si>
  <si>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pantherlake-s,bios.raptorlake,bios.raptorlake_refresh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raptorlake_refresh,ifwi.tigerlake</t>
  </si>
  <si>
    <t>Verify that Debug Messages are sent over on Serial port with Debug BIOS</t>
  </si>
  <si>
    <t>CSS-IVE-65453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</si>
  <si>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tigerlake,ifwi.whiskeylake</t>
  </si>
  <si>
    <t>Verify that Debug Messages are not sent over in Serial port with Release BIOS</t>
  </si>
  <si>
    <t>CSS-IVE-65454</t>
  </si>
  <si>
    <t>bios.alderlake,bios.amberlake,bios.amberlake_7w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skylake,bios.tigerlake,bios.tigerlake_refresh,bios.whiskeylake</t>
  </si>
  <si>
    <t>Verify OS debug support using Windbg debugging via USB3.0 debug port</t>
  </si>
  <si>
    <t>CSS-IVE-65455</t>
  </si>
  <si>
    <t>bios.alderlake,bios.apollolake,bios.arrowlake,bios.cannonlake,bios.coffeelake,bios.cometlake,bios.geminilake,bios.icelake-client,bios.kabylake,bios.kabylake_r,bios.lunarlake,bios.meteorlake,bios.pantherlake,bios.pantherlake-p,bios.pantherlake-s,bios.raptorlake,bios.raptorlake_refresh,bios.rocketlake,bios.tigerlake,bios.whiskeylake,ifwi.apollolake,ifwi.arrowlake,ifwi.cannonlake,ifwi.coffeelake,ifwi.cometlake,ifwi.geminilake,ifwi.icelake,ifwi.kabylake_r,ifwi.lunarlake,ifwi.meteorlake,ifwi.raptorlake,ifwi.tigerlake,ifwi.whiskeylake</t>
  </si>
  <si>
    <t>Verify OS debug support using Windbg via native serial UART</t>
  </si>
  <si>
    <t>CSS-IVE-65456</t>
  </si>
  <si>
    <t>bios.alderlake,bios.amberlake,bios.amberlake_7w,bios.apollolake,bios.arrowlake,bios.cannonlake,bios.coffeelake,bios.cometlake,bios.geminilake,bios.icelake-client,bios.jasperlake,bios.kabylake,bios.kabylake_r,bios.lakefield,bios.lunarlake,bios.meteorlake,bios.pantherlake,bios.pantherlake-p,bios.pantherlake-s,bios.raptorlake,bios.rocketlake,bios.skylake,bios.tigerlake,bios.whiskeylake,ifwi.arrowlake,ifwi.lunarlake,ifwi.meteorlake,ifwi.raptorlake</t>
  </si>
  <si>
    <t>Verify Debug log for no asserts messages</t>
  </si>
  <si>
    <t>CSS-IVE-101572</t>
  </si>
  <si>
    <t>bios.alderlake,bios.amberlake,bios.amberlake_7w,bios.apollolake,bios.arrowlake,bios.cannonlake,bios.coffeelake,bios.cometlake,bios.icelake-client,bios.jasperlake,bios.kabylake,bios.kabylake_r,bios.lakefield,bios.lunarlake,bios.meteorlake,bios.pantherlake,bios.pantherlake-p,bios.pantherlake-s,bios.raptorlake,bios.raptorlake_refresh,bios.rocketlake,bios.skylake,bios.tigerlake,bios.tigerlake_refresh,bios.whiskeylake</t>
  </si>
  <si>
    <t>Verify WLAN and Bluetooth functionality in OS when AirPlane (Flight) Mode switch in On/OFF state</t>
  </si>
  <si>
    <t>CSS-IVE-113962</t>
  </si>
  <si>
    <t>bios.alderlake,bios.arrowlake,bios.cannonlake,bios.coffeelake,bios.cometlake,bios.icelake-client,bios.jasperlake,bios.kabylake_r,bios.lakefield,bios.lunarlake,bios.meteorlake,bios.pantherlake,bios.pantherlake-p,bios.raptorlake,bios.raptorlake_refresh,bios.rocketlake,bios.tigerlake,bios.whiskeylake,ifwi.alderlake,ifwi.arrowlake,ifwi.meteorlake,ifwi.raptorlake,ifwi.raptorlake_refresh</t>
  </si>
  <si>
    <t>Verify UEFI and OS should exchange of Bluetooth profile information</t>
  </si>
  <si>
    <t>CSS-IVE-113973</t>
  </si>
  <si>
    <t>Verify Booting over Wi-Fi using UEFI PXEv6 Boot</t>
  </si>
  <si>
    <t>CSS-IVE-113974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</si>
  <si>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</si>
  <si>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</si>
  <si>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</si>
  <si>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</si>
  <si>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</si>
  <si>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</si>
  <si>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</si>
  <si>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</si>
  <si>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Capability of charging and discharging in OS</t>
  </si>
  <si>
    <t>CSS-IVE-65578</t>
  </si>
  <si>
    <t>Verify C10 package state support</t>
  </si>
  <si>
    <t>CSS-IVE-63683</t>
  </si>
  <si>
    <t>bios.alderlake,bios.amberlake,bios.apollolake,bios.arrowlake,bios.broxton,bios.cannonlake,bios.coffeelake,bios.cometlake,bios.geminilake,bios.jasperlake,bios.kabylake,bios.kabylake_r,bios.lakefield,bios.lunarlake,bios.meteorlake,bios.pantherlake,bios.pantherlake-p,bios.pantherlake-s,bios.raptorlake,bios.rocketlake,bios.skylake,bios.tigerlake,bios.whiskeylake,ifwi.amberlake,ifwi.apollolake,ifwi.broxton,ifwi.cannonlake,ifwi.coffeelake,ifwi.cometlake,ifwi.geminilake,ifwi.kabylake,ifwi.kabylake_r,ifwi.lakefield,ifwi.tigerlake,ifwi.whiskeylake</t>
  </si>
  <si>
    <t>Verify that MEBx shall display an option to set the IP address and port number of the Intel  AMT provisioning server</t>
  </si>
  <si>
    <t>CSS-IVE-75940</t>
  </si>
  <si>
    <t>bios.alderlake,bios.amberlake,bios.arrowlake,bios.cannonlake,bios.coffeelake,bios.cometlake,bios.kabylake,bios.kabylake_r,bios.lunarlake,bios.meteorlake,bios.pantherlake,bios.pantherlake-p,bios.raptorlake,bios.rocketlake,bios.tigerlake,bios.whiskeylake,ifwi.amberlake,ifwi.cannonlake,ifwi.coffeelake,ifwi.cometlake,ifwi.kabylake,ifwi.kabylake_r,ifwi.skylake,ifwi.tigerlake,ifwi.whiskeylake</t>
  </si>
  <si>
    <t>Verify KVM session can be established</t>
  </si>
  <si>
    <t>CSS-IVE-73216</t>
  </si>
  <si>
    <t>bios.amberlake,bios.amberlake_7w,bios.arrowlake,bios.coffeelake,bios.cometlake,bios.kabylake,bios.kabylake_r,bios.raptorlake,bios.skylake,bios.whiskeylake,ifwi.amberlake,ifwi.arrowlake,ifwi.cannonlake,ifwi.coffeelake,ifwi.cometlake,ifwi.kabylake,ifwi.kabylake_r,ifwi.lunarlake,ifwi.meteorlake,ifwi.skylake,ifwi.tigerlake,ifwi.whiskeylake</t>
  </si>
  <si>
    <t>Verify if MEBx password change is accepted (for password meeting specific criteria) and is successfully accepted on subsequent entries to MEBx</t>
  </si>
  <si>
    <t>CSS-IVE-73219</t>
  </si>
  <si>
    <t>bios.alderlake,bios.amberlake,bios.arrowlake,bios.kabylake,bios.lunarlake,bios.meteorlake,bios.pantherlake,bios.pantherlake-p,bios.pantherlake-s,bios.raptorlake,bios.skylake,ifwi.alderlake,ifwi.amberlake,ifwi.arrowlake,ifwi.cannonlake,ifwi.coffeelake,ifwi.cometlake,ifwi.kabylake,ifwi.kabylake_r,ifwi.lunarlake,ifwi.meteorlake,ifwi.raptorlake,ifwi.tigerlake,ifwi.whiskeylake</t>
  </si>
  <si>
    <t>Verify power control options available for ME</t>
  </si>
  <si>
    <t>CSS-IVE-73224</t>
  </si>
  <si>
    <t>bios.alderlake,bios.amberlake,bios.arrowlake,bios.kabylake,bios.lunarlake,bios.meteorlake,bios.pantherlake,bios.pantherlake-p,bios.pantherlake-s,bios.raptorlake,bios.skylake,ifwi.amberlake,ifwi.cannonlake,ifwi.coffeelake,ifwi.cometlake,ifwi.kabylake,ifwi.kabylake_r,ifwi.skylake,ifwi.tigerlake,ifwi.whiskeylake</t>
  </si>
  <si>
    <t>Verify "Domain Name" and HostName" could be set successfully in MEBx setting</t>
  </si>
  <si>
    <t>CSS-IVE-73227</t>
  </si>
  <si>
    <t>bios.alderlake,bios.amberlake,bios.arrowlake,bios.kabylake,bios.lunarlake,bios.meteorlake,bios.pantherlake,bios.pantherlake-p,bios.pantherlake-s,bios.raptorlake,bios.skylake,ifwi.alderlake,ifwi.amberlake,ifwi.cannonlake,ifwi.coffeelake,ifwi.cometlake,ifwi.kabylake,ifwi.kabylake_r,ifwi.skylake,ifwi.tigerlake,ifwi.whiskeylake</t>
  </si>
  <si>
    <t>Verify user can set values for IPV4 Address and Subnet Mask Address</t>
  </si>
  <si>
    <t>CSS-IVE-73229</t>
  </si>
  <si>
    <t>bios.alderlake,bios.amberlake,bios.arrowlake,bios.kabylake,bios.lunarlake,bios.meteorlake,bios.pantherlake,bios.pantherlake-p,bios.pantherlake-s,bios.raptorlake,bios.skylake,ifwi.alderlake,ifwi.amberlake,ifwi.cannonlake,ifwi.coffeelake,ifwi.cometlake,ifwi.kabylake,ifwi.kabylake_r,ifwi.lunarlake,ifwi.tigerlake,ifwi.whiskeylake</t>
  </si>
  <si>
    <t>Verify if user can Save MEBx settings and exit MEBx successfully</t>
  </si>
  <si>
    <t>CSS-IVE-73230</t>
  </si>
  <si>
    <t>bios.alderlake,bios.amberlake,bios.arrowlake,bios.kabylake,bios.lunarlake,bios.meteorlake,bios.pantherlake,bios.pantherlake-p,bios.pantherlake-s,bios.raptorlake,bios.skylake,ifwi.alderlake,ifwi.amberlake,ifwi.cannonlake,ifwi.coffeelake,ifwi.cometlake,ifwi.kabylake,ifwi.kabylake_r,ifwi.lunarlake,ifwi.skylake,ifwi.tigerlake,ifwi.whiskeylake</t>
  </si>
  <si>
    <t>Verify AMT connectivity Provision/Unprovision with static IP using WebUI</t>
  </si>
  <si>
    <t>CSS-IVE-73231</t>
  </si>
  <si>
    <t>bios.alderlake,bios.arrowlake,bios.lunarlake,bios.meteorlake,bios.pantherlake,bios.pantherlake-p,bios.raptorlake,ifwi.alderlake,ifwi.amberlake,ifwi.cannonlake,ifwi.coffeelake,ifwi.cometlake,ifwi.kabylake,ifwi.kabylake_r,ifwi.skylake,ifwi.tigerlake,ifwi.whiskeylake</t>
  </si>
  <si>
    <t>Verify if AMT configuration menu is accessible in MEBx setup</t>
  </si>
  <si>
    <t>CSS-IVE-73232</t>
  </si>
  <si>
    <t>bios.alderlake,bios.amberlake,bios.arrowlake,bios.kabylake,bios.lunarlake,bios.meteorlake,bios.pantherlake,bios.pantherlake-p,bios.pantherlake-s,bios.raptorlake,bios.skylake,ifwi.alderlake,ifwi.amberlake,ifwi.cannonlake,ifwi.coffeelake,ifwi.cometlake,ifwi.kabylake,ifwi.kabylake_r,ifwi.tigerlake,ifwi.whiskeylake</t>
  </si>
  <si>
    <t>Very Intel AMT feature enabled/disabled option in BIOS</t>
  </si>
  <si>
    <t>CSS-IVE-73233</t>
  </si>
  <si>
    <t>bios.alderlake,bios.amberlake,bios.arrowlake,bios.cannonlake,bios.coffeelake,bios.cometlake,bios.kabylake,bios.kabylake_r,bios.lunarlake,bios.meteorlake,bios.pantherlake,bios.pantherlake-p,bios.pantherlake-s,bios.raptorlake,bios.rocketlake,bios.skylake,bios.tigerlake,bios.whiskeylake,ifwi.alderlake,ifwi.amberlake,ifwi.arrowlake,ifwi.cannonlake,ifwi.coffeelake,ifwi.cometlake,ifwi.kabylake,ifwi.kabylake_r,ifwi.lunarlake,ifwi.meteorlake,ifwi.raptorlake,ifwi.skylake,ifwi.tigerlake,ifwi.tigerlake_refresh,ifwi.whiskeylake</t>
  </si>
  <si>
    <t>Verify availability of Storage Redirection/ KVM under AMT and relevant options applicable for these features</t>
  </si>
  <si>
    <t>CSS-IVE-73234</t>
  </si>
  <si>
    <t>Verify KVM can be enabled/disabled in MEBx</t>
  </si>
  <si>
    <t>CSS-IVE-73236</t>
  </si>
  <si>
    <t>bios.alderlake,bios.amberlake,bios.amberlake_7w,bios.arrowlake,bios.coffeelake,bios.cometlake,bios.kabylake,bios.kabylake_r,bios.lunarlake,bios.meteorlake,bios.pantherlake,bios.pantherlake-p,bios.pantherlake-s,bios.raptorlake,bios.skylake,bios.whiskeylake,ifwi.alderlake,ifwi.amberlake,ifwi.cannonlake,ifwi.coffeelake,ifwi.cometlake,ifwi.kabylake,ifwi.kabylake_r,ifwi.skylake,ifwi.tigerlake,ifwi.whiskeylake</t>
  </si>
  <si>
    <t>Verify options - IPV4, UUID and Power Control are available in WebUI with WLAN</t>
  </si>
  <si>
    <t>CSS-IVE-73239</t>
  </si>
  <si>
    <t>bios.alderlake,bios.arrowlake,bios.lunarlake,bios.meteorlake,bios.pantherlake,bios.pantherlake-p,bios.raptorlake,ifwi.alderlake,ifwi.amberlake,ifwi.cannonlake,ifwi.coffeelake,ifwi.cometlake,ifwi.kabylake,ifwi.kabylake_r,ifwi.lunarlake,ifwi.meteorlake,ifwi.skylake,ifwi.tigerlake,ifwi.whiskeylake</t>
  </si>
  <si>
    <t>Verify AMT WEBUI is accessible after Sx cycles</t>
  </si>
  <si>
    <t>CSS-IVE-73240</t>
  </si>
  <si>
    <t>bios.alderlake,bios.arrowlake,bios.lunarlake,bios.meteorlake,bios.pantherlake,bios.pantherlake-p,bios.raptorlake,ifwi.alderlake,ifwi.amberlake,ifwi.cannonlake,ifwi.coffeelake,ifwi.cometlake,ifwi.kabylake,ifwi.kabylake_r,ifwi.lunarlake,ifwi.meteorlake,ifwi.skylake,ifwi.tigerlake,ifwi.tigerlake_refresh,ifwi.whiskeylake</t>
  </si>
  <si>
    <t>Verify the MEBX configure using Host-based Provisioning</t>
  </si>
  <si>
    <t>CSS-IVE-73241</t>
  </si>
  <si>
    <t>bios.alderlake,bios.arrowlake,bios.lunarlake,bios.meteorlake,bios.pantherlake,bios.pantherlake-p,bios.raptorlake,ifwi.alderlake,ifwi.amberlake,ifwi.cannonlake,ifwi.coffeelake,ifwi.cometlake,ifwi.kabylake,ifwi.kabylake_r,ifwi.lunarlake,ifwi.tigerlake,ifwi.whiskeylake</t>
  </si>
  <si>
    <t>Verify BIOS shall display ME,BIOS,KSC version in Bios setup page</t>
  </si>
  <si>
    <t>CSS-IVE-73249</t>
  </si>
  <si>
    <t>bios.alderlake,bios.amberlake,bios.amberlake_7w,bios.arrowlake,bios.cannonlake,bios.coffeelake,bios.cometlake,bios.icelake-client,bios.jasperlake,bios.kabylake,bios.kabylake_r,bios.lakefield,bios.lunarlake,bios.meteorlake,bios.pantherlake,bios.pantherlake-p,bios.pantherlake-s,bios.raptorlake,bios.raptorlake_refresh,bios.rocketlake,bios.skylake,bios.tigerlake,bios.whiskeylake,ifwi.amberlake,ifwi.arrowlake,ifwi.cannonlake,ifwi.coffeelake,ifwi.cometlake,ifwi.icelake,ifwi.kabylake,ifwi.kabylake_r,ifwi.lakefield,ifwi.lunarlake,ifwi.meteorlake,ifwi.raptorlake,ifwi.raptorlake_refresh,ifwi.skylake,ifwi.tigerlake,ifwi.tigerlake_refresh,ifwi.whiskeylake</t>
  </si>
  <si>
    <t>Verify IFR Update option is removed from PCH-FW Configuration page in BIOS setup</t>
  </si>
  <si>
    <t>CSS-IVE-73250</t>
  </si>
  <si>
    <t>bios.alderlake,bios.amberlake,bios.arrowlake,bios.cannonlake,bios.coffeelake,bios.cometlake,bios.kabylake,bios.kabylake_r,bios.lunarlake,bios.meteorlake,bios.raptorlake,bios.rocketlake,bios.tigerlake,bios.whiskeylake</t>
  </si>
  <si>
    <t>Verify if BIOS populates SMBIOS table 130 according to desired capabilities</t>
  </si>
  <si>
    <t>CSS-IVE-73251</t>
  </si>
  <si>
    <t>bios.alderlake,bios.pantherlake,bios.pantherlake-p,bios.raptorlake,bios.raptorlake_refresh,ifwi.amberlake,ifwi.cannonlake,ifwi.coffeelake,ifwi.cometlake,ifwi.kabylake,ifwi.kabylake_r,ifwi.raptorlake,ifwi.raptorlake_refresh,ifwi.skylake,ifwi.tigerlake,ifwi.whiskeylake</t>
  </si>
  <si>
    <t>Verify removal of MDES usage from MEBx</t>
  </si>
  <si>
    <t>CSS-IVE-73255</t>
  </si>
  <si>
    <t>bios.alderlake,bios.arrowlake,bios.raptorlake,ifwi.cannonlake,ifwi.coffeelake,ifwi.kabylake,ifwi.kabylake_r,ifwi.lunarlake,ifwi.tigerlake,ifwi.whiskeylake</t>
  </si>
  <si>
    <t>Verify "Manageability Feature Selection" is "Enabled" by default in MEBx setup</t>
  </si>
  <si>
    <t>CSS-IVE-73220</t>
  </si>
  <si>
    <t>Verify  Setting AMT feature state to enabled is not allowed While AMT is globally disabled</t>
  </si>
  <si>
    <t>CSS-IVE-135633</t>
  </si>
  <si>
    <t>bios.alderlake,bios.arrowlake,bios.lunarlake,bios.meteorlake,bios.raptorlake,bios.tigerlake,ifwi.alderlake,ifwi.raptorlake,ifwi.tigerlake</t>
  </si>
  <si>
    <t>Verify KVM session can be established When SUT is in MEBX Menu and BIOS Menu</t>
  </si>
  <si>
    <t>CSS-IVE-144421</t>
  </si>
  <si>
    <t>Verify booting support through USB 3.2 Gen2 (SS+ mass storage) connected over USB Type-C port</t>
  </si>
  <si>
    <t>CSS-IVE-75931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</si>
  <si>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h,bios.pantherlake-p,bios.pantherlake-u,bios.raptorlake,bios.raptorlake_refresh,bios.rocketlake,bios.tigerlake,bios.whiskeylake,ifwi.amberlake,ifwi.apollolake,ifwi.broxton,ifwi.cannonlake,ifwi.coffeelake,ifwi.cometlake,ifwi.geminilake,ifwi.icelake,ifwi.kabylake,ifwi.kabylake_r,ifwi.lakefield,ifwi.raptorlake_refresh,ifwi.tigerlake,ifwi.whiskeylake</t>
  </si>
  <si>
    <t>Verify SUT should be able to boot from USB2.0 Pendrive over Type-C port</t>
  </si>
  <si>
    <t>CSS-IVE-75934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</si>
  <si>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raptorlake_refresh,ifwi.tigerlake,ifwi.tigerlake_refresh,ifwi.whiskeylake</t>
  </si>
  <si>
    <t>Verify SUT should be able to boot from USB 3.0 disk over Type-C port</t>
  </si>
  <si>
    <t>CSS-IVE-75935</t>
  </si>
  <si>
    <t>Verify that system boots to EDK shell</t>
  </si>
  <si>
    <t>CSS-IVE-75945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</si>
  <si>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pantherlake-s,bios.raptorlake,bios.raptorlake_refresh,bios.rocketlake,bios.skylake,bios.tigerlake,bios.tigerlake_refresh,bios.whiskeylake,ifwi.amberlake,ifwi.apollolake,ifwi.arrowlake,ifwi.broxton,ifwi.cannonlake,ifwi.coffeelake,ifwi.cometlake,ifwi.geminilake,ifwi.icelake,ifwi.kabylake,ifwi.kabylake_r,ifwi.lakefield,ifwi.lunarlake,ifwi.meteorlake,ifwi.raptorlake,ifwi.skylake,ifwi.tigerlake,ifwi.whiskeylake</t>
  </si>
  <si>
    <t>Verify that SUT boots to OS without battery and with only   AC  power source</t>
  </si>
  <si>
    <t>CSS-IVE-75954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</si>
  <si>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rocketlake,bios.tigerlake,bios.tigerlake_refresh,bios.whiskeylake,ifwi.amberlake,ifwi.cometlake,ifwi.raptorlake_refresh</t>
  </si>
  <si>
    <t>Verify that SUT boots to OS with Virtual battery &amp; retain AC/DC mode after Sx/G3 cycle</t>
  </si>
  <si>
    <t>CSS-IVE-75957</t>
  </si>
  <si>
    <t>bios.alderlake,bios.apollolake,bios.arrowlake,bios.cannonlake,bios.coffeelake,bios.cometlake,bios.icelake-client,bios.jasperlake,bios.kabylake,bios.kabylake_r,bios.lakefield,bios.lunarlake,bios.meteorlake,bios.raptorlake,bios.raptorlake_refresh,bios.tigerlake,bios.whiskeylake,ifwi.alderlake,ifwi.arrowlake,ifwi.cometlake,ifwi.lunarlake,ifwi.meteorlake,ifwi.raptorlake,ifwi.raptorlake_refresh</t>
  </si>
  <si>
    <t>Verify system stability post Sx  and Deep S4 cycling with RTD3 option enabled in BIOS</t>
  </si>
  <si>
    <t>CSS-IVE-75958</t>
  </si>
  <si>
    <t>bios.alderlake,bios.amberlake,bios.apollolake,bios.arrowlake,bios.broxton,bios.cannonlake,bios.coffeelake,bios.cometlake,bios.geminilake,bios.icelake-client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tigerlake,ifwi.tigerlake_refresh,ifwi.whiskeylake</t>
  </si>
  <si>
    <t>Virtual/Real Lid Switch functionality</t>
  </si>
  <si>
    <t>CSS-IVE-75959</t>
  </si>
  <si>
    <t>Verify MEBX UI is accessible during SUT boot with ME Corporate SKU</t>
  </si>
  <si>
    <t>CSS-IVE-75967</t>
  </si>
  <si>
    <t>bios.alderlake,bios.amberlake,bios.arrowlake,bios.cannonlake,bios.coffeelake,bios.cometlake,bios.kabylake,bios.kabylake_r,bios.lunarlake,bios.meteorlake,bios.pantherlake,bios.pantherlake-p,bios.pantherlake-s,bios.raptorlake,bios.rocketlake,bios.skylake,bios.tigerlake,bios.whiskeylake,ifwi.alderlake,ifwi.amberlake,ifwi.arrowlake,ifwi.cannonlake,ifwi.coffeelake,ifwi.cometlake,ifwi.kabylake,ifwi.kabylake_r,ifwi.lunarlake,ifwi.meteorlake,ifwi.raptorlake,ifwi.skylake,ifwi.tigerlake,ifwi.whiskeylake</t>
  </si>
  <si>
    <t>Verify system completes disconnected modern standby cycling successfully</t>
  </si>
  <si>
    <t>CSS-IVE-76121</t>
  </si>
  <si>
    <t>bios.alderlake,bios.apollolake,bios.arrowlake,bios.cannonlake,bios.coffeelake,bios.cometlake,bios.geminilake,bios.icelake-client,bios.kabylake,bios.kabylake_r,bios.meteorlake,bios.raptorlake,bios.rocketlake,bios.tigerlake,bios.whiskeylake,ifwi.apollolake,ifwi.arrowlake,ifwi.cannonlake,ifwi.coffeelake,ifwi.cometlake,ifwi.geminilake,ifwi.icelake,ifwi.kabylake,ifwi.kabylake_r,ifwi.lunarlake,ifwi.meteorlake,ifwi.raptorlake,ifwi.tigerlake,ifwi.whiskeylake</t>
  </si>
  <si>
    <t>Verify Touch function test using Touch Panel post S4 cycle</t>
  </si>
  <si>
    <t>CSS-IVE-76151</t>
  </si>
  <si>
    <t>bios.amberlake,bios.apollolake,bios.arrowlake,bios.broxton,bios.cannonlake,bios.coffeelake,bios.cometlake,bios.geminilake,bios.kabylake,bios.kabylake_r,bios.lakefield,bios.lunarlake,bios.raptorlake,bios.tigerlake,ifwi.amberlake,ifwi.apollolake,ifwi.arrowlake,ifwi.broxton,ifwi.cannonlake,ifwi.coffeelake,ifwi.cometlake,ifwi.geminilake,ifwi.kabylake,ifwi.kabylake_r,ifwi.lakefield,ifwi.meteorlake,ifwi.raptorlake,ifwi.tigerlake</t>
  </si>
  <si>
    <t>Verify Touch function test using Touch Panel post S5 cycle</t>
  </si>
  <si>
    <t>CSS-IVE-76152</t>
  </si>
  <si>
    <t>bios.amberlake,bios.apollolake,bios.arrowlake,bios.broxton,bios.cannonlake,bios.coffeelake,bios.cometlake,bios.geminilake,bios.kabylake,bios.kabylake_r,bios.lunarlake,bios.raptorlake,bios.tigerlake,ifwi.amberlake,ifwi.apollolake,ifwi.arrowlake,ifwi.broxton,ifwi.cannonlake,ifwi.coffeelake,ifwi.cometlake,ifwi.geminilake,ifwi.kabylake,ifwi.kabylake_r,ifwi.lunarlake,ifwi.meteorlake,ifwi.tigerlake</t>
  </si>
  <si>
    <t>Verify Touch function test using TouchPad post S3 cycle</t>
  </si>
  <si>
    <t>CSS-IVE-76153</t>
  </si>
  <si>
    <t>bios.alderlake,bios.apollolake,bios.arrowlake,bios.cannonlake,bios.coffeelake,bios.cometlake,bios.geminilake,bios.icelake-client,bios.jasperlake,bios.kabylake,bios.kabylake_r,bios.lunarlake,bios.meteorlake,bios.raptorlake,bios.tigerlake,ifwi.apollolake,ifwi.cannonlake,ifwi.coffeelake,ifwi.cometlake,ifwi.geminilake,ifwi.icelake,ifwi.kabylake,ifwi.kabylake_r,ifwi.tigerlake</t>
  </si>
  <si>
    <t>Verify Discrete Wi-Fi enumeration post S3 cycle</t>
  </si>
  <si>
    <t>CSS-IVE-76156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</si>
  <si>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raptorlake,ifwi.raptorlake_refresh,ifwi.tigerlake,ifwi.whiskeylake</t>
  </si>
  <si>
    <t>DPTF devices enumeration pre and post S3 cycle</t>
  </si>
  <si>
    <t>CSS-IVE-76197</t>
  </si>
  <si>
    <t>bios.alderlake,bios.amberlake,bios.apollolake,bios.arrowlake,bios.cannonlake,bios.coffeelake,bios.cometlake,bios.geminilake,bios.icelake-client,bios.jasperlake,bios.kabylake,bios.kabylake_r,bios.lakefield,bios.meteorlake,bios.pantherlake,bios.pantherlake-p,bios.raptorlake,bios.raptorlake_refresh,bios.rocketlake,bios.tigerlake,bios.whiskeylake,ifwi.amberlake,ifwi.raptorlake_refresh</t>
  </si>
  <si>
    <t>Verify CPU turbo boost functionality post S3 cycle</t>
  </si>
  <si>
    <t>CSS-IVE-76216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</si>
  <si>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tigerlake,ifwi.whiskeylake</t>
  </si>
  <si>
    <t>Verify system stability on waking from idle state pre and post Disconnected Modern Standby cycle</t>
  </si>
  <si>
    <t>CSS-IVE-76219</t>
  </si>
  <si>
    <t>bios.alderlake,bios.amberlake,bios.apollolake,bios.arrowlake,bios.broxton,bios.cannonlake,bios.coffeelake,bios.cometlake,bios.geminilake,bios.icelake-client,bios.kabylake,bios.kabylake_r,bios.meteorlake,bios.raptorlake,bios.rocketlake,bios.tigerlake,bios.whiskeylake,ifwi.amberlake,ifwi.apollolake,ifwi.arrowlake,ifwi.broxton,ifwi.cannonlake,ifwi.coffeelake,ifwi.cometlake,ifwi.geminilake,ifwi.icelake,ifwi.kabylake,ifwi.kabylake_r,ifwi.lunarlake,ifwi.meteorlake,ifwi.raptorlake,ifwi.tigerlake,ifwi.whiskeylake</t>
  </si>
  <si>
    <t>Verify Discrete Bluetooth device function test on OS post S3 cycle</t>
  </si>
  <si>
    <t>CSS-IVE-76247</t>
  </si>
  <si>
    <t>bios.alderlake,bios.amberlake,bios.apollolake,bios.arrowlake,bios.broxton,bios.cannonlake,bios.coffeelake,bios.cometlake,bios.geminilake,bios.icelake-client,bios.jasperlake,bios.kabylake,bios.kabylake_r,bios.lunarlake,bios.meteorlake,bios.pantherlake,bios.pantherlake-p,bios.raptorlake,bios.raptorlake_refresh,bios.rocketlake,bios.tigerlake,bios.whiskeylake,ifwi.amberlake,ifwi.apollolake,ifwi.arrowlake,ifwi.broxton,ifwi.cannonlake,ifwi.coffeelake,ifwi.cometlake,ifwi.geminilake,ifwi.icelake,ifwi.kabylake,ifwi.kabylake_r,ifwi.raptorlake,ifwi.raptorlake_refresh,ifwi.tigerlake,ifwi.whiskeylake</t>
  </si>
  <si>
    <t>Verify CPU "C-state C7 "support</t>
  </si>
  <si>
    <t>CSS-IVE-76250</t>
  </si>
  <si>
    <t>bios.alderlake,bios.amberlake,bios.apollolake,bios.arrowlake,bios.broxton,bios.cannonlake,bios.coffeelake,bios.cometlake,bios.geminilake,bios.glacierfalls,bios.icelake-client,bios.jasperlake,bios.kabylake,bios.kabylake_r,bios.lakefield,bios.lunarlake,bios.meteorlake,bios.pantherlake,bios.pantherlake-p,bios.raptorlake,bios.raptorlake_refresh,bios.rocketlake,bios.tigerlake,bios.whiskeylake,ifwi.alderlake,ifwi.amberlake,ifwi.apollolake,ifwi.broxton,ifwi.cannonlake,ifwi.coffeelake,ifwi.cometlake,ifwi.geminilake,ifwi.icelake,ifwi.kabylake,ifwi.kabylake_r,ifwi.lakefield,ifwi.rocketlake,ifwi.skylake,ifwi.tigerlake,ifwi.tigerlake_refresh,ifwi.whiskeylake</t>
  </si>
  <si>
    <t>Verify Audio recording and Playback over 3.5mm-Jack-Headset (via HD-A), pre and post S3 cycles</t>
  </si>
  <si>
    <t>CSS-IVE-76257</t>
  </si>
  <si>
    <t>bios.ald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pollolake,ifwi.arrowlake,ifwi.broxton,ifwi.cannonlake,ifwi.coffeelake,ifwi.cometlake,ifwi.geminilake,ifwi.icelake,ifwi.kabylake,ifwi.kabylake_r,ifwi.meteorlake,ifwi.tigerlake,ifwi.whiskeylake</t>
  </si>
  <si>
    <t>Verify HD Display Audio enumeration post S3 cycle</t>
  </si>
  <si>
    <t>CSS-IVE-76301</t>
  </si>
  <si>
    <t>bios.alderlake,bios.amberlake,bios.apollolake,bios.arrowlake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arrowlake,ifwi.cannonlake,ifwi.coffeelake,ifwi.cometlake,ifwi.geminilake,ifwi.icelake,ifwi.kabylake,ifwi.kabylake_r,ifwi.raptorlake,ifwi.raptorlake_refresh,ifwi.tigerlake,ifwi.whiskeylake</t>
  </si>
  <si>
    <t>Verify charging during pre and post S3 cycle</t>
  </si>
  <si>
    <t>CSS-IVE-76608</t>
  </si>
  <si>
    <t>Verify system wakes from S3 using Keyboard as Wake Source</t>
  </si>
  <si>
    <t>CSS-IVE-77147</t>
  </si>
  <si>
    <t>bios.alderlake,bios.amberlake,bios.apollolake,bios.arrowlake,bios.broxton,bios.cannonlake,bios.cometlake,bios.geminilake,bios.icelake-client,bios.jasperlake,bios.kabylake,bios.kabylake_r,bios.lunarlake,bios.meteorlake,bios.pantherlake-s,bios.raptorlake,bios.raptorlake_refresh,bios.rocketlake,bios.skylake,bios.tigerlake,bios.whiskeylake,ifwi.amberlake,ifwi.apollolake,ifwi.arrowlake,ifwi.broxton,ifwi.cannonlake,ifwi.cometlake,ifwi.geminilake,ifwi.icelake,ifwi.kabylake,ifwi.kabylake_r,ifwi.lunarlake,ifwi.meteorlake,ifwi.raptorlake,ifwi.raptorlake_refresh,ifwi.tigerlake,ifwi.whiskeylake</t>
  </si>
  <si>
    <t>Verify system wakes from sleep using Lid Action as Wake Source</t>
  </si>
  <si>
    <t>CSS-IVE-77149</t>
  </si>
  <si>
    <t>bios.alderlake,bios.amberlake,bios.amberlake_7w,bios.apollolake,bios.arrowlake,bios.cannonlake,bios.coffeelake,bios.cometlake,bios.geminilake,bios.icelake-client,bios.jasperlake,bios.kabylake,bios.kabylake_r,bios.meteorlake,bios.pantherlake,bios.pantherlake-p,bios.pantherlake-s,bios.raptorlake,bios.skylake,bios.tigerlake,bios.whiskeylake,ifwi.amberlake,ifwi.apollolake,ifwi.arrowlake,ifwi.cannonlake,ifwi.coffeelake,ifwi.cometlake,ifwi.geminilake,ifwi.icelake,ifwi.kabylake,ifwi.kabylake_r,ifwi.meteorlake,ifwi.raptorlake,ifwi.tigerlake,ifwi.whiskeylake</t>
  </si>
  <si>
    <t>ISH Sensor Enumeration post S4 cycle - Accelerometer/3D Accelerometer</t>
  </si>
  <si>
    <t>CSS-IVE-77180</t>
  </si>
  <si>
    <t>bios.alderlake,bios.amberlake,bios.apollolake,bios.arrowlake,bios.broxton,bios.cannonlake,bios.cometlake,bios.geminilake,bios.icelake-client,bios.kabylake,bios.kabylake_r,bios.lakefield,bios.lunarlake,bios.meteorlake,bios.raptorlake,bios.tigerlake,bios.whiskeylake,ifwi.amberlake,ifwi.apollolake,ifwi.arrowlake,ifwi.broxton,ifwi.cannonlake,ifwi.cometlake,ifwi.geminilake,ifwi.icelake,ifwi.kabylake,ifwi.kabylake_r,ifwi.lakefield,ifwi.meteorlake,ifwi.tigerlake,ifwi.whiskeylake</t>
  </si>
  <si>
    <t>ISH Sensor Enumeration Pre and Post Sx - Ambient light (ALS)</t>
  </si>
  <si>
    <t>CSS-IVE-77202</t>
  </si>
  <si>
    <t>bios.alderlake,bios.amberlake,bios.apollolake,bios.arrowlake,bios.broxton,bios.cannonlake,bios.cometlake,bios.geminilake,bios.icelake-client,bios.kabylake,bios.kabylake_r,bios.lakefield,bios.meteorlake,bios.pantherlake,bios.pantherlake-p,bios.pantherlake-s,bios.raptorlake,bios.raptorlake_refresh,bios.rocketlake,bios.skylake,bios.tigerlake,bios.whiskeylake,ifwi.amberlake,ifwi.apollolake,ifwi.broxton,ifwi.cannonlake,ifwi.cometlake,ifwi.geminilake,ifwi.icelake,ifwi.kabylake,ifwi.kabylake_r,ifwi.lakefield,ifwi.raptorlake,ifwi.tigerlake,ifwi.whiskeylake</t>
  </si>
  <si>
    <t>Verify ISH Sensor Enumeration post S3 cycle - Ambient light Sensor (ALS)</t>
  </si>
  <si>
    <t>CSS-IVE-77203</t>
  </si>
  <si>
    <t>bios.alderlake,bios.amberlake,bios.apollolake,bios.arrowlake,bios.cannonlake,bios.cometlake,bios.geminilake,bios.icelake-client,bios.kabylake,bios.kabylake_r,bios.meteorlake,bios.raptorlake,bios.raptorlake_refresh,bios.rocketlake,bios.tigerlake,bios.whiskeylake,ifwi.amberlake,ifwi.apollolake,ifwi.cannonlake,ifwi.cometlake,ifwi.geminilake,ifwi.icelake,ifwi.kabylake,ifwi.kabylake_r,ifwi.tigerlake,ifwi.whiskeylake</t>
  </si>
  <si>
    <t>Verify Intel HD Audio functionality over 3.5mm Jack Speakers post S3/S0i3 cycle</t>
  </si>
  <si>
    <t>CSS-IVE-77314</t>
  </si>
  <si>
    <t>bios.alderlake,bios.apollolake,bios.arrowlake,bios.cannonlake,bios.coffeelake,bios.cometlake,bios.geminilake,bios.icelake-client,bios.kabylake,bios.kabylake_r,bios.lunarlake,bios.meteorlake,bios.raptorlake,bios.raptorlake_refresh,bios.rocketlake,bios.tigerlake,bios.whiskeylake,ifwi.apollolake,ifwi.arrowlake,ifwi.cannonlake,ifwi.coffeelake,ifwi.cometlake,ifwi.geminilake,ifwi.icelake,ifwi.kabylake,ifwi.kabylake_r,ifwi.meteorlake,ifwi.raptorlake,ifwi.raptorlake_refresh,ifwi.skylake,ifwi.tigerlake,ifwi.whiskeylake</t>
  </si>
  <si>
    <t>Verify video playback in OS post S3/S0i3 cycle</t>
  </si>
  <si>
    <t>CSS-IVE-76592</t>
  </si>
  <si>
    <t>bios.ald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pollolake,ifwi.arrowlake,ifwi.broxton,ifwi.cannonlake,ifwi.coffeelake,ifwi.cometlake,ifwi.geminilake,ifwi.icelake,ifwi.kabylake,ifwi.kabylake_r,ifwi.meteorlake,ifwi.raptorlake,ifwi.raptorlake_refresh,ifwi.tigerlake,ifwi.whiskeylake</t>
  </si>
  <si>
    <t>Verify display audio functionality on HDMI speakers</t>
  </si>
  <si>
    <t>CSS-IVE-76597</t>
  </si>
  <si>
    <t>bios.alderlake,bios.amberlake,bios.apollolake,bios.broxton,bios.cannonlake,bios.coffeelake,bios.cometlake,bios.geminilake,bios.icelake-client,bios.kabylake,bios.kabylake_r,bios.lunarlake,bios.meteorlake,bios.raptorlake,bios.raptorlake_refresh,bios.rocketlake,bios.tigerlake,ifwi.amberlake,ifwi.apollolake,ifwi.arrowlake,ifwi.broxton,ifwi.cannonlake,ifwi.coffeelake,ifwi.cometlake,ifwi.geminilake,ifwi.icelake,ifwi.kabylake,ifwi.kabylake_r,ifwi.lunarlake,ifwi.meteorlake,ifwi.raptorlake,ifwi.raptorlake_refresh,ifwi.skylake,ifwi.tigerlake</t>
  </si>
  <si>
    <t>[TBT] Verify Thunderbolt Enumeration in device manager</t>
  </si>
  <si>
    <t>CSS-IVE-76603</t>
  </si>
  <si>
    <t>[TBT] Verify Thunderbolt -TBT device Data transfer functionality</t>
  </si>
  <si>
    <t>CSS-IVE-77133</t>
  </si>
  <si>
    <t>bios.alderlake,bios.amberlake,bios.arrowlake,bios.cannonlake,bios.coffeelake,bios.cometlake,bios.icelake-client,bios.kabylake,bios.kabylake_r,bios.lunarlake,bios.meteorlake,bios.pantherlake,bios.pantherlake-p,bios.pantherlake-s,bios.raptorlake,bios.raptorlake_refresh,bios.rocketlake,bios.tigerlake,bios.tigerlake_refresh,bios.whiskeylake,ifwi.amberlake,ifwi.arrowlake,ifwi.cannonlake,ifwi.coffeelake,ifwi.cometlake,ifwi.icelake,ifwi.kabylake,ifwi.kabylake_r,ifwi.lunarlake,ifwi.meteorlake,ifwi.raptorlake,ifwi.raptorlake_refresh,ifwi.tigerlake,ifwi.whiskeylake</t>
  </si>
  <si>
    <t>Verify Basic Video recording and AV-sync functionality validation</t>
  </si>
  <si>
    <t>CSS-IVE-76596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</si>
  <si>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skylake,bios.tigerlake,bios.whiskeylake,ifwi.alderlake,ifwi.amberlake,ifwi.apollolake,ifwi.arrowlake,ifwi.broxton,ifwi.cannonlake,ifwi.coffeelake,ifwi.cometlake,ifwi.geminilake,ifwi.icelake,ifwi.kabylake,ifwi.kabylake_r,ifwi.lakefield,ifwi.meteorlake,ifwi.raptorlake,ifwi.raptorlake_refresh,ifwi.tigerlake,ifwi.whiskeylake</t>
  </si>
  <si>
    <t>ISH FW response and version check in OS</t>
  </si>
  <si>
    <t>CSS-IVE-77487</t>
  </si>
  <si>
    <t>bios.apollolake,bios.arrowlake,bios.broxton,bios.cannonlake,bios.geminilake,bios.kabylake,bios.kabylake_r,bios.raptorlake,bios.raptorlake_refresh,ifwi.apollolake,ifwi.broxton,ifwi.cannonlake,ifwi.geminilake,ifwi.kabylake,ifwi.kabylake_r,ifwi.lunarlake,ifwi.raptorlake_refresh</t>
  </si>
  <si>
    <t>Verify System Login using Finger print Sensor (FPS)</t>
  </si>
  <si>
    <t>CSS-IVE-71234</t>
  </si>
  <si>
    <t>bios.platform,fw.ifwi.ish</t>
  </si>
  <si>
    <t>bios.alderlake,bios.amberlake,bios.apollolake,bios.arrowlake,bios.broxton,bios.cannonlake,bios.coffeelake,bios.cometlake,bios.geminilake,bios.icelake-client,bios.kabylake,bios.kabylake_r,bios.lunarlake,bios.meteorlake,bios.raptorlake,bios.rocketlake,bios.whiskeylake,ifwi.amberlake,ifwi.apollolake,ifwi.arrowlake,ifwi.broxton,ifwi.cannonlake,ifwi.coffeelake,ifwi.cometlake,ifwi.geminilake,ifwi.icelake,ifwi.kabylake,ifwi.kabylake_r,ifwi.lunarlake,ifwi.meteorlake,ifwi.raptorlake,ifwi.whiskeylake</t>
  </si>
  <si>
    <t>Validate system achieves more than 80% S0i3(CMS) residency</t>
  </si>
  <si>
    <t>CSS-IVE-63691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</si>
  <si>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pantherlake-s,bios.raptorlake,bios.raptorlake_refresh,bios.rocketlake,bios.skylake,bios.tigerlake,bios.whiskeylake,ifwi.alderlake,ifwi.amberlake,ifwi.apollolake,ifwi.arrowlake,ifwi.broxton,ifwi.cannonlake,ifwi.coffeelake,ifwi.cometlake,ifwi.geminilake,ifwi.icelake,ifwi.jasperlake,ifwi.kabylake,ifwi.kabylake_r,ifwi.lakefield,ifwi.meteorlake,ifwi.rocketlake,ifwi.skylake,ifwi.tigerlake,ifwi.tigerlake_refresh,ifwi.whiskeylake</t>
  </si>
  <si>
    <t>Verification of hot keys (F2 &amp; F7) functionality check while BOOT</t>
  </si>
  <si>
    <t>CSS-IVE-78670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</si>
  <si>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tigerlake,ifwi.whiskeylake</t>
  </si>
  <si>
    <t>Verify ucode firmware load/version check pre and post S3 cycle</t>
  </si>
  <si>
    <t>CSS-IVE-78725</t>
  </si>
  <si>
    <t>bios.cpu_pm,fw.ifwi.unknown</t>
  </si>
  <si>
    <t>bios.alderlake,bios.amberlake,bios.apollolake,bios.arrowlake,bios.broxton,bios.cannonlake,bios.coffeelake,bios.cometlake,bios.geminilake,bios.glacierfalls,bios.icelake-client,bios.jasperlake,bios.kabylake,bios.kabylake_r,bios.lakefield,bios.meteorlake,bios.pantherlake,bios.pantherlake-p,bios.pantherlake-s,bios.raptorlake,bios.raptorlake_refresh,bios.rocketlake,bios.tigerlake,bios.whiskeylake,ifwi.alderlake,ifwi.amberlake,ifwi.apollolake,ifwi.arrowlake,ifwi.broxton,ifwi.cannonlake,ifwi.coffeelake,ifwi.cometlake,ifwi.geminilake,ifwi.icelake,ifwi.kabylake,ifwi.kabylake_r,ifwi.lakefield,ifwi.meteorlake,ifwi.raptorlake,ifwi.rocketlake,ifwi.tigerlake,ifwi.whiskeylake</t>
  </si>
  <si>
    <t>Verify Analog Microphone test connected to 3.5 mm Port post S3 cycle</t>
  </si>
  <si>
    <t>CSS-IVE-80017</t>
  </si>
  <si>
    <t>bios.alderlake,bios.apollolake,bios.arrowlake,bios.cannonlake,bios.coffeelake,bios.cometlake,bios.geminilake,bios.icelake-client,bios.kabylake,bios.kabylake_r,bios.lunarlake,bios.meteorlake,bios.raptorlake,bios.raptorlake_refresh,bios.rocketlake,bios.tigerlake,bios.whiskeylake,ifwi.apollolake,ifwi.arrowlake,ifwi.cannonlake,ifwi.coffeelake,ifwi.cometlake,ifwi.geminilake,ifwi.icelake,ifwi.kabylake,ifwi.kabylake_r,ifwi.meteorlake,ifwi.raptorlake,ifwi.raptorlake_refresh,ifwi.tigerlake,ifwi.whiskeylake</t>
  </si>
  <si>
    <t>Verify Gyrometer Sensor Enumeration Through ISH</t>
  </si>
  <si>
    <t>CSS-IVE-80745</t>
  </si>
  <si>
    <t>bios.alderlake,bios.amberlake,bios.arrowlake,bios.cannonlake,bios.cometlake,bios.icelake-client,bios.kabylake,bios.kabylake_r,bios.lunarlake,bios.meteorlake,bios.pantherlake,bios.pantherlake-p,bios.pantherlake-s,bios.raptorlake,bios.skylake,bios.tigerlake,ifwi.amberlake,ifwi.arrowlake,ifwi.cannonlake,ifwi.icelake,ifwi.kabylake,ifwi.kabylake_r,ifwi.lunarlake,ifwi.meteorlake,ifwi.raptorlake,ifwi.tigerlake</t>
  </si>
  <si>
    <t>Validate POST Code Progress for IA during Booting on 7 seg Display.</t>
  </si>
  <si>
    <t>CSS-IVE-63287</t>
  </si>
  <si>
    <t>bios.alderlake,bios.amberlake,bios.apollolake,bios.arrowlake,bios.broxton,bios.cannonlake,bios.coffeelake,bios.cometlake,bios.icelake-client,bios.jasperlake,bios.kabylake,bios.kabylake_r,bios.lakefield,bios.lunarlake,bios.meteorlake,bios.pantherlake,bios.pantherlake-p,bios.pantherlake-s,bios.raptorlake,bios.raptorlake_refresh,bios.rocketlake,bios.skylake,bios.tigerlake,bios.whiskeylake,ifwi.amberlake,ifwi.apollolake,ifwi.broxton,ifwi.cannonlake,ifwi.coffeelake,ifwi.cometlake,ifwi.icelake,ifwi.kabylake,ifwi.kabylake_r,ifwi.lakefield,ifwi.skylake,ifwi.tigerlake,ifwi.whiskeylake</t>
  </si>
  <si>
    <t>Verify WWAN enumeration pre and post S3 cycle</t>
  </si>
  <si>
    <t>CSS-IVE-89429</t>
  </si>
  <si>
    <t>bios.alderlake,bios.amberlake,bios.apollolake,bios.arrowlake,bios.cannonlake,bios.coffeelake,bios.cometlake,bios.geminilake,bios.icelake-client,bios.kabylake,bios.kabylake_r,bios.lunarlake,bios.meteorlake,bios.pantherlake,bios.pantherlake-p,bios.raptorlake,bios.raptorlake_refresh,bios.tigerlake,bios.whiskeylake,ifwi.amberlake,ifwi.apollolake,ifwi.arrowlake,ifwi.cannonlake,ifwi.coffeelake,ifwi.cometlake,ifwi.geminilake,ifwi.icelake,ifwi.kabylake,ifwi.kabylake_r,ifwi.raptorlake,ifwi.raptorlake_refresh,ifwi.tigerlake,ifwi.whiskeylake</t>
  </si>
  <si>
    <t>Verify WWAN enumeration pre and post Disconnected Modern Standby (DMS) cycle</t>
  </si>
  <si>
    <t>CSS-IVE-89491</t>
  </si>
  <si>
    <t>bios.alderlake,bios.apollolake,bios.arrowlake,bios.cannonlake,bios.coffeelake,bios.cometlake,bios.geminilake,bios.icelake-client,bios.kabylake,bios.kabylake_r,bios.lunarlake,bios.meteorlake,bios.pantherlake,bios.pantherlake-p,bios.raptorlake,bios.raptorlake_refresh,bios.tigerlake,bios.whiskeylake,ifwi.apollolake,ifwi.arrowlake,ifwi.cannonlake,ifwi.coffeelake,ifwi.cometlake,ifwi.geminilake,ifwi.icelake,ifwi.kabylake,ifwi.kabylake_r,ifwi.raptorlake,ifwi.raptorlake_refresh,ifwi.tigerlake,ifwi.whiskeylake</t>
  </si>
  <si>
    <t>Verify enumeration of TouchPad in device manager pre and post S3 cycle</t>
  </si>
  <si>
    <t>CSS-IVE-90903</t>
  </si>
  <si>
    <t>bios.alderlake,bios.apollolake,bios.arrowlake,bios.cannonlake,bios.coffeelake,bios.cometlake,bios.geminilake,bios.icelake-client,bios.jasperlake,bios.kabylake,bios.kabylake_r,bios.lunarlake,bios.meteorlake,bios.raptorlake,bios.tigerlake,bios.whiskeylake,ifwi.apollolake,ifwi.cannonlake,ifwi.coffeelake,ifwi.cometlake,ifwi.geminilake,ifwi.icelake,ifwi.kabylake,ifwi.kabylake_r,ifwi.tigerlake,ifwi.whiskeylake</t>
  </si>
  <si>
    <t>Verify enumeration of Touch Panel and TouchPad in device manager</t>
  </si>
  <si>
    <t>CSS-IVE-90906</t>
  </si>
  <si>
    <t>bios.alderlake,bios.amberlake,bios.apollolake,bios.arrowlake,bios.cannonlake,bios.coffeelake,bios.cometlake,bios.geminilake,bios.icelake-client,bios.kabylake,bios.kabylake_r,bios.lunarlake,bios.meteorlake,bios.raptorlake,bios.skylake,bios.tigerlake,bios.whiskeylake,ifwi.amberlake,ifwi.apollolake,ifwi.cannonlake,ifwi.coffeelake,ifwi.cometlake,ifwi.geminilake,ifwi.icelake,ifwi.kabylake,ifwi.kabylake_r,ifwi.tigerlake,ifwi.whiskeylake</t>
  </si>
  <si>
    <t>Verify Discrete Wi-Fi enumeration pre and post Disconnected Modern Standby (DMS) cycle</t>
  </si>
  <si>
    <t>CSS-IVE-90560</t>
  </si>
  <si>
    <t>bios.alderlake,bios.apollolake,bios.arrowlake,bios.broxton,bios.cannonlake,bios.coffeelake,bios.cometlake,bios.geminilake,bios.icelake-client,bios.jasperlake,bios.kabylake,bios.kabylake_r,bios.meteorlake,bios.raptorlake,bios.rocketlake,bios.tigerlake,ifwi.apollolake,ifwi.arrowlake,ifwi.broxton,ifwi.cannonlake,ifwi.coffeelake,ifwi.cometlake,ifwi.geminilake,ifwi.icelake,ifwi.kabylake,ifwi.kabylake_r,ifwi.meteorlake,ifwi.raptorlake,ifwi.tigerlake</t>
  </si>
  <si>
    <t>DPTF devices enumeration pre and post S0i3(Modern Standby) cycle</t>
  </si>
  <si>
    <t>CSS-IVE-90931</t>
  </si>
  <si>
    <t>bios.platform,fw.ifwi.tools</t>
  </si>
  <si>
    <t>bios.alderlake,bios.amberlake,bios.apollolake,bios.arrowlake,bios.cannonlake,bios.coffeelake,bios.cometlake,bios.icelake-client,bios.jasperlake,bios.kabylake,bios.kabylake_r,bios.lakefield,bios.lunarlake,bios.meteorlake,bios.pantherlake,bios.pantherlake-p,bios.raptorlake,bios.raptorlake_refresh,bios.rocketlake,bios.tigerlake,bios.whiskeylake,ifwi.amberlake,ifwi.arrowlake,ifwi.lunarlake,ifwi.meteorlake,ifwi.raptorlake,ifwi.raptorlake_refresh</t>
  </si>
  <si>
    <t>Verify CPU turbo boost functionality post CMS/S0i3 cycle</t>
  </si>
  <si>
    <t>CSS-IVE-90932</t>
  </si>
  <si>
    <t>bios.ald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pollolake,ifwi.arrowlake,ifwi.broxton,ifwi.cannonlake,ifwi.coffeelake,ifwi.cometlake,ifwi.geminilake,ifwi.icelake,ifwi.jasperlake,ifwi.kabylake,ifwi.kabylake_r,ifwi.lakefield,ifwi.lunarlake,ifwi.meteorlake,ifwi.raptorlake,ifwi.tigerlake,ifwi.whiskeylake</t>
  </si>
  <si>
    <t>Verify Discrete Bluetooth device functionality on OS pre and post Disconnected Modern Standby (DMS)</t>
  </si>
  <si>
    <t>CSS-IVE-90940</t>
  </si>
  <si>
    <t>bios.alderlake,bios.apollolake,bios.arrowlake,bios.broxton,bios.cannonlake,bios.coffeelake,bios.cometlake,bios.geminilake,bios.icelake-client,bios.jasperlake,bios.kabylake,bios.kabylake_r,bios.meteorlake,bios.pantherlake,bios.pantherlake-p,bios.raptorlake,bios.rocketlake,bios.tigerlake,ifwi.apollolake,ifwi.arrowlake,ifwi.broxton,ifwi.cannonlake,ifwi.coffeelake,ifwi.cometlake,ifwi.geminilake,ifwi.icelake,ifwi.kabylake,ifwi.kabylake_r,ifwi.meteorlake,ifwi.raptorlake,ifwi.tigerlake</t>
  </si>
  <si>
    <t>Verify Audio recording and Playback over 3.5mm-Jack-Headset (via HD-A) pre and post S0i3(Modern Standby) cycle</t>
  </si>
  <si>
    <t>CSS-IVE-90942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</si>
  <si>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raptorlake_refresh,ifwi.tigerlake,ifwi.whiskeylake</t>
  </si>
  <si>
    <t>Verify HD Display Audio enumeration pre and post CMS cycle</t>
  </si>
  <si>
    <t>CSS-IVE-90947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</si>
  <si>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arrowlake,ifwi.cannonlake,ifwi.coffeelake,ifwi.cometlake,ifwi.geminilake,ifwi.icelake,ifwi.kabylake,ifwi.kabylake_r,ifwi.lakefield,ifwi.raptorlake,ifwi.raptorlake_refresh,ifwi.tigerlake,ifwi.whiskeylake</t>
  </si>
  <si>
    <t>Validate USB devices hot plug check pre and post S0i3(Disconnected Modern Standby) cycle with devices connected on Type-C port</t>
  </si>
  <si>
    <t>CSS-IVE-90955</t>
  </si>
  <si>
    <t>bios.platform,bios.sa,fw.ifwi.MGPhy,fw.ifwi.dekelPhy,fw.ifwi.iom,fw.ifwi.nphy,fw.ifwi.pmc,fw.ifwi.sphy,fw.ifwi.tbt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</si>
  <si>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tigerlake,bios.whiskeylake,ifwi.amberlake,ifwi.apollolake,ifwi.arrowlake,ifwi.broxton,ifwi.cannonlake,ifwi.coffeelake,ifwi.cometlake,ifwi.geminilake,ifwi.icelake,ifwi.kabylake,ifwi.kabylake_r,ifwi.lakefield,ifwi.meteorlake,ifwi.raptorlake,ifwi.raptorlake_refresh,ifwi.tigerlake,ifwi.whiskeylake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</si>
  <si>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</si>
  <si>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</si>
  <si>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</si>
  <si>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</si>
  <si>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ISH Sensor Enumeration pre and post Disconnected Modern Standby (D-MoS) cycle - Gyro</t>
  </si>
  <si>
    <t>CSS-IVE-90966</t>
  </si>
  <si>
    <t>bios.alderlake,bios.amberlake,bios.apollolake,bios.broxton,bios.cannonlake,bios.cometlake,bios.geminilake,bios.icelake-client,bios.kabylake,bios.kabylake_r,bios.meteorlake,bios.raptorlake,bios.tigerlake,ifwi.amberlake,ifwi.apollolake,ifwi.broxton,ifwi.cannonlake,ifwi.cometlake,ifwi.geminilake,ifwi.icelake,ifwi.kabylake,ifwi.kabylake_r,ifwi.raptorlake,ifwi.tigerlake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</si>
  <si>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</si>
  <si>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</si>
  <si>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</si>
  <si>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</si>
  <si>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Volume Up &amp; Down buttons function test pre and post CMS/S0i3 cycle</t>
  </si>
  <si>
    <t>CSS-IVE-90977</t>
  </si>
  <si>
    <t>bios.alderlake,bios.apollolake,bios.arrowlake,bios.broxton,bios.cannonlake,bios.geminilake,bios.icelake-client,bios.kabylake,bios.lakefield,bios.lunarlake,bios.meteorlake,bios.pantherlake,bios.pantherlake-p,bios.raptorlake,bios.raptorlake_refresh,bios.rocketlake,bios.tigerlake,ifwi.apollolake,ifwi.arrowlake,ifwi.broxton,ifwi.cannonlake,ifwi.geminilake,ifwi.icelake,ifwi.kabylake,ifwi.lakefield,ifwi.lunarlake,ifwi.meteorlake,ifwi.raptorlake,ifwi.raptorlake_refresh,ifwi.tigerlake</t>
  </si>
  <si>
    <t>Verify ucode firmware loads pre and post S0i3 (Modern Standby) cycle</t>
  </si>
  <si>
    <t>CSS-IVE-90980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</si>
  <si>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aptorlake_refresh,bios.rocketlake,bios.skylake,bios.tigerlake,bios.whiskeylake,ifwi.alderlake,ifwi.amberlake,ifwi.apollolake,ifwi.arrowlake,ifwi.broxton,ifwi.cannonlake,ifwi.coffeelake,ifwi.cometlake,ifwi.geminilake,ifwi.icelake,ifwi.jasperlake,ifwi.kabylake,ifwi.kabylake_r,ifwi.lakefield,ifwi.lunarlake,ifwi.meteorlake,ifwi.raptorlake,ifwi.rocketlake,ifwi.skylake,ifwi.tigerlake,ifwi.tigerlake_refresh,ifwi.whiskeylake</t>
  </si>
  <si>
    <t>Verify Analog Microphone test connected to 3.5 mm Port pre and post CMS/S0i3 cycle</t>
  </si>
  <si>
    <t>CSS-IVE-90981</t>
  </si>
  <si>
    <t>ISH Sensor Enumeration pre and post Disconnected Modern Standby (D-MoS) cycle - Barometric Pressure</t>
  </si>
  <si>
    <t>CSS-IVE-90984</t>
  </si>
  <si>
    <t>bios.alderlake,bios.apollolake,bios.broxton,bios.cannonlake,bios.cometlake,bios.geminilake,bios.icelake-client,bios.kabylake,bios.kabylake_r,bios.meteorlake,bios.raptorlake,bios.tigerlake,bios.whiskeylake,ifwi.apollolake,ifwi.broxton,ifwi.cannonlake,ifwi.cometlake,ifwi.geminilake,ifwi.icelake,ifwi.kabylake,ifwi.kabylake_r,ifwi.raptorlake,ifwi.tigerlake,ifwi.whiskeylake</t>
  </si>
  <si>
    <t>Verify "Reset Button" will warm reboot the system</t>
  </si>
  <si>
    <t>CSS-IVE-94692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</si>
  <si>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pantherlake-s,bios.raptorlake,bios.rocketlake,bios.skylake,bios.tigerlake,bios.tigerlake_refresh,bios.whiskeylake,ifwi.arrowlake,ifwi.lunarlake,ifwi.meteorlake,ifwi.raptorlake</t>
  </si>
  <si>
    <t>Verify CNVi enumeration in BIOS and EFI Shell with respect to CNVi option enabled/disabled in BIOS</t>
  </si>
  <si>
    <t>CSS-IVE-95311</t>
  </si>
  <si>
    <t>bios.alderlake,bios.arrowlake,bios.cannonlake,bios.coffeelake,bios.cometlake,bios.icelake-client,bios.jasperlake,bios.lunarlake,bios.meteorlake,bios.raptorlake,bios.raptorlake_refresh,bios.rocketlake,bios.tigerlake,bios.whiskeylake,ifwi.arrowlake,ifwi.cannonlake,ifwi.coffeelake,ifwi.cometlake,ifwi.icelake,ifwi.raptorlake,ifwi.raptorlake_refresh,ifwi.tigerlake,ifwi.whiskeylake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</si>
  <si>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</si>
  <si>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</si>
  <si>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</si>
  <si>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CSS-IVE-95489</t>
  </si>
  <si>
    <t>bios.alderlake,bios.arrowlake,bios.cannonlake,bios.coffeelake,bios.cometlake,bios.geminilake,bios.icelake-client,bios.jasperlake,bios.lunarlake,bios.meteorlake,bios.pantherlake,bios.pantherlake-p,bios.raptorlake,bios.raptorlake_refresh,bios.rocketlake,bios.tigerlake,bios.whiskeylake,ifwi.arrowlake,ifwi.cannonlake,ifwi.coffeelake,ifwi.cometlake,ifwi.geminilake,ifwi.icelake,ifwi.raptorlake,ifwi.raptorlake_refresh,ifwi.tigerlake,ifwi.whiskeylake</t>
  </si>
  <si>
    <t>Verify CNVi Bluetooth Enumeration in OS before/after S3 cycle</t>
  </si>
  <si>
    <t>CSS-IVE-95494</t>
  </si>
  <si>
    <t>bios.alderlake,bios.arrowlake,bios.cannonlake,bios.coffeelake,bios.cometlake,bios.geminilake,bios.icelake-client,bios.jasperlake,bios.lunarlake,bios.meteorlake,bios.raptorlake,bios.raptorlake_refresh,bios.rocketlake,bios.tigerlake,bios.whiskeylake,ifwi.arrowlake,ifwi.cannonlake,ifwi.coffeelake,ifwi.cometlake,ifwi.geminilake,ifwi.icelake,ifwi.raptorlake,ifwi.raptorlake_refresh,ifwi.tigerlake,ifwi.whiskeylake</t>
  </si>
  <si>
    <t>Validate Type-C USB3.1 gen1 Host Mode functionality on hot insert and removal over Type-C port</t>
  </si>
  <si>
    <t>CSS-IVE-105845</t>
  </si>
  <si>
    <t>bios.alderlake,bios.arrowlake,bios.cannonlake,bios.coffeelake,bios.cometlake,bios.icelake-client,bios.jasperlake,bios.lakefield,bios.lunarlake,bios.meteorlake,bios.pantherlake,bios.pantherlake-h,bios.pantherlake-p,bios.pantherlake-u,bios.raptorlake,bios.raptorlake_refresh,bios.rocketlake,bios.tigerlake,bios.whiskeylake,ifwi.arrowlake,ifwi.cannonlake,ifwi.coffeelake,ifwi.cometlake,ifwi.icelake,ifwi.lakefield,ifwi.lunarlake,ifwi.meteorlake,ifwi.raptorlake,ifwi.raptorlake_refresh,ifwi.tigerlake,ifwi.whiskeylake</t>
  </si>
  <si>
    <t>Verify No device yellow bangs post S0i3 cycle with all device connected as per config planned ( Golden, delta, 5, 4, 3 STAR )</t>
  </si>
  <si>
    <t>CSS-IVE-135393</t>
  </si>
  <si>
    <t>bios.alderlake,bios.amberlake,bios.arrowlake,bios.kabylake,bios.lunarlake,bios.meteorlake,bios.raptorlake,bios.raptorlake_refresh,bios.skylake,bios.tigerlake,ifwi.tigerlake</t>
  </si>
  <si>
    <t>Verify IDTT (DPTF) devices enumeration in device manager pre and post S4,S5, warm and cold reboot cycles</t>
  </si>
  <si>
    <t>CSS-IVE-145252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</si>
  <si>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raptorlake,bios.raptorlake_refresh,bios.rocketlake,bios.tigerlake,bios.whiskeylake,ifwi.arrowlake,ifwi.jasperlake,ifwi.lunarlake,ifwi.meteorlake,ifwi.raptorlake,ifwi.raptorlake_refresh,ifwi.rocketlake</t>
  </si>
  <si>
    <t>Verify PCIe SD Card data transfer  pre and post S4 , S5 , warm and cold reboot cycles</t>
  </si>
  <si>
    <t>CSS-IVE-145039</t>
  </si>
  <si>
    <t>bios.alderlake,bios.amberlake,bios.arrowlake,bios.jasperlake,bios.lunarlake,bios.meteorlake,bios.raptorlake,bios.rocketlake,ifwi.arrowlake,ifwi.lunarlake,ifwi.meteorlake,ifwi.raptorlake</t>
  </si>
  <si>
    <t>Verify charging during pre and post S4, S5, warm and cold reboot cycles</t>
  </si>
  <si>
    <t>CSS-IVE-145291</t>
  </si>
  <si>
    <t>Verify Barometric Pressure Sensor Enumeration Through ISH pre and post S4 , S5 , warm and cold reboot cycles</t>
  </si>
  <si>
    <t>CSS-IVE-145202</t>
  </si>
  <si>
    <t>bios.me,fw.ifwi.ish</t>
  </si>
  <si>
    <t>bios.alderlake,bios.arrowlake,bios.meteorlake,bios.raptorlake,ifwi.arrowlake,ifwi.lunarlake,ifwi.meteorlake,ifwi.raptorlake</t>
  </si>
  <si>
    <t>Verify multiple global reset functionality cycles check in SUT</t>
  </si>
  <si>
    <t>CSS-IVE-145269</t>
  </si>
  <si>
    <t>bios.alderlake,bios.amberlake,bios.arrowlake,bios.coffeelake,bios.jasperlake,bios.kabylake,bios.lunarlake,bios.meteorlake,bios.pantherlake,bios.pantherlake-p,bios.pantherlake-s,bios.raptorlake,bios.raptorlake_refresh,bios.rocketlake,bios.skylake,bios.whiskeylake,ifwi.alderlake,ifwi.arrowlake,ifwi.jasperlake,ifwi.lunarlake,ifwi.meteorlake,ifwi.raptorlake,ifwi.rocketlake</t>
  </si>
  <si>
    <t>Verify ISH Sensor Enumeration - Altimeter pre and post S4 , S5 , warm and cold reboot cycles</t>
  </si>
  <si>
    <t>CSS-IVE-145195</t>
  </si>
  <si>
    <t>ISH Sensor Enumeration - Magnetometer  pre and post S4 , S5 , warm and cold reboot cycles</t>
  </si>
  <si>
    <t>CSS-IVE-145203</t>
  </si>
  <si>
    <t>bios.alderlake,bios.arrowlake,bios.meteorlake,bios.pantherlake,bios.pantherlake-p,bios.pantherlake-s,bios.raptorlake</t>
  </si>
  <si>
    <t>Verify ISH Sensor Enumeration - Accelerometer/3D Accelerometer pre and post S4 , S5 , warm and cold reboot cycles</t>
  </si>
  <si>
    <t>CSS-IVE-145204</t>
  </si>
  <si>
    <t>bios.alderlake,bios.arrowlake,bios.lunarlake,bios.meteorlake,bios.pantherlake,bios.pantherlake-p,bios.pantherlake-s,bios.raptorlake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</si>
  <si>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</si>
  <si>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</si>
  <si>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</si>
  <si>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</si>
  <si>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bios.alderlake,bios.arrowlake,bios.meteorlake,bios.raptorlake,bios.raptorlake_refresh,bios.rocketlake</t>
  </si>
  <si>
    <t>Verify enumeration of TouchPad in device manager pre and post S4 , S5 , warm and cold reboot cycles</t>
  </si>
  <si>
    <t>CSS-IVE-145211</t>
  </si>
  <si>
    <t>bios.alderlake,bios.arrowlake,bios.jasperlake,bios.lunarlake,bios.meteorlake,bios.raptorlake</t>
  </si>
  <si>
    <t>Verify AMT WEBUI is accessible during sx cycles over Wired LAN with ME idle timeout set .</t>
  </si>
  <si>
    <t>CSS-IVE-134021</t>
  </si>
  <si>
    <t>bios.arrowlake,bios.lunarlake,bios.raptorlake,ifwi.alderlake,ifwi.arrowlake,ifwi.lunarlake,ifwi.meteorlake,ifwi.raptorlake,ifwi.rocketlake</t>
  </si>
  <si>
    <t>Verify ISH sensor module enumeration in OS</t>
  </si>
  <si>
    <t>CSS-IVE-130362</t>
  </si>
  <si>
    <t>bios.amberlake,bios.arrowlake,bios.kabylake,bios.meteorlake,bios.pantherlake,bios.pantherlake-p,bios.pantherlake-s,bios.raptorlake,bios.raptorlake_refresh,bios.skylake,ifwi.alderlake,ifwi.arrowlake,ifwi.lunarlake,ifwi.meteorlake,ifwi.raptorlake,ifwi.rocketlake</t>
  </si>
  <si>
    <t>Verify enumeration of TouchPad in device manager pre and post Connected Standby (CMS) cycle</t>
  </si>
  <si>
    <t>CSS-IVE-131413</t>
  </si>
  <si>
    <t>bios.alderlake,bios.arrowlake,bios.meteorlake,bios.raptorlake,bios.tigerlake,ifwi.alderlake,ifwi.jasperlake,ifwi.meteorlake</t>
  </si>
  <si>
    <t>CSS-IVE-131415</t>
  </si>
  <si>
    <t>bios.alderlake,bios.arrowlake,bios.meteorlake,bios.raptorlake,bios.raptorlake_refresh,ifwi.alderlake,ifwi.jasperlake,ifwi.rocketlake</t>
  </si>
  <si>
    <t>CSS-IVE-131479</t>
  </si>
  <si>
    <t>bios.alderlake,bios.arrowlake,bios.lunarlake,bios.meteorlake,bios.pantherlake,bios.pantherlake-p,bios.raptorlake,bios.tigerlake,ifwi.alderlake,ifwi.arrowlake,ifwi.lunarlake,ifwi.meteorlake,ifwi.pantherlake-p,ifwi.raptorlake</t>
  </si>
  <si>
    <t>Verify local user cannot enter MEBx settings to change Intel  Standard Manageability Configuration with Wired LAN, when Storage redirection is active</t>
  </si>
  <si>
    <t>CSS-IVE-131885</t>
  </si>
  <si>
    <t>bios.arrowlake,bios.lunarlake,bios.meteorlake,bios.pantherlake,bios.pantherlake-p,bios.raptorlake,bios.tigerlake,ifwi.alderlake,ifwi.arrowlake,ifwi.lunarlake,ifwi.meteorlake,ifwi.raptorlake,ifwi.rocketlake</t>
  </si>
  <si>
    <t>S0/M0 transition during CS state</t>
  </si>
  <si>
    <t>CSS-IVE-131893</t>
  </si>
  <si>
    <t>bios.cpu_pm,bios.me,fw.ifwi.ish</t>
  </si>
  <si>
    <t>bios.arrowlake,bios.lunarlake,bios.meteorlake,bios.pantherlake,bios.pantherlake-p,bios.raptorlake,bios.tigerlake,ifwi.alderlake,ifwi.arrowlake,ifwi.jasperlake,ifwi.lunarlake,ifwi.meteorlake,ifwi.raptorlake,ifwi.rocketlake</t>
  </si>
  <si>
    <t>CSS-IVE-131920</t>
  </si>
  <si>
    <t>bios.alderlake,bios.amberlake,bios.arrowlake,bios.cannonlake,bios.coffeelake,bios.cometlake,bios.kabylake,bios.kabylake_g,bios.kabylake_r,bios.kabylake_x,bios.lunarlake,bios.meteorlake,bios.pantherlake,bios.pantherlake-p,bios.pantherlake-s,bios.raptorlake,bios.rocketlake,bios.skylake,bios.tigerlake,bios.whiskeylake,ifwi.alderlake,ifwi.arrowlake,ifwi.lunarlake,ifwi.meteorlake,ifwi.raptorlake,ifwi.rocketlake</t>
  </si>
  <si>
    <t>Verify Storage-Redirection Session over Wired LAN</t>
  </si>
  <si>
    <t>CSS-IVE-131921</t>
  </si>
  <si>
    <t>bios.amberlake,bios.arrowlake,bios.coffeelake,bios.kabylake,bios.lunarlake,bios.meteorlake,bios.pantherlake,bios.pantherlake-p,bios.pantherlake-s,bios.raptorlake,bios.rocketlake,bios.skylake,bios.tigerlake,bios.whiskeylake,ifwi.alderlake,ifwi.arrowlake,ifwi.lunarlake,ifwi.meteorlake,ifwi.raptorlake,ifwi.rocketlake</t>
  </si>
  <si>
    <t>Verify user is prompted for a new password and can"t use a non-strong password</t>
  </si>
  <si>
    <t>CSS-IVE-131922</t>
  </si>
  <si>
    <t>bios.alderlake,bios.arrowlake,bios.lunarlake,bios.meteorlake,bios.pantherlake,bios.pantherlake-p,bios.raptorlake,bios.rocketlake,bios.tigerlake,ifwi.alderlake,ifwi.arrowlake,ifwi.lunarlake,ifwi.meteorlake,ifwi.raptorlake,ifwi.rocketlake</t>
  </si>
  <si>
    <t>Verify if user is able to change ME Password</t>
  </si>
  <si>
    <t>CSS-IVE-131925</t>
  </si>
  <si>
    <t>bios.amberlake,bios.arrowlake,bios.kabylake,bios.lunarlake,bios.meteorlake,bios.pantherlake,bios.pantherlake-p,bios.pantherlake-s,bios.raptorlake,bios.rocketlake,bios.skylake,bios.tigerlake,ifwi.alderlake,ifwi.arrowlake,ifwi.lunarlake,ifwi.meteorlake,ifwi.raptorlake,ifwi.rocketlake</t>
  </si>
  <si>
    <t>Verify Local FW Updates option is available in MEBx /BIOS Setup</t>
  </si>
  <si>
    <t>CSS-IVE-131927</t>
  </si>
  <si>
    <t>Verify if user can edit Network Name in MEBx Settings</t>
  </si>
  <si>
    <t>CSS-IVE-131930</t>
  </si>
  <si>
    <t>bios.alderlake,bios.arrowlake,bios.lunarlake,bios.meteorlake,bios.pantherlake,bios.pantherlake-p,bios.raptorlake,bios.tigerlake,ifwi.alderlake,ifwi.meteorlake,ifwi.raptorlake,ifwi.rocketlake</t>
  </si>
  <si>
    <t>CSS-IVE-131934</t>
  </si>
  <si>
    <t>bios.amberlake,bios.arrowlake,bios.kabylake,bios.pantherlake,bios.pantherlake-p,bios.pantherlake-s,bios.raptorlake,bios.rocketlake,bios.skylake,bios.tigerlake,ifwi.alderlake,ifwi.arrowlake,ifwi.lunarlake,ifwi.meteorlake,ifwi.raptorlake,ifwi.rocketlake</t>
  </si>
  <si>
    <t>Verify AMT connectivity with static IP using WebUI</t>
  </si>
  <si>
    <t>CSS-IVE-131935</t>
  </si>
  <si>
    <t>bios.amberlake,bios.arrowlake,bios.coffeelake,bios.kabylake,bios.lunarlake,bios.meteorlake,bios.pantherlake,bios.pantherlake-p,bios.pantherlake-s,bios.raptorlake,bios.rocketlake,bios.skylake,bios.tigerlake,bios.whiskeylake,ifwi.alderlake,ifwi.rocketlake</t>
  </si>
  <si>
    <t>CSS-IVE-131938</t>
  </si>
  <si>
    <t>Verify Storage Redirection can be successfully enabled and disabled</t>
  </si>
  <si>
    <t>CSS-IVE-131939</t>
  </si>
  <si>
    <t>bios.alderlake,bios.arrowlake,bios.lunarlake,bios.meteorlake,bios.pantherlake,bios.pantherlake-p,bios.raptorlake,bios.tigerlake,ifwi.alderlake,ifwi.arrowlake,ifwi.lunarlake,ifwi.meteorlake,ifwi.raptorlake,ifwi.rocketlake</t>
  </si>
  <si>
    <t>Verify AMT WEBUI is accessible after sx cycles</t>
  </si>
  <si>
    <t>CSS-IVE-131944</t>
  </si>
  <si>
    <t>bios.arrowlake,bios.lunarlake,bios.meteorlake,bios.pantherlake,bios.pantherlake-p,bios.raptorlake,bios.rocketlake,bios.tigerlake,ifwi.alderlake,ifwi.lunarlake,ifwi.meteorlake,ifwi.raptorlake,ifwi.rocketlake</t>
  </si>
  <si>
    <t>Verify if SUT reboots after user enters incorrect MEBx password for 3 consecutive tries</t>
  </si>
  <si>
    <t>CSS-IVE-131946</t>
  </si>
  <si>
    <t>Verify SUT could be connected remotely to a server using WebUI</t>
  </si>
  <si>
    <t>CSS-IVE-131949</t>
  </si>
  <si>
    <t>S0/M0 transition during Hbernate(S4) state</t>
  </si>
  <si>
    <t>CSS-IVE-131959</t>
  </si>
  <si>
    <t>bios.arrowlake,bios.lunarlake,bios.meteorlake,bios.pantherlake,bios.pantherlake-p,bios.raptorlake,bios.tigerlake,ifwi.alderlake,ifwi.arrowlake,ifwi.jasperlake,ifwi.lunarlake,ifwi.meteorlake,ifwi.pantherlake-p,ifwi.raptorlake,ifwi.rocketlake</t>
  </si>
  <si>
    <t>S0/M0 transition during sleep(S3) state</t>
  </si>
  <si>
    <t>CSS-IVE-131961</t>
  </si>
  <si>
    <t>Verify ME(M0) status pre and post cold and warm reset cycle</t>
  </si>
  <si>
    <t>CSS-IVE-131962</t>
  </si>
  <si>
    <t>S0/M0 transition during Hybrid sleep state</t>
  </si>
  <si>
    <t>CSS-IVE-131964</t>
  </si>
  <si>
    <t>Verify the AMT connectivity with WIFI using WEBUI</t>
  </si>
  <si>
    <t>CSS-IVE-131967</t>
  </si>
  <si>
    <t>bios.alderlake,bios.arrowlake,bios.lunarlake,bios.meteorlake,bios.pantherlake,bios.pantherlake-p,bios.raptorlake,bios.rocketlake,ifwi.alderlake,ifwi.arrowlake,ifwi.lunarlake,ifwi.meteorlake,ifwi.raptorlake,ifwi.rocketlake</t>
  </si>
  <si>
    <t>ISH Sensor Enumeration - Ambientlight (ALS)</t>
  </si>
  <si>
    <t>CSS-IVE-132296</t>
  </si>
  <si>
    <t>bios.alderlake,bios.amberlake,bios.arrowlake,bios.kabylake,bios.lakefield,bios.meteorlake,bios.raptorlake,bios.raptorlake_refresh,bios.skylake,ifwi.alderlake,ifwi.arrowlake,ifwi.jasperlake,ifwi.lunarlake,ifwi.meteorlake,ifwi.pantherlake-p,ifwi.raptorlake,ifwi.raptorlake_refresh,ifwi.rocketlake</t>
  </si>
  <si>
    <t>Verify Touch function test using TouchPad</t>
  </si>
  <si>
    <t>CSS-IVE-132365</t>
  </si>
  <si>
    <t>bios.amberlake,bios.arrowlake,bios.kabylake,bios.lunarlake,bios.meteorlake,bios.raptorlake,bios.skylake,ifwi.alderlake,ifwi.jasperlake,ifwi.meteorlake,ifwi.raptorlake</t>
  </si>
  <si>
    <t>Verify WWAN functionality</t>
  </si>
  <si>
    <t>CSS-IVE-132452</t>
  </si>
  <si>
    <t>bios.amberlake,bios.arrowlake,bios.kabylake,bios.lunarlake,bios.meteorlake,bios.pantherlake,bios.pantherlake-p,bios.raptorlake,bios.raptorlake_refresh,bios.skylake,bios.whiskeylake,ifwi.alderlake,ifwi.arrowlake,ifwi.meteorlake,ifwi.raptorlake,ifwi.raptorlake_refresh</t>
  </si>
  <si>
    <t>Verify CSE/TXE/SEC/CSME enumeration pre and post Sx cycle</t>
  </si>
  <si>
    <t>CSS-IVE-132592</t>
  </si>
  <si>
    <t>bios.arrowlake,bios.meteorlake,bios.raptorlake,ifwi.alderlake,ifwi.arrowlake,ifwi.jasperlake,ifwi.lunarlake,ifwi.meteorlake,ifwi.pantherlake-p,ifwi.raptorlake,ifwi.rocketlake</t>
  </si>
  <si>
    <t>Verify "Wake on Voice" functionality when System in SLP_S0 state using DMIC</t>
  </si>
  <si>
    <t>CSS-IVE-132651</t>
  </si>
  <si>
    <t>bios.arrowlake,bios.lunarlake,bios.raptorlake,bios.raptorlake_refresh,ifwi.alderlake,ifwi.jasperlake,ifwi.meteorlake,ifwi.raptorlake,ifwi.raptorlake_refresh,ifwi.rocketlake</t>
  </si>
  <si>
    <t>Verify ISH ALS sensor enumeration and functionality pre and post Disconnected Modern Standby (DMS) cycle</t>
  </si>
  <si>
    <t>CSS-IVE-132515</t>
  </si>
  <si>
    <t>bios.arrowlake,bios.meteorlake,bios.raptorlake,ifwi.alderlake,ifwi.jasperlake,ifwi.raptorlake,ifwi.rocketlake</t>
  </si>
  <si>
    <t>Verify BIOS shall not send DID message with DIMMS_MISSING status when DIMMs connected</t>
  </si>
  <si>
    <t>bios.mem_decode</t>
  </si>
  <si>
    <t>bios.raptorlake</t>
  </si>
  <si>
    <t>Verify if CSME will not pass the MAC address when LAN-less platform is detected</t>
  </si>
  <si>
    <t>bios.arrowlake,bios.pantherlake-s,bios.raptorlake</t>
  </si>
  <si>
    <t>[OCR] Verify System Recovery When OCR_WinRE boot Flow is interrupted from AMT Remote session over wired LAN</t>
  </si>
  <si>
    <t>CSS-IVE-144509</t>
  </si>
  <si>
    <t>Verify that BIOS displays MEBx options with Intel AMT enabled IFWI</t>
  </si>
  <si>
    <t>CSS-IVE-145659</t>
  </si>
  <si>
    <t>Verify USB3 Device functionality with TCSS D3 Cold support enabled</t>
  </si>
  <si>
    <t>bios.arrowlake,bios.pantherlake,bios.pantherlake-p,bios.raptorlake,bios.raptorlake_refresh,bios.tigerlake</t>
  </si>
  <si>
    <t>Verify Wi-Fi connectivity across warm and cold reboot cycles in pre-OS environment</t>
  </si>
  <si>
    <t>CSS-IVE-102476</t>
  </si>
  <si>
    <t>bios.alderlake,bios.raptorlake,bios.raptorlake_refresh,ifwi.raptorlake,ifwi.raptorlake_refresh</t>
  </si>
  <si>
    <t>Verify System boot to OS without any hang post cold reset(G3)/warm reset , when Active  cores set to '1' in BIOS</t>
  </si>
  <si>
    <t>Verify ISH(Integrated sensor hub) enumeration for BOM1 configuration pre and post CMS</t>
  </si>
  <si>
    <t>Verify ISH(Integrated sensor hub) enumeration for BOM1 configuration pre and post S3 cycle</t>
  </si>
  <si>
    <t>bios.alderlake,bios.arrowlake,bios.lunarlake,bios.meteorlake,bios.raptorlake,ifwi.lunarlake</t>
  </si>
  <si>
    <t>Verify ISH(Integrated sensor hub) enumeration for BOM1 configuration pre and post S4, S5, Warm Reset, Cold Reset, G3 State</t>
  </si>
  <si>
    <t>Verify ISH(Integrated sensor hub) enumeration for BOM1 configuration pre and post pseudo G3</t>
  </si>
  <si>
    <t>bios.alderlake,bios.arrowlake,bios.lunarlake,bios.meteorlake,bios.raptorlake,bios.tigerlake,ifwi.lunarlake</t>
  </si>
  <si>
    <t>Verify S0I3.2 entry in D0/D3 flow with SATA Device Connected</t>
  </si>
  <si>
    <t>Verify ISH(Integrated sensor hub) enumeration for BOM1 configuration in DC mode</t>
  </si>
  <si>
    <t>Verify ISH(Integrated sensor hub) enumeration for BOM2 configuration  in DC mode</t>
  </si>
  <si>
    <t>CSS-IVE-146997</t>
  </si>
  <si>
    <t>Verify BIOS exposes the Setup option "Acoustic Context Awareness (ACA)" and HD Audio functionality works fine in OS</t>
  </si>
  <si>
    <t>CSS-IVE-132185</t>
  </si>
  <si>
    <t>bios.alderlake,bios.arrowlake,bios.lunarlake,bios.meteorlake,bios.pantherlake,bios.pantherlake-p,bios.raptorlake,bios.raptorlake_refresh,ifwi.arrowlake,ifwi.meteorlake,ifwi.raptorlake,ifwi.raptorlake_refresh</t>
  </si>
  <si>
    <t>Verify if BIOS provides option to enable or disable Remote Platform Erase RPE</t>
  </si>
  <si>
    <t>CSS-IVE-146007</t>
  </si>
  <si>
    <t>Verify ISH(Integrated sensor hub) enumeration for BOM2 configuration pre and post CMS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</si>
  <si>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</si>
  <si>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</si>
  <si>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BOM1 configuration pre and post deep S4 and deep S5 state</t>
  </si>
  <si>
    <t>bios.alderlake,bios.lunarlake,bios.meteorlake,bios.raptorlake,bios.tigerlake,ifwi.alderlake,ifwi.lunarlake</t>
  </si>
  <si>
    <t>Verify ISH(Integrated sensor hub) enumeration for BOM2 configuration pre and post deep S4 and deep S5 state</t>
  </si>
  <si>
    <t>bios.alderlake,bios.lunarlake,bios.meteorlake,bios.raptorlake,bios.tigerlake,ifwi.lunarlake</t>
  </si>
  <si>
    <t>Verify Display Functionality over USB4 Dock Device when SUT is in BIOS, EFI and OS level as Primary Display</t>
  </si>
  <si>
    <t>bios.alderlake,bios.arrowlake,bios.lunarlake,bios.meteorlake,bios.pantherlake,bios.pantherlake-p,bios.raptorlake,bios.raptorlake_refresh,bios.rocketlake,ifwi.arrowlake,ifwi.meteorlake,ifwi.raptorlake_refresh</t>
  </si>
  <si>
    <t>Verify USB keyboard functionality connected to USB4 Port/Devices on Cold-plug in PreOS &amp; Post OS</t>
  </si>
  <si>
    <t>Verify if MEBX option is displayed in the BIOS page with ME Corporate SKU</t>
  </si>
  <si>
    <t>CSS-IVE-131892</t>
  </si>
  <si>
    <t>bios.alderlake,bios.arrowlake,bios.lunarlake,bios.meteorlake,bios.pantherlake,bios.pantherlake-p,bios.raptorlake,bios.tigerlake,ifwi.alderlake,ifwi.arrowlake,ifwi.lunarlake,ifwi.meteorlake,ifwi.raptorlake</t>
  </si>
  <si>
    <t>Verify SMBIOS type 133 provides WWAN product information</t>
  </si>
  <si>
    <t>bios.arrowlake,bios.lunarlake,bios.meteorlake,bios.pantherlake,bios.pantherlake-p,bios.raptorlake,bios.raptorlake_refresh</t>
  </si>
  <si>
    <t>Verify the RTD3 support for USB device connected to PEG port</t>
  </si>
  <si>
    <t>bios.alderlake,bios.arrowlake,bios.coffeelake,bios.meteorlake,bios.raptorlake</t>
  </si>
  <si>
    <t>Verify D0 support with USB device connected to PEG port when RTD3 Cold disabled.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</si>
  <si>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</si>
  <si>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</si>
  <si>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</si>
  <si>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</si>
  <si>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</si>
  <si>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</si>
  <si>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</si>
  <si>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</si>
  <si>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Memory Overclocking when RH prevention enabled  , Row hammer solution set to  2x refresh &amp; Refresh_Panic_WM set to High/Low</t>
  </si>
  <si>
    <t>bios.alderlake,bios.amberlake,bios.amberlake_7w,bios.arrowlake,bios.cannonlake,bios.coffeelake,bios.cometlake,bios.icelake-client,bios.kabylake,bios.kabylake_r,bios.lunarlake,bios.meteorlake,bios.raptorlake,bios.rocketlake,bios.skylake,bios.tigerlake,bios.whiskeylake</t>
  </si>
  <si>
    <t>Verify Memory Overclocking when RH prevention enabled  , Row hammer solution set to  Hardware RHP &amp; Refresh_Panic_WM set to High/Low</t>
  </si>
  <si>
    <t>Verify UCSI command - Obtain Platform USB-C capabilities</t>
  </si>
  <si>
    <t>bios.alderlake,bios.meteorlake,bios.raptorlake,bios.raptorlake_refresh</t>
  </si>
  <si>
    <t>Verify UCSI command - Get connector status details</t>
  </si>
  <si>
    <t>Verify UCSI command - Get connector capability</t>
  </si>
  <si>
    <t>Verify AMT KVM session over TBT4/USB4-VPro Dock pre and Post G3 and PSG3 cycle</t>
  </si>
  <si>
    <t>Verify AMT WEBUI session over TBT4/USB4 vPro dock pre and post G3 and PSG3 cycle</t>
  </si>
  <si>
    <t>Verify if system is in manufacturing mode</t>
  </si>
  <si>
    <t>ravipras</t>
  </si>
  <si>
    <t>bios.me,bios.pch</t>
  </si>
  <si>
    <t>bios.arrowlake,bios.lunarlake,bios.meteorlake,bios.pantherlake-p,bios.pantherlake-u,bios.raptorlake</t>
  </si>
  <si>
    <t>Verify System boot to OS without any hang post cold reset(G3)/warm reset , when Active processor cores set to '2' in BIOS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</si>
  <si>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</si>
  <si>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</si>
  <si>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</si>
  <si>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</si>
  <si>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</si>
  <si>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</si>
  <si>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</si>
  <si>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</si>
  <si>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</si>
  <si>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</si>
  <si>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</si>
  <si>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</si>
  <si>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</si>
  <si>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USB4 Storage connection swap during S3 cycle</t>
  </si>
  <si>
    <t>bios.alderlake,bios.arrowlake,bios.lunarlake,bios.meteorlake,bios.raptorlake,bios.raptorlake_refresh,bios.rocketlake,bios.tigerlake,ifwi.raptorlake_refresh,ifwi.tigerlake,ifwi.tigerlake_refresh</t>
  </si>
  <si>
    <t>Validate USB4 Dock Device functionality hot plug during S3 cycles</t>
  </si>
  <si>
    <t>Verify 8K Display Panel enumeration in Device Manager with CMS cycles</t>
  </si>
  <si>
    <t>CSS-IVE-116766</t>
  </si>
  <si>
    <t>Validate USB4 Dock Device functionality after S3 Cycle</t>
  </si>
  <si>
    <t>bios.alderlake,bios.arrowlake,bios.lunarlake,bios.meteorlake,bios.raptorlake,bios.raptorlake_refresh,bios.rocketlake,bios.tigerlake,ifwi.raptorlake_refresh,ifwi.tigerlake</t>
  </si>
  <si>
    <t>Validate USB4 Hub Device functionality hot plug during S3 cycles</t>
  </si>
  <si>
    <t>Validate USB4 Hub Device functionality after S3 cycles</t>
  </si>
  <si>
    <t>Verify USB4 storage functionality after S3 cycles</t>
  </si>
  <si>
    <t>bios.alderlake,bios.arrowlake,bios.meteorlake,bios.pantherlake,bios.pantherlake-p,bios.raptorlake,bios.raptorlake_refresh,bios.rocketlake,bios.tigerlake,ifwi.raptorlake_refresh,ifwi.tigerlake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</si>
  <si>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</si>
  <si>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</si>
  <si>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</si>
  <si>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</si>
  <si>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bios.alderlake,bios.amberlake,bios.amberlake_7w,bios.arrowlake,bios.cannonlake,bios.coffeelake,bios.cometlake,bios.icelake-client,bios.jasperlake,bios.kabylake,bios.kabylake_g,bios.kabylake_r,bios.lakefield,bios.lunarlake,bios.meteorlake,bios.raptorlake,bios.rocketlake,bios.skylake,bios.tigerlake,bios.whiskeylake</t>
  </si>
  <si>
    <t>Verify TBT Storage device enumeration with VMD settings enabled</t>
  </si>
  <si>
    <t>CSS-IVE-66098</t>
  </si>
  <si>
    <t>Verify Board ID with MRC training in Debug log</t>
  </si>
  <si>
    <t>bios.arrowlake,bios.meteorlake,bios.raptorlake,bios.raptorlake_refresh</t>
  </si>
  <si>
    <t>Verify TBT device functionality before/after CMS cycling with PS_ON Enabled (dTBT)</t>
  </si>
  <si>
    <t>bios.alderlake,bios.arrowlake,bios.raptorlake,bios.raptorlake_refresh,ifwi.alderlake,ifwi.raptorlake_refresh</t>
  </si>
  <si>
    <t>Verify if Sensor hub type is I2C sensor hub by default</t>
  </si>
  <si>
    <t>Verify USB &amp; USBC device functionality before/after CMS cycling with PS_ON Enabled (dTBT)</t>
  </si>
  <si>
    <t>Verify TBT/USB4 devices enumeration and and Functionality with SW CM mode enabled</t>
  </si>
  <si>
    <t>bios.arrowlake,bios.meteorlake,bios.pantherlake,bios.pantherlake-p,bios.raptorlake,bios.raptorlake_refresh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</si>
  <si>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</si>
  <si>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</si>
  <si>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</si>
  <si>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PCIE Resizable BAR support with DashG graphics card on X16 PEG slot</t>
  </si>
  <si>
    <t>CSS-IVE-145212</t>
  </si>
  <si>
    <t>bios.alderlake,bios.arrowlake,bios.meteorlake,bios.pantherlake,bios.pantherlake-p,bios.raptorlake,bios.raptorlake_refresh,ifwi.alderlake,ifwi.arrowlake,ifwi.meteorlake,ifwi.raptorlake,ifwi.raptorlake_refresh</t>
  </si>
  <si>
    <t>Verify discrete graphics (DGfx) functionality with/without PCIE Resizable BAR support with DashG graphics card on X16 PEG slot</t>
  </si>
  <si>
    <t>bios.alderlake,bios.arrowlake,bios.meteorlake,bios.pantherlake,bios.pantherlake-p,bios.raptorlake,ifwi.alderlake,ifwi.arrowlake,ifwi.meteorlake,ifwi.raptorlake</t>
  </si>
  <si>
    <t>Verify inability of activating network access from USB provisioning flow</t>
  </si>
  <si>
    <t>bios.alderlake,bios.amberlake,bios.arrowlake,bios.basinfalls,bios.coffeelake,bios.cometlake,bios.fishhawkfalls_refresh_expert_ws,bios.kabylake,bios.lunarlake,bios.meteorlake,bios.pantherlake,bios.pantherlake-p,bios.raptorlake,bios.rocketlake,bios.skylake,bios.tigerlake,ifwi.alderlake,ifwi.arrowlake,ifwi.basinfalls,ifwi.coffeelake,ifwi.cometlake,ifwi.kabylake,ifwi.lunarlake,ifwi.meteorlake,ifwi.raptorlake,ifwi.rocketlake,ifwi.skylake,ifwi.tigerlake</t>
  </si>
  <si>
    <t>Verify Type-C to Type-C and DP device functionality before/after CMS cycling with PS_ON Enabled (dTBT)</t>
  </si>
  <si>
    <t>Verify no errors are detected while HG is enabled with Debug BIOS</t>
  </si>
  <si>
    <t>Verify RTC Date and Time at BIOS and OS level in DC mod</t>
  </si>
  <si>
    <t>CSS-IVE-77378</t>
  </si>
  <si>
    <t>Verify system Boot successfully without any delay with  20 MB BIOS</t>
  </si>
  <si>
    <t>CSS-IVE-136407</t>
  </si>
  <si>
    <t>[Negative]Verify "Reduced Platform Debug Consent" BIOS option/policy</t>
  </si>
  <si>
    <t>bios.pantherlake,bios.pantherlake-p,bios.raptorlake,bios.raptorlake_refresh</t>
  </si>
  <si>
    <t>[Negative]Verify if offline Crash Dump created during system on crash when crash dump Bios option disabled</t>
  </si>
  <si>
    <t>Verify VMD controller does not go to RTD3 cold with ACPI RTD3 cold support for Storage is Disabled in BIOS</t>
  </si>
  <si>
    <t>bios.pantherlake,bios.pantherlake-p,bios.raptorlake</t>
  </si>
  <si>
    <t>Verify PCIe SD card does not go to RTD3 cold when ACPI RTD3 Cold is disabled in bios</t>
  </si>
  <si>
    <t>[Negative]Verify Trace Hub Initialization when PCH and SOC trace hub disabled</t>
  </si>
  <si>
    <t>CSS-IVE-62162</t>
  </si>
  <si>
    <t>bios.lunarlake,bios.meteorlake,bios.pantherlake,bios.pantherlake-p,bios.raptorlake,bios.raptorlake_refresh</t>
  </si>
  <si>
    <t>Verify VMD should not be Disabled by Default in Bios</t>
  </si>
  <si>
    <t>Verify MRC training is not repeated with Fast boot Disabled</t>
  </si>
  <si>
    <t>bios.lunarlake,bios.pantherlake,bios.pantherlake-p,bios.raptorlake,bios.raptorlake_refresh</t>
  </si>
  <si>
    <t>Verify "PCH and CPU Trace Hub Enable Mode" BIOS policy/option for NPK Support  when option is disabled</t>
  </si>
  <si>
    <t>Verify Default values in  SATA and PCH configuration Menu</t>
  </si>
  <si>
    <t>Verify RTD3 per SATA port should not enter with SATA ports disabled.</t>
  </si>
  <si>
    <t>Verify MRC training with ECC Option Disabled in BIOS</t>
  </si>
  <si>
    <t>bios.raptorlake,bios.raptorlake_refresh</t>
  </si>
  <si>
    <t>[Negative]Verify NPK memory configuration is done only after IMR allocations (DID ack) when Platform debug consent  disabled</t>
  </si>
  <si>
    <t>Verify PPIN Feature BIOS option in Release BIOS</t>
  </si>
  <si>
    <t>bios.lunarlake,bios.meteorlake,bios.pantherlake,bios.pantherlake-p,bios.raptorlake,bios.raptorlake_refresh,ifwi.lakefield</t>
  </si>
  <si>
    <t>Verify if RPE feature is not available on Consumer SKU</t>
  </si>
  <si>
    <t>Verify if BIOS shall not provide ASF configuration option on Consumer SKU</t>
  </si>
  <si>
    <t>bios.arrowlake,bios.lunarlake,bios.meteorlake,bios.pantherlake,bios.pantherlake-p,bios.raptorlake</t>
  </si>
  <si>
    <t>Verify if MEBX screen does not display MEBx version on Integrated MEBx</t>
  </si>
  <si>
    <t>Verify USB OFFLOAD (UAOL) is Disabled by default and Audio should work even USB OFFLOAD is disabled.</t>
  </si>
  <si>
    <t>Verify if MEBx page is not displayed when AMT configuration is disabled in BIOS page</t>
  </si>
  <si>
    <t>bios.arrowlake,bios.lunarlake,bios.raptorlake</t>
  </si>
  <si>
    <t>Verify if IP configuration is not exposed with DHCP enabled under Network settings</t>
  </si>
  <si>
    <t>bios.lunarlake,bios.raptorlake</t>
  </si>
  <si>
    <t>Verify if system can not be connected to the host when network is not activated</t>
  </si>
  <si>
    <t>Verify if FW Update option is not enumerated on Consumer SKU with ME disabled</t>
  </si>
  <si>
    <t>bios.arrowlake,bios.lunarlake,bios.meteorlake,bios.raptorlake</t>
  </si>
  <si>
    <t>Verify if domain name and host name are replaced with FQDN on Integrated MEBx</t>
  </si>
  <si>
    <t>Verify the Enumeration of PCIe device with PCIe option disabled in the Bios.</t>
  </si>
  <si>
    <t>bios.meteorlake,bios.raptorlake</t>
  </si>
  <si>
    <t>Verify if HTTPS One Click Recovery occurs with OCR disabled in the BIOS page over Wi-Fi</t>
  </si>
  <si>
    <t>Verify MRC specific setup option to determine whether to execute a fastboot or normal boot</t>
  </si>
  <si>
    <t>bios.arrowlake,bios.lunarlake,bios.pantherlake,bios.pantherlake-p,bios.raptorlake</t>
  </si>
  <si>
    <t>Verify if TLS PKI option is removed from Integrated MEBx</t>
  </si>
  <si>
    <t>Verify if system boots in fast boot mode with normal shutdown rather than 4S power button override.</t>
  </si>
  <si>
    <t>Verify ACPI dump when ISH SAR module is not connected</t>
  </si>
  <si>
    <t>Verify MRC training with different memory topology and Trigger MRC training after multiple reset cycles.</t>
  </si>
  <si>
    <t>bios.alderlake,bios.amberlake,bios.meteorlake,bios.raptorlake,bios.raptorlake_refresh,bios.rocketlake</t>
  </si>
  <si>
    <t>Verify MRC for Mem training with different memory configurations</t>
  </si>
  <si>
    <t>Verify BIOS provide DDR-RFIM feature enable/disable status via MCHBAR for Discrete module</t>
  </si>
  <si>
    <t>Verify boot flow with SAGV Enable/Disable default option with Below 125W config</t>
  </si>
  <si>
    <t>Verify the "Intel(R) Dynamic Tuning Technology" is enabled by default</t>
  </si>
  <si>
    <t>Verify WPA3(Wi-Fi Protected Access) Access Points scan in BIOS</t>
  </si>
  <si>
    <t>BIOS/Security Code Review, Analysis Test</t>
  </si>
  <si>
    <t>hdave</t>
  </si>
  <si>
    <t>bios.test_content</t>
  </si>
  <si>
    <t>Verify WIFI driver version in OS</t>
  </si>
  <si>
    <t>bios.meteorlake,bios.raptorlake,bios.raptorlake_refresh</t>
  </si>
  <si>
    <t>[TBT] Verify SUT wake from S3 using Type-C dock connected over TBT port with a USB keyboard or mouse</t>
  </si>
  <si>
    <t>CSS-IVE-118819</t>
  </si>
  <si>
    <t>bios.alderlake,bios.arrowlake,bios.cannonlake,bios.coffeelake,bios.cometlake,bios.icelake-client,bios.kabylake_r,bios.lunarlake,bios.meteorlake,bios.pantherlake,bios.pantherlake-p,bios.raptorlake,bios.raptorlake_refresh,bios.rocketlake,bios.tigerlake,bios.whiskeylake</t>
  </si>
  <si>
    <t>Verify ME State option in Bios</t>
  </si>
  <si>
    <t>CSS-IVE-118938</t>
  </si>
  <si>
    <t>bios.alderlake,bios.arrowlake,bios.coffeelake,bios.cometlake,bios.kabylake,bios.kabylake_r,bios.lunarlake,bios.meteorlake,bios.raptorlake,bios.tigerlake,bios.whiskeylake,ifwi.kabylake,ifwi.skylake</t>
  </si>
  <si>
    <t>Verify BIOS handover the platform control to OS</t>
  </si>
  <si>
    <t>CSS-IVE-119140</t>
  </si>
  <si>
    <t>bios.mem_decode,fw.ifwi.unknown</t>
  </si>
  <si>
    <t>bios.alderlake,bios.arrowlake,bios.lunarlake,bios.meteorlake,bios.pantherlake,bios.pantherlake-p,bios.pantherlake-s,bios.raptorlake,bios.raptorlake_refresh,bios.rocketlake,bios.tigerlake,bios.tigerlake_refresh,ifwi.raptorlake,ifwi.tigerlake</t>
  </si>
  <si>
    <t>Verify USB 3.2 Gen 2x2 device functionality in pre and post OS</t>
  </si>
  <si>
    <t>CSS-IVE-113756</t>
  </si>
  <si>
    <t>bios.alderlake,bios.arrowlake,bios.lunarlake,bios.meteorlake,bios.pantherlake,bios.pantherlake-p,bios.pantherlake-s,bios.raptorlake,bios.raptorlake_refresh,bios.rocketlake,bios.tigerlake</t>
  </si>
  <si>
    <t>Verify Type-C multi port functionality - PR Swap, USB3.2 and TBT-Display</t>
  </si>
  <si>
    <t>CSS-IVE-113768</t>
  </si>
  <si>
    <t>bios.alderlake,bios.arrowlake,bios.lunarlake,bios.meteorlake,bios.pantherlake,bios.pantherlake-p,bios.pantherlake-s,bios.raptorlake,bios.raptorlake_refresh</t>
  </si>
  <si>
    <t>Verify ME un-configuration using Bios option</t>
  </si>
  <si>
    <t>CSS-IVE-118749</t>
  </si>
  <si>
    <t>bios.alderlake,bios.amberlake,bios.arrowlake,bios.cannonlake,bios.coffeelake,bios.cometlake,bios.kabylake,bios.kabylake_r,bios.lunarlake,bios.meteorlake,bios.raptorlake,bios.rocketlake,bios.tigerlake,bios.whiskeylake,ifwi.kabylake,ifwi.skylake</t>
  </si>
  <si>
    <t>Verify DP-In Cold-plug functionality with External Graphics</t>
  </si>
  <si>
    <t>CSS-IVE-118065</t>
  </si>
  <si>
    <t>bios.alderlake,bios.arrowlake,bios.lunarlake,bios.meteorlake,bios.pantherlake,bios.pantherlake-p,bios.pantherlake-s,bios.raptorlake,bios.raptorlake_refresh,bios.tigerlake</t>
  </si>
  <si>
    <t>Verify GPE event triggered in ACPI during ACPI wake alarm test in sleep state</t>
  </si>
  <si>
    <t>CSS-IVE-120105</t>
  </si>
  <si>
    <t>bios.alderlake,bios.arrowlake,bios.coffeelake,bios.cometlake,bios.icelake-client,bios.lunarlake,bios.meteorlake,bios.pantherlake-s,bios.raptorlake,bios.rocketlake,bios.tigerlake,bios.whiskeylake</t>
  </si>
  <si>
    <t>Verify system stability on performing Sleep cycle on freshly preloaded OS post flashing Release BIOS</t>
  </si>
  <si>
    <t>CSS-IVE-120325</t>
  </si>
  <si>
    <t>bios.alderlake,bios.arrowlake,bios.coffeelake,bios.cometlake,bios.icelake-client,bios.jasperlake,bios.meteorlake,bios.raptorlake,bios.raptorlake_refresh,bios.rocketlake,bios.tigerlake,bios.whiskeylake,ifwi.coffeelake,ifwi.cometlake,ifwi.icelake,ifwi.raptorlake_refresh,ifwi.tigerlake,ifwi.whiskeylake</t>
  </si>
  <si>
    <t>BIOS/Security Regression Tests</t>
  </si>
  <si>
    <t>vakula</t>
  </si>
  <si>
    <t>bios.arrowlake,bios.lunarlake,bios.meteorlake,bios.pantherlake,bios.pantherlake-h,bios.pantherlake-p,bios.pantherlake-u,bios.raptorlake,bios.raptorlake_refresh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</si>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</sst>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8"/>
  <sheetViews>
    <sheetView tabSelected="1" topLeftCell="A61" workbookViewId="0">
      <selection activeCell="B1" sqref="B1"/>
    </sheetView>
  </sheetViews>
  <sheetFormatPr defaultRowHeight="14.4" x14ac:dyDescent="0.3"/>
  <sheetData>
    <row r="1" spans="1:6" x14ac:dyDescent="0.3">
      <c r="A1" t="s">
        <v>2021</v>
      </c>
      <c r="B1" t="s">
        <v>2022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tr">
        <f>HYPERLINK("https://hsdes.intel.com/resource/1509596724","1509596724")</f>
        <v>1509596724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3">
      <c r="A3" t="str">
        <f>HYPERLINK("https://hsdes.intel.com/resource/14013114837","14013114837")</f>
        <v>14013114837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3">
      <c r="A4" t="str">
        <f>HYPERLINK("https://hsdes.intel.com/resource/14013114941","14013114941")</f>
        <v>14013114941</v>
      </c>
      <c r="B4" t="s">
        <v>14</v>
      </c>
      <c r="C4" t="s">
        <v>15</v>
      </c>
      <c r="D4" t="s">
        <v>11</v>
      </c>
      <c r="E4" t="s">
        <v>16</v>
      </c>
      <c r="F4" t="s">
        <v>17</v>
      </c>
    </row>
    <row r="5" spans="1:6" x14ac:dyDescent="0.3">
      <c r="A5" t="str">
        <f>HYPERLINK("https://hsdes.intel.com/resource/14013115389","14013115389")</f>
        <v>14013115389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</row>
    <row r="6" spans="1:6" x14ac:dyDescent="0.3">
      <c r="A6" t="str">
        <f>HYPERLINK("https://hsdes.intel.com/resource/14013117289","14013117289")</f>
        <v>14013117289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</row>
    <row r="7" spans="1:6" x14ac:dyDescent="0.3">
      <c r="A7" t="str">
        <f>HYPERLINK("https://hsdes.intel.com/resource/14013119125","14013119125")</f>
        <v>14013119125</v>
      </c>
      <c r="B7" t="s">
        <v>28</v>
      </c>
      <c r="C7" t="s">
        <v>29</v>
      </c>
      <c r="D7" t="s">
        <v>6</v>
      </c>
      <c r="E7" t="s">
        <v>12</v>
      </c>
      <c r="F7" t="s">
        <v>30</v>
      </c>
    </row>
    <row r="8" spans="1:6" x14ac:dyDescent="0.3">
      <c r="A8" t="str">
        <f>HYPERLINK("https://hsdes.intel.com/resource/14013119531","14013119531")</f>
        <v>14013119531</v>
      </c>
      <c r="B8" t="s">
        <v>31</v>
      </c>
      <c r="C8" t="s">
        <v>32</v>
      </c>
      <c r="D8" t="s">
        <v>33</v>
      </c>
      <c r="E8" t="s">
        <v>21</v>
      </c>
      <c r="F8" t="s">
        <v>34</v>
      </c>
    </row>
    <row r="9" spans="1:6" x14ac:dyDescent="0.3">
      <c r="A9" t="str">
        <f>HYPERLINK("https://hsdes.intel.com/resource/14013120501","14013120501")</f>
        <v>14013120501</v>
      </c>
      <c r="B9" t="s">
        <v>35</v>
      </c>
      <c r="C9" t="s">
        <v>36</v>
      </c>
      <c r="D9" t="s">
        <v>33</v>
      </c>
      <c r="E9" t="s">
        <v>21</v>
      </c>
      <c r="F9" t="s">
        <v>37</v>
      </c>
    </row>
    <row r="10" spans="1:6" x14ac:dyDescent="0.3">
      <c r="A10" t="str">
        <f>HYPERLINK("https://hsdes.intel.com/resource/14013120885","14013120885")</f>
        <v>14013120885</v>
      </c>
      <c r="B10" t="s">
        <v>38</v>
      </c>
      <c r="C10" t="s">
        <v>39</v>
      </c>
      <c r="D10" t="s">
        <v>20</v>
      </c>
      <c r="E10" t="s">
        <v>12</v>
      </c>
      <c r="F10" t="s">
        <v>40</v>
      </c>
    </row>
    <row r="11" spans="1:6" x14ac:dyDescent="0.3">
      <c r="A11" t="str">
        <f>HYPERLINK("https://hsdes.intel.com/resource/14013120979","14013120979")</f>
        <v>14013120979</v>
      </c>
      <c r="B11" t="s">
        <v>41</v>
      </c>
      <c r="C11" t="s">
        <v>42</v>
      </c>
      <c r="D11" t="s">
        <v>20</v>
      </c>
      <c r="E11" t="s">
        <v>43</v>
      </c>
      <c r="F11" t="s">
        <v>44</v>
      </c>
    </row>
    <row r="12" spans="1:6" x14ac:dyDescent="0.3">
      <c r="A12" t="str">
        <f>HYPERLINK("https://hsdes.intel.com/resource/14013121041","14013121041")</f>
        <v>14013121041</v>
      </c>
      <c r="B12" t="s">
        <v>45</v>
      </c>
      <c r="C12" t="s">
        <v>46</v>
      </c>
      <c r="D12" t="s">
        <v>20</v>
      </c>
      <c r="E12" t="s">
        <v>12</v>
      </c>
      <c r="F12" t="s">
        <v>47</v>
      </c>
    </row>
    <row r="13" spans="1:6" x14ac:dyDescent="0.3">
      <c r="A13" t="str">
        <f>HYPERLINK("https://hsdes.intel.com/resource/14013121252","14013121252")</f>
        <v>14013121252</v>
      </c>
      <c r="B13" t="s">
        <v>48</v>
      </c>
      <c r="C13" t="s">
        <v>49</v>
      </c>
      <c r="D13" t="s">
        <v>11</v>
      </c>
      <c r="E13" t="s">
        <v>50</v>
      </c>
      <c r="F13" t="s">
        <v>51</v>
      </c>
    </row>
    <row r="14" spans="1:6" x14ac:dyDescent="0.3">
      <c r="A14" t="str">
        <f>HYPERLINK("https://hsdes.intel.com/resource/14013121481","14013121481")</f>
        <v>14013121481</v>
      </c>
      <c r="B14" t="s">
        <v>52</v>
      </c>
      <c r="C14" t="s">
        <v>53</v>
      </c>
      <c r="D14" t="s">
        <v>11</v>
      </c>
      <c r="E14" t="s">
        <v>12</v>
      </c>
      <c r="F14" t="s">
        <v>54</v>
      </c>
    </row>
    <row r="15" spans="1:6" x14ac:dyDescent="0.3">
      <c r="A15" t="str">
        <f>HYPERLINK("https://hsdes.intel.com/resource/14013121573","14013121573")</f>
        <v>14013121573</v>
      </c>
      <c r="B15" t="s">
        <v>55</v>
      </c>
      <c r="C15" t="s">
        <v>56</v>
      </c>
      <c r="D15" t="s">
        <v>11</v>
      </c>
      <c r="E15" t="s">
        <v>57</v>
      </c>
      <c r="F15" t="s">
        <v>58</v>
      </c>
    </row>
    <row r="16" spans="1:6" x14ac:dyDescent="0.3">
      <c r="A16" t="str">
        <f>HYPERLINK("https://hsdes.intel.com/resource/14013121695","14013121695")</f>
        <v>14013121695</v>
      </c>
      <c r="B16" t="s">
        <v>59</v>
      </c>
      <c r="C16" t="s">
        <v>60</v>
      </c>
      <c r="D16" t="s">
        <v>11</v>
      </c>
      <c r="E16" t="s">
        <v>21</v>
      </c>
      <c r="F16" t="s">
        <v>61</v>
      </c>
    </row>
    <row r="17" spans="1:6" x14ac:dyDescent="0.3">
      <c r="A17" t="str">
        <f>HYPERLINK("https://hsdes.intel.com/resource/14013156689","14013156689")</f>
        <v>14013156689</v>
      </c>
      <c r="B17" t="s">
        <v>62</v>
      </c>
      <c r="C17" t="s">
        <v>63</v>
      </c>
      <c r="D17" t="s">
        <v>25</v>
      </c>
      <c r="E17" t="s">
        <v>64</v>
      </c>
      <c r="F17" t="s">
        <v>65</v>
      </c>
    </row>
    <row r="18" spans="1:6" x14ac:dyDescent="0.3">
      <c r="A18" t="str">
        <f>HYPERLINK("https://hsdes.intel.com/resource/14013156692","14013156692")</f>
        <v>14013156692</v>
      </c>
      <c r="B18" t="s">
        <v>66</v>
      </c>
      <c r="C18" t="s">
        <v>67</v>
      </c>
      <c r="D18" t="s">
        <v>25</v>
      </c>
      <c r="E18" t="s">
        <v>68</v>
      </c>
      <c r="F18" t="s">
        <v>69</v>
      </c>
    </row>
    <row r="19" spans="1:6" x14ac:dyDescent="0.3">
      <c r="A19" t="str">
        <f>HYPERLINK("https://hsdes.intel.com/resource/14013156708","14013156708")</f>
        <v>14013156708</v>
      </c>
      <c r="B19" t="s">
        <v>70</v>
      </c>
      <c r="C19" t="s">
        <v>71</v>
      </c>
      <c r="D19" t="s">
        <v>25</v>
      </c>
      <c r="E19" t="s">
        <v>68</v>
      </c>
      <c r="F19" t="s">
        <v>72</v>
      </c>
    </row>
    <row r="20" spans="1:6" x14ac:dyDescent="0.3">
      <c r="A20" t="str">
        <f>HYPERLINK("https://hsdes.intel.com/resource/14013156710","14013156710")</f>
        <v>14013156710</v>
      </c>
      <c r="B20" t="s">
        <v>73</v>
      </c>
      <c r="C20" t="s">
        <v>74</v>
      </c>
      <c r="D20" t="s">
        <v>25</v>
      </c>
      <c r="E20" t="s">
        <v>75</v>
      </c>
      <c r="F20" t="s">
        <v>76</v>
      </c>
    </row>
    <row r="21" spans="1:6" x14ac:dyDescent="0.3">
      <c r="A21" t="str">
        <f>HYPERLINK("https://hsdes.intel.com/resource/14013156714","14013156714")</f>
        <v>14013156714</v>
      </c>
      <c r="B21" t="s">
        <v>77</v>
      </c>
      <c r="C21" t="s">
        <v>78</v>
      </c>
      <c r="D21" t="s">
        <v>25</v>
      </c>
      <c r="E21" t="s">
        <v>75</v>
      </c>
      <c r="F21" t="s">
        <v>76</v>
      </c>
    </row>
    <row r="22" spans="1:6" x14ac:dyDescent="0.3">
      <c r="A22" t="str">
        <f>HYPERLINK("https://hsdes.intel.com/resource/14013156716","14013156716")</f>
        <v>14013156716</v>
      </c>
      <c r="B22" t="s">
        <v>79</v>
      </c>
      <c r="C22" t="s">
        <v>80</v>
      </c>
      <c r="D22" t="s">
        <v>25</v>
      </c>
      <c r="E22" t="s">
        <v>68</v>
      </c>
      <c r="F22" t="s">
        <v>72</v>
      </c>
    </row>
    <row r="23" spans="1:6" x14ac:dyDescent="0.3">
      <c r="A23" t="str">
        <f>HYPERLINK("https://hsdes.intel.com/resource/14013156717","14013156717")</f>
        <v>14013156717</v>
      </c>
      <c r="B23" t="s">
        <v>81</v>
      </c>
      <c r="C23" t="s">
        <v>82</v>
      </c>
      <c r="D23" t="s">
        <v>25</v>
      </c>
      <c r="E23" t="s">
        <v>75</v>
      </c>
      <c r="F23" t="s">
        <v>83</v>
      </c>
    </row>
    <row r="24" spans="1:6" x14ac:dyDescent="0.3">
      <c r="A24" t="str">
        <f>HYPERLINK("https://hsdes.intel.com/resource/14013156718","14013156718")</f>
        <v>14013156718</v>
      </c>
      <c r="B24" t="s">
        <v>84</v>
      </c>
      <c r="C24" t="s">
        <v>85</v>
      </c>
      <c r="D24" t="s">
        <v>25</v>
      </c>
      <c r="E24" t="s">
        <v>75</v>
      </c>
      <c r="F24" t="s">
        <v>83</v>
      </c>
    </row>
    <row r="25" spans="1:6" x14ac:dyDescent="0.3">
      <c r="A25" t="str">
        <f>HYPERLINK("https://hsdes.intel.com/resource/14013156720","14013156720")</f>
        <v>14013156720</v>
      </c>
      <c r="B25" t="s">
        <v>86</v>
      </c>
      <c r="C25" t="s">
        <v>87</v>
      </c>
      <c r="D25" t="s">
        <v>25</v>
      </c>
      <c r="E25" t="s">
        <v>75</v>
      </c>
      <c r="F25" t="s">
        <v>83</v>
      </c>
    </row>
    <row r="26" spans="1:6" x14ac:dyDescent="0.3">
      <c r="A26" t="str">
        <f>HYPERLINK("https://hsdes.intel.com/resource/14013156729","14013156729")</f>
        <v>14013156729</v>
      </c>
      <c r="B26" t="s">
        <v>88</v>
      </c>
      <c r="C26" t="s">
        <v>89</v>
      </c>
      <c r="D26" t="s">
        <v>25</v>
      </c>
      <c r="E26" t="s">
        <v>68</v>
      </c>
      <c r="F26" t="s">
        <v>69</v>
      </c>
    </row>
    <row r="27" spans="1:6" x14ac:dyDescent="0.3">
      <c r="A27" t="str">
        <f>HYPERLINK("https://hsdes.intel.com/resource/14013156738","14013156738")</f>
        <v>14013156738</v>
      </c>
      <c r="B27" t="s">
        <v>90</v>
      </c>
      <c r="C27" t="s">
        <v>91</v>
      </c>
      <c r="D27" t="s">
        <v>25</v>
      </c>
      <c r="E27" t="s">
        <v>75</v>
      </c>
      <c r="F27" t="s">
        <v>83</v>
      </c>
    </row>
    <row r="28" spans="1:6" x14ac:dyDescent="0.3">
      <c r="A28" t="str">
        <f>HYPERLINK("https://hsdes.intel.com/resource/14013156793","14013156793")</f>
        <v>14013156793</v>
      </c>
      <c r="B28" t="s">
        <v>92</v>
      </c>
      <c r="C28" t="s">
        <v>93</v>
      </c>
      <c r="D28" t="s">
        <v>20</v>
      </c>
      <c r="E28" t="s">
        <v>12</v>
      </c>
      <c r="F28" t="s">
        <v>94</v>
      </c>
    </row>
    <row r="29" spans="1:6" x14ac:dyDescent="0.3">
      <c r="A29" t="str">
        <f>HYPERLINK("https://hsdes.intel.com/resource/14013156797","14013156797")</f>
        <v>14013156797</v>
      </c>
      <c r="B29" t="s">
        <v>95</v>
      </c>
      <c r="C29" t="s">
        <v>96</v>
      </c>
      <c r="D29" t="s">
        <v>20</v>
      </c>
      <c r="E29" t="s">
        <v>12</v>
      </c>
      <c r="F29" t="s">
        <v>97</v>
      </c>
    </row>
    <row r="30" spans="1:6" x14ac:dyDescent="0.3">
      <c r="A30" t="str">
        <f>HYPERLINK("https://hsdes.intel.com/resource/14013156867","14013156867")</f>
        <v>14013156867</v>
      </c>
      <c r="B30" t="s">
        <v>98</v>
      </c>
      <c r="C30" t="s">
        <v>99</v>
      </c>
      <c r="D30" t="s">
        <v>100</v>
      </c>
      <c r="E30" t="s">
        <v>101</v>
      </c>
      <c r="F30" t="s">
        <v>102</v>
      </c>
    </row>
    <row r="31" spans="1:6" x14ac:dyDescent="0.3">
      <c r="A31" t="str">
        <f>HYPERLINK("https://hsdes.intel.com/resource/14013156871","14013156871")</f>
        <v>14013156871</v>
      </c>
      <c r="B31" t="s">
        <v>103</v>
      </c>
      <c r="C31" t="s">
        <v>104</v>
      </c>
      <c r="D31" t="s">
        <v>20</v>
      </c>
      <c r="E31" t="s">
        <v>12</v>
      </c>
      <c r="F31" t="s">
        <v>105</v>
      </c>
    </row>
    <row r="32" spans="1:6" x14ac:dyDescent="0.3">
      <c r="A32" t="str">
        <f>HYPERLINK("https://hsdes.intel.com/resource/14013156876","14013156876")</f>
        <v>14013156876</v>
      </c>
      <c r="B32" t="s">
        <v>106</v>
      </c>
      <c r="C32" t="s">
        <v>107</v>
      </c>
      <c r="D32" t="s">
        <v>20</v>
      </c>
      <c r="E32" t="s">
        <v>12</v>
      </c>
      <c r="F32" t="s">
        <v>108</v>
      </c>
    </row>
    <row r="33" spans="1:6" x14ac:dyDescent="0.3">
      <c r="A33" t="str">
        <f>HYPERLINK("https://hsdes.intel.com/resource/14013156881","14013156881")</f>
        <v>14013156881</v>
      </c>
      <c r="B33" t="s">
        <v>109</v>
      </c>
      <c r="C33" t="s">
        <v>110</v>
      </c>
      <c r="D33" t="s">
        <v>20</v>
      </c>
      <c r="E33" t="s">
        <v>111</v>
      </c>
      <c r="F33" t="s">
        <v>112</v>
      </c>
    </row>
    <row r="34" spans="1:6" x14ac:dyDescent="0.3">
      <c r="A34" t="str">
        <f>HYPERLINK("https://hsdes.intel.com/resource/14013156882","14013156882")</f>
        <v>14013156882</v>
      </c>
      <c r="B34" t="s">
        <v>113</v>
      </c>
      <c r="C34" t="s">
        <v>114</v>
      </c>
      <c r="D34" t="s">
        <v>20</v>
      </c>
      <c r="E34" t="s">
        <v>12</v>
      </c>
      <c r="F34" t="s">
        <v>115</v>
      </c>
    </row>
    <row r="35" spans="1:6" x14ac:dyDescent="0.3">
      <c r="A35" t="str">
        <f>HYPERLINK("https://hsdes.intel.com/resource/14013156884","14013156884")</f>
        <v>14013156884</v>
      </c>
      <c r="B35" t="s">
        <v>116</v>
      </c>
      <c r="C35" t="s">
        <v>117</v>
      </c>
      <c r="D35" t="s">
        <v>100</v>
      </c>
      <c r="E35" t="s">
        <v>101</v>
      </c>
      <c r="F35" t="s">
        <v>102</v>
      </c>
    </row>
    <row r="36" spans="1:6" x14ac:dyDescent="0.3">
      <c r="A36" t="str">
        <f>HYPERLINK("https://hsdes.intel.com/resource/14013156950","14013156950")</f>
        <v>14013156950</v>
      </c>
      <c r="B36" t="s">
        <v>118</v>
      </c>
      <c r="C36" t="s">
        <v>119</v>
      </c>
      <c r="D36" t="s">
        <v>20</v>
      </c>
      <c r="E36" t="s">
        <v>12</v>
      </c>
      <c r="F36" t="s">
        <v>120</v>
      </c>
    </row>
    <row r="37" spans="1:6" x14ac:dyDescent="0.3">
      <c r="A37" t="str">
        <f>HYPERLINK("https://hsdes.intel.com/resource/14013157006","14013157006")</f>
        <v>14013157006</v>
      </c>
      <c r="B37" t="s">
        <v>121</v>
      </c>
      <c r="C37" t="s">
        <v>122</v>
      </c>
      <c r="D37" t="s">
        <v>20</v>
      </c>
      <c r="E37" t="s">
        <v>12</v>
      </c>
      <c r="F37" t="s">
        <v>123</v>
      </c>
    </row>
    <row r="38" spans="1:6" x14ac:dyDescent="0.3">
      <c r="A38" t="str">
        <f>HYPERLINK("https://hsdes.intel.com/resource/14013157183","14013157183")</f>
        <v>14013157183</v>
      </c>
      <c r="B38" t="s">
        <v>124</v>
      </c>
      <c r="C38" t="s">
        <v>125</v>
      </c>
      <c r="D38" t="s">
        <v>20</v>
      </c>
      <c r="E38" t="s">
        <v>12</v>
      </c>
      <c r="F38" t="s">
        <v>126</v>
      </c>
    </row>
    <row r="39" spans="1:6" x14ac:dyDescent="0.3">
      <c r="A39" t="str">
        <f>HYPERLINK("https://hsdes.intel.com/resource/14013157206","14013157206")</f>
        <v>14013157206</v>
      </c>
      <c r="B39" t="s">
        <v>127</v>
      </c>
      <c r="C39" t="s">
        <v>128</v>
      </c>
      <c r="D39" t="s">
        <v>33</v>
      </c>
      <c r="E39" t="s">
        <v>129</v>
      </c>
      <c r="F39" t="s">
        <v>130</v>
      </c>
    </row>
    <row r="40" spans="1:6" x14ac:dyDescent="0.3">
      <c r="A40" t="str">
        <f>HYPERLINK("https://hsdes.intel.com/resource/14013157212","14013157212")</f>
        <v>14013157212</v>
      </c>
      <c r="B40" t="s">
        <v>131</v>
      </c>
      <c r="C40" t="s">
        <v>132</v>
      </c>
      <c r="D40" t="s">
        <v>33</v>
      </c>
      <c r="E40" t="s">
        <v>64</v>
      </c>
      <c r="F40" t="s">
        <v>133</v>
      </c>
    </row>
    <row r="41" spans="1:6" x14ac:dyDescent="0.3">
      <c r="A41" t="str">
        <f>HYPERLINK("https://hsdes.intel.com/resource/14013157230","14013157230")</f>
        <v>14013157230</v>
      </c>
      <c r="B41" t="s">
        <v>134</v>
      </c>
      <c r="C41" t="s">
        <v>135</v>
      </c>
      <c r="D41" t="s">
        <v>20</v>
      </c>
      <c r="E41" t="s">
        <v>21</v>
      </c>
      <c r="F41" t="s">
        <v>136</v>
      </c>
    </row>
    <row r="42" spans="1:6" x14ac:dyDescent="0.3">
      <c r="A42" t="str">
        <f>HYPERLINK("https://hsdes.intel.com/resource/14013157367","14013157367")</f>
        <v>14013157367</v>
      </c>
      <c r="B42" t="s">
        <v>137</v>
      </c>
      <c r="C42" t="s">
        <v>138</v>
      </c>
      <c r="D42" t="s">
        <v>20</v>
      </c>
      <c r="E42" t="s">
        <v>12</v>
      </c>
      <c r="F42" t="s">
        <v>139</v>
      </c>
    </row>
    <row r="43" spans="1:6" x14ac:dyDescent="0.3">
      <c r="A43" t="str">
        <f>HYPERLINK("https://hsdes.intel.com/resource/14013157460","14013157460")</f>
        <v>14013157460</v>
      </c>
      <c r="B43" t="s">
        <v>140</v>
      </c>
      <c r="C43" t="s">
        <v>141</v>
      </c>
      <c r="D43" t="s">
        <v>20</v>
      </c>
      <c r="E43" t="s">
        <v>12</v>
      </c>
      <c r="F43" t="s">
        <v>139</v>
      </c>
    </row>
    <row r="44" spans="1:6" x14ac:dyDescent="0.3">
      <c r="A44" t="str">
        <f>HYPERLINK("https://hsdes.intel.com/resource/14013157462","14013157462")</f>
        <v>14013157462</v>
      </c>
      <c r="B44" t="s">
        <v>142</v>
      </c>
      <c r="C44" t="s">
        <v>143</v>
      </c>
      <c r="D44" t="s">
        <v>20</v>
      </c>
      <c r="E44" t="s">
        <v>12</v>
      </c>
      <c r="F44" t="s">
        <v>144</v>
      </c>
    </row>
    <row r="45" spans="1:6" x14ac:dyDescent="0.3">
      <c r="A45" t="str">
        <f>HYPERLINK("https://hsdes.intel.com/resource/14013157472","14013157472")</f>
        <v>14013157472</v>
      </c>
      <c r="B45" t="s">
        <v>145</v>
      </c>
      <c r="C45" t="s">
        <v>146</v>
      </c>
      <c r="D45" t="s">
        <v>20</v>
      </c>
      <c r="E45" t="s">
        <v>12</v>
      </c>
      <c r="F45" t="s">
        <v>147</v>
      </c>
    </row>
    <row r="46" spans="1:6" x14ac:dyDescent="0.3">
      <c r="A46" t="str">
        <f>HYPERLINK("https://hsdes.intel.com/resource/14013157532","14013157532")</f>
        <v>14013157532</v>
      </c>
      <c r="B46" t="s">
        <v>148</v>
      </c>
      <c r="C46" t="s">
        <v>149</v>
      </c>
      <c r="D46" t="s">
        <v>20</v>
      </c>
      <c r="E46" t="s">
        <v>21</v>
      </c>
      <c r="F46" t="s">
        <v>150</v>
      </c>
    </row>
    <row r="47" spans="1:6" x14ac:dyDescent="0.3">
      <c r="A47" t="str">
        <f>HYPERLINK("https://hsdes.intel.com/resource/14013157548","14013157548")</f>
        <v>14013157548</v>
      </c>
      <c r="B47" t="s">
        <v>151</v>
      </c>
      <c r="C47" t="s">
        <v>152</v>
      </c>
      <c r="D47" t="s">
        <v>20</v>
      </c>
      <c r="E47" t="s">
        <v>64</v>
      </c>
      <c r="F47" t="s">
        <v>153</v>
      </c>
    </row>
    <row r="48" spans="1:6" x14ac:dyDescent="0.3">
      <c r="A48" t="str">
        <f>HYPERLINK("https://hsdes.intel.com/resource/14013157594","14013157594")</f>
        <v>14013157594</v>
      </c>
      <c r="B48" t="s">
        <v>154</v>
      </c>
      <c r="C48" t="s">
        <v>155</v>
      </c>
      <c r="D48" t="s">
        <v>33</v>
      </c>
      <c r="E48" t="s">
        <v>12</v>
      </c>
      <c r="F48" t="s">
        <v>156</v>
      </c>
    </row>
    <row r="49" spans="1:6" x14ac:dyDescent="0.3">
      <c r="A49" t="str">
        <f>HYPERLINK("https://hsdes.intel.com/resource/14013157596","14013157596")</f>
        <v>14013157596</v>
      </c>
      <c r="B49" t="s">
        <v>157</v>
      </c>
      <c r="C49" t="s">
        <v>158</v>
      </c>
      <c r="D49" t="s">
        <v>33</v>
      </c>
      <c r="E49" t="s">
        <v>12</v>
      </c>
      <c r="F49" t="s">
        <v>159</v>
      </c>
    </row>
    <row r="50" spans="1:6" x14ac:dyDescent="0.3">
      <c r="A50" t="str">
        <f>HYPERLINK("https://hsdes.intel.com/resource/14013157601","14013157601")</f>
        <v>14013157601</v>
      </c>
      <c r="B50" t="s">
        <v>160</v>
      </c>
      <c r="C50" t="s">
        <v>161</v>
      </c>
      <c r="D50" t="s">
        <v>33</v>
      </c>
      <c r="E50" t="s">
        <v>12</v>
      </c>
      <c r="F50" t="s">
        <v>162</v>
      </c>
    </row>
    <row r="51" spans="1:6" x14ac:dyDescent="0.3">
      <c r="A51" t="str">
        <f>HYPERLINK("https://hsdes.intel.com/resource/14013157608","14013157608")</f>
        <v>14013157608</v>
      </c>
      <c r="B51" t="s">
        <v>163</v>
      </c>
      <c r="C51" t="s">
        <v>164</v>
      </c>
      <c r="D51" t="s">
        <v>33</v>
      </c>
      <c r="E51" t="s">
        <v>12</v>
      </c>
      <c r="F51" t="s">
        <v>165</v>
      </c>
    </row>
    <row r="52" spans="1:6" x14ac:dyDescent="0.3">
      <c r="A52" t="str">
        <f>HYPERLINK("https://hsdes.intel.com/resource/14013157611","14013157611")</f>
        <v>14013157611</v>
      </c>
      <c r="B52" t="s">
        <v>166</v>
      </c>
      <c r="C52" t="s">
        <v>167</v>
      </c>
      <c r="D52" t="s">
        <v>33</v>
      </c>
      <c r="E52" t="s">
        <v>12</v>
      </c>
      <c r="F52" t="s">
        <v>165</v>
      </c>
    </row>
    <row r="53" spans="1:6" x14ac:dyDescent="0.3">
      <c r="A53" t="str">
        <f>HYPERLINK("https://hsdes.intel.com/resource/14013157613","14013157613")</f>
        <v>14013157613</v>
      </c>
      <c r="B53" t="s">
        <v>168</v>
      </c>
      <c r="C53" t="s">
        <v>169</v>
      </c>
      <c r="D53" t="s">
        <v>33</v>
      </c>
      <c r="E53" t="s">
        <v>12</v>
      </c>
      <c r="F53" t="s">
        <v>165</v>
      </c>
    </row>
    <row r="54" spans="1:6" x14ac:dyDescent="0.3">
      <c r="A54" t="str">
        <f>HYPERLINK("https://hsdes.intel.com/resource/14013157614","14013157614")</f>
        <v>14013157614</v>
      </c>
      <c r="B54" t="s">
        <v>170</v>
      </c>
      <c r="C54" t="s">
        <v>171</v>
      </c>
      <c r="D54" t="s">
        <v>33</v>
      </c>
      <c r="E54" t="s">
        <v>12</v>
      </c>
      <c r="F54" t="s">
        <v>165</v>
      </c>
    </row>
    <row r="55" spans="1:6" x14ac:dyDescent="0.3">
      <c r="A55" t="str">
        <f>HYPERLINK("https://hsdes.intel.com/resource/14013157616","14013157616")</f>
        <v>14013157616</v>
      </c>
      <c r="B55" t="s">
        <v>172</v>
      </c>
      <c r="C55" t="s">
        <v>173</v>
      </c>
      <c r="D55" t="s">
        <v>33</v>
      </c>
      <c r="E55" t="s">
        <v>12</v>
      </c>
      <c r="F55" t="s">
        <v>165</v>
      </c>
    </row>
    <row r="56" spans="1:6" x14ac:dyDescent="0.3">
      <c r="A56" t="str">
        <f>HYPERLINK("https://hsdes.intel.com/resource/14013157654","14013157654")</f>
        <v>14013157654</v>
      </c>
      <c r="B56" t="s">
        <v>174</v>
      </c>
      <c r="C56" t="s">
        <v>175</v>
      </c>
      <c r="D56" t="s">
        <v>33</v>
      </c>
      <c r="E56" t="s">
        <v>12</v>
      </c>
      <c r="F56" t="s">
        <v>176</v>
      </c>
    </row>
    <row r="57" spans="1:6" x14ac:dyDescent="0.3">
      <c r="A57" t="str">
        <f>HYPERLINK("https://hsdes.intel.com/resource/14013157668","14013157668")</f>
        <v>14013157668</v>
      </c>
      <c r="B57" t="s">
        <v>177</v>
      </c>
      <c r="C57" t="s">
        <v>178</v>
      </c>
      <c r="D57" t="s">
        <v>33</v>
      </c>
      <c r="E57" t="s">
        <v>12</v>
      </c>
      <c r="F57" t="s">
        <v>165</v>
      </c>
    </row>
    <row r="58" spans="1:6" x14ac:dyDescent="0.3">
      <c r="A58" t="str">
        <f>HYPERLINK("https://hsdes.intel.com/resource/14013157757","14013157757")</f>
        <v>14013157757</v>
      </c>
      <c r="B58" t="s">
        <v>179</v>
      </c>
      <c r="C58" t="s">
        <v>180</v>
      </c>
      <c r="D58" t="s">
        <v>181</v>
      </c>
      <c r="E58" t="s">
        <v>64</v>
      </c>
      <c r="F58" t="s">
        <v>182</v>
      </c>
    </row>
    <row r="59" spans="1:6" x14ac:dyDescent="0.3">
      <c r="A59" t="str">
        <f>HYPERLINK("https://hsdes.intel.com/resource/14013157813","14013157813")</f>
        <v>14013157813</v>
      </c>
      <c r="B59" t="s">
        <v>183</v>
      </c>
      <c r="C59" t="s">
        <v>184</v>
      </c>
      <c r="D59" t="s">
        <v>20</v>
      </c>
      <c r="E59" t="s">
        <v>21</v>
      </c>
      <c r="F59" t="s">
        <v>185</v>
      </c>
    </row>
    <row r="60" spans="1:6" x14ac:dyDescent="0.3">
      <c r="A60" t="str">
        <f>HYPERLINK("https://hsdes.intel.com/resource/14013158146","14013158146")</f>
        <v>14013158146</v>
      </c>
      <c r="B60" t="s">
        <v>186</v>
      </c>
      <c r="C60" t="s">
        <v>187</v>
      </c>
      <c r="D60" t="s">
        <v>20</v>
      </c>
      <c r="E60" t="s">
        <v>21</v>
      </c>
      <c r="F60" t="s">
        <v>188</v>
      </c>
    </row>
    <row r="61" spans="1:6" x14ac:dyDescent="0.3">
      <c r="A61" t="str">
        <f>HYPERLINK("https://hsdes.intel.com/resource/14013158254","14013158254")</f>
        <v>14013158254</v>
      </c>
      <c r="B61" t="s">
        <v>189</v>
      </c>
      <c r="C61" t="s">
        <v>190</v>
      </c>
      <c r="D61" t="s">
        <v>11</v>
      </c>
      <c r="E61" t="s">
        <v>50</v>
      </c>
      <c r="F61" t="s">
        <v>191</v>
      </c>
    </row>
    <row r="62" spans="1:6" x14ac:dyDescent="0.3">
      <c r="A62" t="str">
        <f>HYPERLINK("https://hsdes.intel.com/resource/14013158298","14013158298")</f>
        <v>14013158298</v>
      </c>
      <c r="B62" t="s">
        <v>192</v>
      </c>
      <c r="C62" t="s">
        <v>193</v>
      </c>
      <c r="D62" t="s">
        <v>11</v>
      </c>
      <c r="E62" t="s">
        <v>194</v>
      </c>
      <c r="F62" t="s">
        <v>195</v>
      </c>
    </row>
    <row r="63" spans="1:6" x14ac:dyDescent="0.3">
      <c r="A63" t="str">
        <f>HYPERLINK("https://hsdes.intel.com/resource/14013158321","14013158321")</f>
        <v>14013158321</v>
      </c>
      <c r="B63" t="s">
        <v>196</v>
      </c>
      <c r="C63" t="s">
        <v>197</v>
      </c>
      <c r="D63" t="s">
        <v>20</v>
      </c>
      <c r="E63" t="s">
        <v>21</v>
      </c>
      <c r="F63" t="s">
        <v>198</v>
      </c>
    </row>
    <row r="64" spans="1:6" x14ac:dyDescent="0.3">
      <c r="A64" t="str">
        <f>HYPERLINK("https://hsdes.intel.com/resource/14013158359","14013158359")</f>
        <v>14013158359</v>
      </c>
      <c r="B64" t="s">
        <v>199</v>
      </c>
      <c r="C64" t="s">
        <v>200</v>
      </c>
      <c r="D64" t="s">
        <v>100</v>
      </c>
      <c r="E64" t="s">
        <v>201</v>
      </c>
      <c r="F64" t="s">
        <v>202</v>
      </c>
    </row>
    <row r="65" spans="1:6" x14ac:dyDescent="0.3">
      <c r="A65" t="str">
        <f>HYPERLINK("https://hsdes.intel.com/resource/14013158389","14013158389")</f>
        <v>14013158389</v>
      </c>
      <c r="B65" t="s">
        <v>203</v>
      </c>
      <c r="C65" t="s">
        <v>204</v>
      </c>
      <c r="D65" t="s">
        <v>20</v>
      </c>
      <c r="E65" t="s">
        <v>12</v>
      </c>
      <c r="F65" t="s">
        <v>205</v>
      </c>
    </row>
    <row r="66" spans="1:6" x14ac:dyDescent="0.3">
      <c r="A66" t="str">
        <f>HYPERLINK("https://hsdes.intel.com/resource/14013158399","14013158399")</f>
        <v>14013158399</v>
      </c>
      <c r="B66" t="s">
        <v>206</v>
      </c>
      <c r="C66" t="s">
        <v>207</v>
      </c>
      <c r="D66" t="s">
        <v>11</v>
      </c>
      <c r="E66" t="s">
        <v>16</v>
      </c>
      <c r="F66" t="s">
        <v>208</v>
      </c>
    </row>
    <row r="67" spans="1:6" x14ac:dyDescent="0.3">
      <c r="A67" t="str">
        <f>HYPERLINK("https://hsdes.intel.com/resource/14013158404","14013158404")</f>
        <v>14013158404</v>
      </c>
      <c r="B67" t="s">
        <v>209</v>
      </c>
      <c r="C67" t="s">
        <v>210</v>
      </c>
      <c r="D67" t="s">
        <v>6</v>
      </c>
      <c r="E67" t="s">
        <v>211</v>
      </c>
      <c r="F67" t="s">
        <v>212</v>
      </c>
    </row>
    <row r="68" spans="1:6" x14ac:dyDescent="0.3">
      <c r="A68" t="str">
        <f>HYPERLINK("https://hsdes.intel.com/resource/14013158428","14013158428")</f>
        <v>14013158428</v>
      </c>
      <c r="B68" t="s">
        <v>213</v>
      </c>
      <c r="C68" t="s">
        <v>214</v>
      </c>
      <c r="D68" t="s">
        <v>181</v>
      </c>
      <c r="E68" t="s">
        <v>211</v>
      </c>
      <c r="F68" t="s">
        <v>215</v>
      </c>
    </row>
    <row r="69" spans="1:6" x14ac:dyDescent="0.3">
      <c r="A69" t="str">
        <f>HYPERLINK("https://hsdes.intel.com/resource/14013158479","14013158479")</f>
        <v>14013158479</v>
      </c>
      <c r="B69" t="s">
        <v>216</v>
      </c>
      <c r="C69" t="s">
        <v>217</v>
      </c>
      <c r="D69" t="s">
        <v>33</v>
      </c>
      <c r="E69" t="s">
        <v>21</v>
      </c>
      <c r="F69" t="s">
        <v>218</v>
      </c>
    </row>
    <row r="70" spans="1:6" x14ac:dyDescent="0.3">
      <c r="A70" t="str">
        <f>HYPERLINK("https://hsdes.intel.com/resource/14013158482","14013158482")</f>
        <v>14013158482</v>
      </c>
      <c r="B70" t="s">
        <v>219</v>
      </c>
      <c r="C70" t="s">
        <v>220</v>
      </c>
      <c r="D70" t="s">
        <v>20</v>
      </c>
      <c r="E70" t="s">
        <v>12</v>
      </c>
      <c r="F70" t="s">
        <v>221</v>
      </c>
    </row>
    <row r="71" spans="1:6" x14ac:dyDescent="0.3">
      <c r="A71" t="str">
        <f>HYPERLINK("https://hsdes.intel.com/resource/14013158543","14013158543")</f>
        <v>14013158543</v>
      </c>
      <c r="B71" t="s">
        <v>222</v>
      </c>
      <c r="C71" t="s">
        <v>223</v>
      </c>
      <c r="D71" t="s">
        <v>100</v>
      </c>
      <c r="E71" t="s">
        <v>21</v>
      </c>
      <c r="F71" t="s">
        <v>224</v>
      </c>
    </row>
    <row r="72" spans="1:6" x14ac:dyDescent="0.3">
      <c r="A72" t="str">
        <f>HYPERLINK("https://hsdes.intel.com/resource/14013158550","14013158550")</f>
        <v>14013158550</v>
      </c>
      <c r="B72" t="s">
        <v>225</v>
      </c>
      <c r="C72" t="s">
        <v>226</v>
      </c>
      <c r="D72" t="s">
        <v>20</v>
      </c>
      <c r="E72" t="s">
        <v>21</v>
      </c>
      <c r="F72" t="s">
        <v>136</v>
      </c>
    </row>
    <row r="73" spans="1:6" x14ac:dyDescent="0.3">
      <c r="A73" t="str">
        <f>HYPERLINK("https://hsdes.intel.com/resource/14013158689","14013158689")</f>
        <v>14013158689</v>
      </c>
      <c r="B73" t="s">
        <v>227</v>
      </c>
      <c r="C73" t="s">
        <v>228</v>
      </c>
      <c r="D73" t="s">
        <v>11</v>
      </c>
      <c r="E73" t="s">
        <v>16</v>
      </c>
      <c r="F73" t="s">
        <v>229</v>
      </c>
    </row>
    <row r="74" spans="1:6" x14ac:dyDescent="0.3">
      <c r="A74" t="str">
        <f>HYPERLINK("https://hsdes.intel.com/resource/14013158717","14013158717")</f>
        <v>14013158717</v>
      </c>
      <c r="B74" t="s">
        <v>230</v>
      </c>
      <c r="C74" t="s">
        <v>231</v>
      </c>
      <c r="D74" t="s">
        <v>100</v>
      </c>
      <c r="E74" t="s">
        <v>12</v>
      </c>
      <c r="F74" t="s">
        <v>232</v>
      </c>
    </row>
    <row r="75" spans="1:6" x14ac:dyDescent="0.3">
      <c r="A75" t="str">
        <f>HYPERLINK("https://hsdes.intel.com/resource/14013158803","14013158803")</f>
        <v>14013158803</v>
      </c>
      <c r="B75" t="s">
        <v>233</v>
      </c>
      <c r="C75" t="s">
        <v>234</v>
      </c>
      <c r="D75" t="s">
        <v>11</v>
      </c>
      <c r="E75" t="s">
        <v>50</v>
      </c>
      <c r="F75" t="s">
        <v>235</v>
      </c>
    </row>
    <row r="76" spans="1:6" x14ac:dyDescent="0.3">
      <c r="A76" t="str">
        <f>HYPERLINK("https://hsdes.intel.com/resource/14013158813","14013158813")</f>
        <v>14013158813</v>
      </c>
      <c r="B76" t="s">
        <v>236</v>
      </c>
      <c r="C76" t="s">
        <v>237</v>
      </c>
      <c r="D76" t="s">
        <v>11</v>
      </c>
      <c r="E76" t="s">
        <v>16</v>
      </c>
      <c r="F76" t="s">
        <v>238</v>
      </c>
    </row>
    <row r="77" spans="1:6" x14ac:dyDescent="0.3">
      <c r="A77" t="str">
        <f>HYPERLINK("https://hsdes.intel.com/resource/14013158989","14013158989")</f>
        <v>14013158989</v>
      </c>
      <c r="B77" t="s">
        <v>239</v>
      </c>
      <c r="C77" t="s">
        <v>240</v>
      </c>
      <c r="D77" t="s">
        <v>20</v>
      </c>
      <c r="E77" t="s">
        <v>241</v>
      </c>
      <c r="F77" t="s">
        <v>242</v>
      </c>
    </row>
    <row r="78" spans="1:6" x14ac:dyDescent="0.3">
      <c r="A78" t="str">
        <f>HYPERLINK("https://hsdes.intel.com/resource/14013159015","14013159015")</f>
        <v>14013159015</v>
      </c>
      <c r="B78" t="s">
        <v>243</v>
      </c>
      <c r="C78" t="s">
        <v>244</v>
      </c>
      <c r="D78" t="s">
        <v>20</v>
      </c>
      <c r="E78" t="s">
        <v>241</v>
      </c>
      <c r="F78" t="s">
        <v>245</v>
      </c>
    </row>
    <row r="79" spans="1:6" x14ac:dyDescent="0.3">
      <c r="A79" t="str">
        <f>HYPERLINK("https://hsdes.intel.com/resource/14013159021","14013159021")</f>
        <v>14013159021</v>
      </c>
      <c r="B79" t="s">
        <v>246</v>
      </c>
      <c r="C79" t="s">
        <v>247</v>
      </c>
      <c r="D79" t="s">
        <v>11</v>
      </c>
      <c r="E79" t="s">
        <v>194</v>
      </c>
      <c r="F79" t="s">
        <v>248</v>
      </c>
    </row>
    <row r="80" spans="1:6" x14ac:dyDescent="0.3">
      <c r="A80" t="str">
        <f>HYPERLINK("https://hsdes.intel.com/resource/14013159022","14013159022")</f>
        <v>14013159022</v>
      </c>
      <c r="B80" t="s">
        <v>249</v>
      </c>
      <c r="C80" t="s">
        <v>250</v>
      </c>
      <c r="D80" t="s">
        <v>11</v>
      </c>
      <c r="E80" t="s">
        <v>16</v>
      </c>
      <c r="F80" t="s">
        <v>251</v>
      </c>
    </row>
    <row r="81" spans="1:6" x14ac:dyDescent="0.3">
      <c r="A81" t="str">
        <f>HYPERLINK("https://hsdes.intel.com/resource/14013159024","14013159024")</f>
        <v>14013159024</v>
      </c>
      <c r="B81" t="s">
        <v>252</v>
      </c>
      <c r="C81" t="s">
        <v>253</v>
      </c>
      <c r="D81" t="s">
        <v>11</v>
      </c>
      <c r="E81" t="s">
        <v>16</v>
      </c>
      <c r="F81" t="s">
        <v>254</v>
      </c>
    </row>
    <row r="82" spans="1:6" x14ac:dyDescent="0.3">
      <c r="A82" t="str">
        <f>HYPERLINK("https://hsdes.intel.com/resource/14013159040","14013159040")</f>
        <v>14013159040</v>
      </c>
      <c r="B82" t="s">
        <v>255</v>
      </c>
      <c r="C82" t="s">
        <v>256</v>
      </c>
      <c r="D82" t="s">
        <v>181</v>
      </c>
      <c r="E82" t="s">
        <v>211</v>
      </c>
      <c r="F82" t="s">
        <v>257</v>
      </c>
    </row>
    <row r="83" spans="1:6" x14ac:dyDescent="0.3">
      <c r="A83" t="str">
        <f>HYPERLINK("https://hsdes.intel.com/resource/14013159046","14013159046")</f>
        <v>14013159046</v>
      </c>
      <c r="B83" t="s">
        <v>258</v>
      </c>
      <c r="C83" t="s">
        <v>259</v>
      </c>
      <c r="D83" t="s">
        <v>181</v>
      </c>
      <c r="E83" t="s">
        <v>211</v>
      </c>
      <c r="F83" t="s">
        <v>260</v>
      </c>
    </row>
    <row r="84" spans="1:6" x14ac:dyDescent="0.3">
      <c r="A84" t="str">
        <f>HYPERLINK("https://hsdes.intel.com/resource/14013159052","14013159052")</f>
        <v>14013159052</v>
      </c>
      <c r="B84" t="s">
        <v>261</v>
      </c>
      <c r="C84" t="s">
        <v>262</v>
      </c>
      <c r="D84" t="s">
        <v>20</v>
      </c>
      <c r="E84" t="s">
        <v>21</v>
      </c>
      <c r="F84" t="s">
        <v>263</v>
      </c>
    </row>
    <row r="85" spans="1:6" x14ac:dyDescent="0.3">
      <c r="A85" t="str">
        <f>HYPERLINK("https://hsdes.intel.com/resource/14013159061","14013159061")</f>
        <v>14013159061</v>
      </c>
      <c r="B85" t="s">
        <v>264</v>
      </c>
      <c r="C85" t="s">
        <v>265</v>
      </c>
      <c r="D85" t="s">
        <v>20</v>
      </c>
      <c r="E85" t="s">
        <v>266</v>
      </c>
      <c r="F85" t="s">
        <v>267</v>
      </c>
    </row>
    <row r="86" spans="1:6" x14ac:dyDescent="0.3">
      <c r="A86" t="str">
        <f>HYPERLINK("https://hsdes.intel.com/resource/14013159090","14013159090")</f>
        <v>14013159090</v>
      </c>
      <c r="B86" t="s">
        <v>268</v>
      </c>
      <c r="C86" t="s">
        <v>269</v>
      </c>
      <c r="D86" t="s">
        <v>11</v>
      </c>
      <c r="E86" t="s">
        <v>194</v>
      </c>
      <c r="F86" t="s">
        <v>270</v>
      </c>
    </row>
    <row r="87" spans="1:6" x14ac:dyDescent="0.3">
      <c r="A87" t="str">
        <f>HYPERLINK("https://hsdes.intel.com/resource/14013159094","14013159094")</f>
        <v>14013159094</v>
      </c>
      <c r="B87" t="s">
        <v>271</v>
      </c>
      <c r="C87" t="s">
        <v>272</v>
      </c>
      <c r="D87" t="s">
        <v>11</v>
      </c>
      <c r="E87" t="s">
        <v>273</v>
      </c>
      <c r="F87" t="s">
        <v>274</v>
      </c>
    </row>
    <row r="88" spans="1:6" x14ac:dyDescent="0.3">
      <c r="A88" t="str">
        <f>HYPERLINK("https://hsdes.intel.com/resource/14013159096","14013159096")</f>
        <v>14013159096</v>
      </c>
      <c r="B88" t="s">
        <v>275</v>
      </c>
      <c r="C88" t="s">
        <v>276</v>
      </c>
      <c r="D88" t="s">
        <v>20</v>
      </c>
      <c r="E88" t="s">
        <v>21</v>
      </c>
      <c r="F88" t="s">
        <v>156</v>
      </c>
    </row>
    <row r="89" spans="1:6" x14ac:dyDescent="0.3">
      <c r="A89" t="str">
        <f>HYPERLINK("https://hsdes.intel.com/resource/14013159127","14013159127")</f>
        <v>14013159127</v>
      </c>
      <c r="B89" t="s">
        <v>277</v>
      </c>
      <c r="C89" t="s">
        <v>278</v>
      </c>
      <c r="D89" t="s">
        <v>11</v>
      </c>
      <c r="E89" t="s">
        <v>16</v>
      </c>
      <c r="F89" t="s">
        <v>279</v>
      </c>
    </row>
    <row r="90" spans="1:6" x14ac:dyDescent="0.3">
      <c r="A90" t="str">
        <f>HYPERLINK("https://hsdes.intel.com/resource/14013159129","14013159129")</f>
        <v>14013159129</v>
      </c>
      <c r="B90" t="s">
        <v>280</v>
      </c>
      <c r="C90" t="s">
        <v>281</v>
      </c>
      <c r="D90" t="s">
        <v>11</v>
      </c>
      <c r="E90" t="s">
        <v>194</v>
      </c>
      <c r="F90" t="s">
        <v>282</v>
      </c>
    </row>
    <row r="91" spans="1:6" x14ac:dyDescent="0.3">
      <c r="A91" t="str">
        <f>HYPERLINK("https://hsdes.intel.com/resource/14013159248","14013159248")</f>
        <v>14013159248</v>
      </c>
      <c r="B91" t="s">
        <v>283</v>
      </c>
      <c r="C91" t="s">
        <v>284</v>
      </c>
      <c r="D91" t="s">
        <v>11</v>
      </c>
      <c r="E91" t="s">
        <v>16</v>
      </c>
      <c r="F91" t="s">
        <v>285</v>
      </c>
    </row>
    <row r="92" spans="1:6" x14ac:dyDescent="0.3">
      <c r="A92" t="str">
        <f>HYPERLINK("https://hsdes.intel.com/resource/14013159317","14013159317")</f>
        <v>14013159317</v>
      </c>
      <c r="B92" t="s">
        <v>286</v>
      </c>
      <c r="C92" t="s">
        <v>287</v>
      </c>
      <c r="D92" t="s">
        <v>25</v>
      </c>
      <c r="E92" t="s">
        <v>26</v>
      </c>
      <c r="F92" t="s">
        <v>288</v>
      </c>
    </row>
    <row r="93" spans="1:6" x14ac:dyDescent="0.3">
      <c r="A93" t="str">
        <f>HYPERLINK("https://hsdes.intel.com/resource/14013159448","14013159448")</f>
        <v>14013159448</v>
      </c>
      <c r="B93" t="s">
        <v>289</v>
      </c>
      <c r="C93" t="s">
        <v>290</v>
      </c>
      <c r="D93" t="s">
        <v>11</v>
      </c>
      <c r="E93" t="s">
        <v>291</v>
      </c>
      <c r="F93" t="s">
        <v>292</v>
      </c>
    </row>
    <row r="94" spans="1:6" x14ac:dyDescent="0.3">
      <c r="A94" t="str">
        <f>HYPERLINK("https://hsdes.intel.com/resource/14013159842","14013159842")</f>
        <v>14013159842</v>
      </c>
      <c r="B94" t="s">
        <v>293</v>
      </c>
      <c r="C94" t="s">
        <v>294</v>
      </c>
      <c r="D94" t="s">
        <v>20</v>
      </c>
      <c r="E94" t="s">
        <v>12</v>
      </c>
      <c r="F94" t="s">
        <v>295</v>
      </c>
    </row>
    <row r="95" spans="1:6" x14ac:dyDescent="0.3">
      <c r="A95" t="str">
        <f>HYPERLINK("https://hsdes.intel.com/resource/14013159847","14013159847")</f>
        <v>14013159847</v>
      </c>
      <c r="B95" t="s">
        <v>296</v>
      </c>
      <c r="C95" t="s">
        <v>297</v>
      </c>
      <c r="D95" t="s">
        <v>20</v>
      </c>
      <c r="E95" t="s">
        <v>21</v>
      </c>
      <c r="F95" t="s">
        <v>298</v>
      </c>
    </row>
    <row r="96" spans="1:6" x14ac:dyDescent="0.3">
      <c r="A96" t="str">
        <f>HYPERLINK("https://hsdes.intel.com/resource/14013159990","14013159990")</f>
        <v>14013159990</v>
      </c>
      <c r="B96" t="s">
        <v>299</v>
      </c>
      <c r="C96" t="s">
        <v>300</v>
      </c>
      <c r="D96" t="s">
        <v>33</v>
      </c>
      <c r="E96" t="s">
        <v>129</v>
      </c>
      <c r="F96" t="s">
        <v>301</v>
      </c>
    </row>
    <row r="97" spans="1:6" x14ac:dyDescent="0.3">
      <c r="A97" t="str">
        <f>HYPERLINK("https://hsdes.intel.com/resource/14013159992","14013159992")</f>
        <v>14013159992</v>
      </c>
      <c r="B97" t="s">
        <v>302</v>
      </c>
      <c r="C97" t="s">
        <v>303</v>
      </c>
      <c r="D97" t="s">
        <v>33</v>
      </c>
      <c r="E97" t="s">
        <v>304</v>
      </c>
      <c r="F97" t="s">
        <v>305</v>
      </c>
    </row>
    <row r="98" spans="1:6" x14ac:dyDescent="0.3">
      <c r="A98" t="str">
        <f>HYPERLINK("https://hsdes.intel.com/resource/14013160085","14013160085")</f>
        <v>14013160085</v>
      </c>
      <c r="B98" t="s">
        <v>306</v>
      </c>
      <c r="C98" t="s">
        <v>307</v>
      </c>
      <c r="D98" t="s">
        <v>6</v>
      </c>
      <c r="E98" t="s">
        <v>211</v>
      </c>
      <c r="F98" t="s">
        <v>308</v>
      </c>
    </row>
    <row r="99" spans="1:6" x14ac:dyDescent="0.3">
      <c r="A99" t="str">
        <f>HYPERLINK("https://hsdes.intel.com/resource/14013160087","14013160087")</f>
        <v>14013160087</v>
      </c>
      <c r="B99" t="s">
        <v>309</v>
      </c>
      <c r="C99" t="s">
        <v>310</v>
      </c>
      <c r="D99" t="s">
        <v>100</v>
      </c>
      <c r="E99" t="s">
        <v>311</v>
      </c>
      <c r="F99" t="s">
        <v>312</v>
      </c>
    </row>
    <row r="100" spans="1:6" x14ac:dyDescent="0.3">
      <c r="A100" t="str">
        <f>HYPERLINK("https://hsdes.intel.com/resource/14013160094","14013160094")</f>
        <v>14013160094</v>
      </c>
      <c r="B100" t="s">
        <v>313</v>
      </c>
      <c r="C100" t="s">
        <v>314</v>
      </c>
      <c r="D100" t="s">
        <v>181</v>
      </c>
      <c r="E100" t="s">
        <v>64</v>
      </c>
      <c r="F100" t="s">
        <v>315</v>
      </c>
    </row>
    <row r="101" spans="1:6" x14ac:dyDescent="0.3">
      <c r="A101" t="str">
        <f>HYPERLINK("https://hsdes.intel.com/resource/14013160097","14013160097")</f>
        <v>14013160097</v>
      </c>
      <c r="B101" t="s">
        <v>316</v>
      </c>
      <c r="C101" t="s">
        <v>317</v>
      </c>
      <c r="D101" t="s">
        <v>181</v>
      </c>
      <c r="E101" t="s">
        <v>64</v>
      </c>
      <c r="F101" t="s">
        <v>318</v>
      </c>
    </row>
    <row r="102" spans="1:6" x14ac:dyDescent="0.3">
      <c r="A102" t="str">
        <f>HYPERLINK("https://hsdes.intel.com/resource/14013160109","14013160109")</f>
        <v>14013160109</v>
      </c>
      <c r="B102" t="s">
        <v>319</v>
      </c>
      <c r="C102" t="s">
        <v>320</v>
      </c>
      <c r="D102" t="s">
        <v>25</v>
      </c>
      <c r="E102" t="s">
        <v>75</v>
      </c>
      <c r="F102" t="s">
        <v>321</v>
      </c>
    </row>
    <row r="103" spans="1:6" x14ac:dyDescent="0.3">
      <c r="A103" t="str">
        <f>HYPERLINK("https://hsdes.intel.com/resource/14013160244","14013160244")</f>
        <v>14013160244</v>
      </c>
      <c r="B103" t="s">
        <v>322</v>
      </c>
      <c r="C103" t="s">
        <v>323</v>
      </c>
      <c r="D103" t="s">
        <v>25</v>
      </c>
      <c r="E103" t="s">
        <v>68</v>
      </c>
      <c r="F103" t="s">
        <v>324</v>
      </c>
    </row>
    <row r="104" spans="1:6" x14ac:dyDescent="0.3">
      <c r="A104" t="str">
        <f>HYPERLINK("https://hsdes.intel.com/resource/14013160249","14013160249")</f>
        <v>14013160249</v>
      </c>
      <c r="B104" t="s">
        <v>325</v>
      </c>
      <c r="C104" t="s">
        <v>326</v>
      </c>
      <c r="D104" t="s">
        <v>25</v>
      </c>
      <c r="E104" t="s">
        <v>68</v>
      </c>
      <c r="F104" t="s">
        <v>327</v>
      </c>
    </row>
    <row r="105" spans="1:6" x14ac:dyDescent="0.3">
      <c r="A105" t="str">
        <f>HYPERLINK("https://hsdes.intel.com/resource/14013160438","14013160438")</f>
        <v>14013160438</v>
      </c>
      <c r="B105" t="s">
        <v>328</v>
      </c>
      <c r="C105" t="s">
        <v>329</v>
      </c>
      <c r="D105" t="s">
        <v>33</v>
      </c>
      <c r="E105" t="s">
        <v>129</v>
      </c>
      <c r="F105" t="s">
        <v>330</v>
      </c>
    </row>
    <row r="106" spans="1:6" x14ac:dyDescent="0.3">
      <c r="A106" t="str">
        <f>HYPERLINK("https://hsdes.intel.com/resource/14013160446","14013160446")</f>
        <v>14013160446</v>
      </c>
      <c r="B106" t="s">
        <v>331</v>
      </c>
      <c r="C106" t="s">
        <v>332</v>
      </c>
      <c r="D106" t="s">
        <v>33</v>
      </c>
      <c r="E106" t="s">
        <v>21</v>
      </c>
      <c r="F106" t="s">
        <v>333</v>
      </c>
    </row>
    <row r="107" spans="1:6" x14ac:dyDescent="0.3">
      <c r="A107" t="str">
        <f>HYPERLINK("https://hsdes.intel.com/resource/14013160449","14013160449")</f>
        <v>14013160449</v>
      </c>
      <c r="B107" t="s">
        <v>334</v>
      </c>
      <c r="C107" t="s">
        <v>335</v>
      </c>
      <c r="D107" t="s">
        <v>20</v>
      </c>
      <c r="E107" t="s">
        <v>266</v>
      </c>
      <c r="F107" t="s">
        <v>336</v>
      </c>
    </row>
    <row r="108" spans="1:6" x14ac:dyDescent="0.3">
      <c r="A108" t="str">
        <f>HYPERLINK("https://hsdes.intel.com/resource/14013160451","14013160451")</f>
        <v>14013160451</v>
      </c>
      <c r="B108" t="s">
        <v>337</v>
      </c>
      <c r="C108" t="s">
        <v>338</v>
      </c>
      <c r="D108" t="s">
        <v>20</v>
      </c>
      <c r="E108" t="s">
        <v>266</v>
      </c>
      <c r="F108" t="s">
        <v>339</v>
      </c>
    </row>
    <row r="109" spans="1:6" x14ac:dyDescent="0.3">
      <c r="A109" t="str">
        <f>HYPERLINK("https://hsdes.intel.com/resource/14013160458","14013160458")</f>
        <v>14013160458</v>
      </c>
      <c r="B109" t="s">
        <v>340</v>
      </c>
      <c r="C109" t="s">
        <v>341</v>
      </c>
      <c r="D109" t="s">
        <v>11</v>
      </c>
      <c r="E109" t="s">
        <v>342</v>
      </c>
      <c r="F109" t="s">
        <v>343</v>
      </c>
    </row>
    <row r="110" spans="1:6" x14ac:dyDescent="0.3">
      <c r="A110" t="str">
        <f>HYPERLINK("https://hsdes.intel.com/resource/14013160473","14013160473")</f>
        <v>14013160473</v>
      </c>
      <c r="B110" t="s">
        <v>344</v>
      </c>
      <c r="C110" t="s">
        <v>345</v>
      </c>
      <c r="D110" t="s">
        <v>20</v>
      </c>
      <c r="E110" t="s">
        <v>266</v>
      </c>
      <c r="F110" t="s">
        <v>346</v>
      </c>
    </row>
    <row r="111" spans="1:6" x14ac:dyDescent="0.3">
      <c r="A111" t="str">
        <f>HYPERLINK("https://hsdes.intel.com/resource/14013160522","14013160522")</f>
        <v>14013160522</v>
      </c>
      <c r="B111" t="s">
        <v>347</v>
      </c>
      <c r="C111" t="s">
        <v>348</v>
      </c>
      <c r="D111" t="s">
        <v>20</v>
      </c>
      <c r="E111" t="s">
        <v>21</v>
      </c>
      <c r="F111" t="s">
        <v>349</v>
      </c>
    </row>
    <row r="112" spans="1:6" x14ac:dyDescent="0.3">
      <c r="A112" t="str">
        <f>HYPERLINK("https://hsdes.intel.com/resource/14013160568","14013160568")</f>
        <v>14013160568</v>
      </c>
      <c r="B112" t="s">
        <v>350</v>
      </c>
      <c r="C112" t="s">
        <v>351</v>
      </c>
      <c r="D112" t="s">
        <v>11</v>
      </c>
      <c r="E112" t="s">
        <v>50</v>
      </c>
      <c r="F112" t="s">
        <v>352</v>
      </c>
    </row>
    <row r="113" spans="1:6" x14ac:dyDescent="0.3">
      <c r="A113" t="str">
        <f>HYPERLINK("https://hsdes.intel.com/resource/14013160571","14013160571")</f>
        <v>14013160571</v>
      </c>
      <c r="B113" t="s">
        <v>353</v>
      </c>
      <c r="C113" t="s">
        <v>354</v>
      </c>
      <c r="D113" t="s">
        <v>11</v>
      </c>
      <c r="E113" t="s">
        <v>50</v>
      </c>
      <c r="F113" t="s">
        <v>355</v>
      </c>
    </row>
    <row r="114" spans="1:6" x14ac:dyDescent="0.3">
      <c r="A114" t="str">
        <f>HYPERLINK("https://hsdes.intel.com/resource/14013160613","14013160613")</f>
        <v>14013160613</v>
      </c>
      <c r="B114" t="s">
        <v>356</v>
      </c>
      <c r="C114" t="s">
        <v>357</v>
      </c>
      <c r="D114" t="s">
        <v>181</v>
      </c>
      <c r="E114" t="s">
        <v>64</v>
      </c>
      <c r="F114" t="s">
        <v>358</v>
      </c>
    </row>
    <row r="115" spans="1:6" x14ac:dyDescent="0.3">
      <c r="A115" t="str">
        <f>HYPERLINK("https://hsdes.intel.com/resource/14013160614","14013160614")</f>
        <v>14013160614</v>
      </c>
      <c r="B115" t="s">
        <v>359</v>
      </c>
      <c r="C115" t="s">
        <v>360</v>
      </c>
      <c r="D115" t="s">
        <v>181</v>
      </c>
      <c r="E115" t="s">
        <v>64</v>
      </c>
      <c r="F115" t="s">
        <v>361</v>
      </c>
    </row>
    <row r="116" spans="1:6" x14ac:dyDescent="0.3">
      <c r="A116" t="str">
        <f>HYPERLINK("https://hsdes.intel.com/resource/14013160620","14013160620")</f>
        <v>14013160620</v>
      </c>
      <c r="B116" t="s">
        <v>362</v>
      </c>
      <c r="C116" t="s">
        <v>363</v>
      </c>
      <c r="D116" t="s">
        <v>181</v>
      </c>
      <c r="E116" t="s">
        <v>64</v>
      </c>
      <c r="F116" t="s">
        <v>364</v>
      </c>
    </row>
    <row r="117" spans="1:6" x14ac:dyDescent="0.3">
      <c r="A117" t="str">
        <f>HYPERLINK("https://hsdes.intel.com/resource/14013160631","14013160631")</f>
        <v>14013160631</v>
      </c>
      <c r="B117" t="s">
        <v>365</v>
      </c>
      <c r="C117" t="s">
        <v>366</v>
      </c>
      <c r="D117" t="s">
        <v>181</v>
      </c>
      <c r="E117" t="s">
        <v>64</v>
      </c>
      <c r="F117" t="s">
        <v>367</v>
      </c>
    </row>
    <row r="118" spans="1:6" x14ac:dyDescent="0.3">
      <c r="A118" t="str">
        <f>HYPERLINK("https://hsdes.intel.com/resource/14013160689","14013160689")</f>
        <v>14013160689</v>
      </c>
      <c r="B118" t="s">
        <v>368</v>
      </c>
      <c r="C118" t="s">
        <v>369</v>
      </c>
      <c r="D118" t="s">
        <v>181</v>
      </c>
      <c r="E118" t="s">
        <v>64</v>
      </c>
      <c r="F118" t="s">
        <v>370</v>
      </c>
    </row>
    <row r="119" spans="1:6" x14ac:dyDescent="0.3">
      <c r="A119" t="str">
        <f>HYPERLINK("https://hsdes.intel.com/resource/14013160694","14013160694")</f>
        <v>14013160694</v>
      </c>
      <c r="B119" t="s">
        <v>371</v>
      </c>
      <c r="C119" t="s">
        <v>372</v>
      </c>
      <c r="D119" t="s">
        <v>25</v>
      </c>
      <c r="E119" t="s">
        <v>64</v>
      </c>
      <c r="F119" t="s">
        <v>373</v>
      </c>
    </row>
    <row r="120" spans="1:6" x14ac:dyDescent="0.3">
      <c r="A120" t="str">
        <f>HYPERLINK("https://hsdes.intel.com/resource/14013160697","14013160697")</f>
        <v>14013160697</v>
      </c>
      <c r="B120" t="s">
        <v>374</v>
      </c>
      <c r="C120" t="s">
        <v>375</v>
      </c>
      <c r="D120" t="s">
        <v>25</v>
      </c>
      <c r="E120" t="s">
        <v>64</v>
      </c>
      <c r="F120" t="s">
        <v>376</v>
      </c>
    </row>
    <row r="121" spans="1:6" x14ac:dyDescent="0.3">
      <c r="A121" t="str">
        <f>HYPERLINK("https://hsdes.intel.com/resource/14013160698","14013160698")</f>
        <v>14013160698</v>
      </c>
      <c r="B121" t="s">
        <v>377</v>
      </c>
      <c r="C121" t="s">
        <v>378</v>
      </c>
      <c r="D121" t="s">
        <v>25</v>
      </c>
      <c r="E121" t="s">
        <v>64</v>
      </c>
      <c r="F121" t="s">
        <v>379</v>
      </c>
    </row>
    <row r="122" spans="1:6" x14ac:dyDescent="0.3">
      <c r="A122" t="str">
        <f>HYPERLINK("https://hsdes.intel.com/resource/14013160707","14013160707")</f>
        <v>14013160707</v>
      </c>
      <c r="B122" t="s">
        <v>380</v>
      </c>
      <c r="C122" t="s">
        <v>381</v>
      </c>
      <c r="D122" t="s">
        <v>181</v>
      </c>
      <c r="E122" t="s">
        <v>211</v>
      </c>
      <c r="F122" t="s">
        <v>382</v>
      </c>
    </row>
    <row r="123" spans="1:6" x14ac:dyDescent="0.3">
      <c r="A123" t="str">
        <f>HYPERLINK("https://hsdes.intel.com/resource/14013160711","14013160711")</f>
        <v>14013160711</v>
      </c>
      <c r="B123" t="s">
        <v>383</v>
      </c>
      <c r="C123" t="s">
        <v>384</v>
      </c>
      <c r="D123" t="s">
        <v>181</v>
      </c>
      <c r="E123" t="s">
        <v>211</v>
      </c>
      <c r="F123" t="s">
        <v>385</v>
      </c>
    </row>
    <row r="124" spans="1:6" x14ac:dyDescent="0.3">
      <c r="A124" t="str">
        <f>HYPERLINK("https://hsdes.intel.com/resource/14013160712","14013160712")</f>
        <v>14013160712</v>
      </c>
      <c r="B124" t="s">
        <v>386</v>
      </c>
      <c r="C124" t="s">
        <v>387</v>
      </c>
      <c r="D124" t="s">
        <v>25</v>
      </c>
      <c r="E124" t="s">
        <v>26</v>
      </c>
      <c r="F124" t="s">
        <v>388</v>
      </c>
    </row>
    <row r="125" spans="1:6" x14ac:dyDescent="0.3">
      <c r="A125" t="str">
        <f>HYPERLINK("https://hsdes.intel.com/resource/14013160713","14013160713")</f>
        <v>14013160713</v>
      </c>
      <c r="B125" t="s">
        <v>389</v>
      </c>
      <c r="C125" t="s">
        <v>390</v>
      </c>
      <c r="D125" t="s">
        <v>25</v>
      </c>
      <c r="E125" t="s">
        <v>64</v>
      </c>
      <c r="F125" t="s">
        <v>391</v>
      </c>
    </row>
    <row r="126" spans="1:6" x14ac:dyDescent="0.3">
      <c r="A126" t="str">
        <f>HYPERLINK("https://hsdes.intel.com/resource/14013160756","14013160756")</f>
        <v>14013160756</v>
      </c>
      <c r="B126" t="s">
        <v>392</v>
      </c>
      <c r="C126" t="s">
        <v>393</v>
      </c>
      <c r="D126" t="s">
        <v>11</v>
      </c>
      <c r="E126" t="s">
        <v>50</v>
      </c>
      <c r="F126" t="s">
        <v>394</v>
      </c>
    </row>
    <row r="127" spans="1:6" x14ac:dyDescent="0.3">
      <c r="A127" t="str">
        <f>HYPERLINK("https://hsdes.intel.com/resource/14013160760","14013160760")</f>
        <v>14013160760</v>
      </c>
      <c r="B127" t="s">
        <v>395</v>
      </c>
      <c r="C127" t="s">
        <v>396</v>
      </c>
      <c r="D127" t="s">
        <v>11</v>
      </c>
      <c r="E127" t="s">
        <v>16</v>
      </c>
      <c r="F127" t="s">
        <v>397</v>
      </c>
    </row>
    <row r="128" spans="1:6" x14ac:dyDescent="0.3">
      <c r="A128" t="str">
        <f>HYPERLINK("https://hsdes.intel.com/resource/14013160780","14013160780")</f>
        <v>14013160780</v>
      </c>
      <c r="B128" t="s">
        <v>398</v>
      </c>
      <c r="C128" t="s">
        <v>399</v>
      </c>
      <c r="D128" t="s">
        <v>11</v>
      </c>
      <c r="E128" t="s">
        <v>400</v>
      </c>
      <c r="F128" t="s">
        <v>401</v>
      </c>
    </row>
    <row r="129" spans="1:6" x14ac:dyDescent="0.3">
      <c r="A129" t="str">
        <f>HYPERLINK("https://hsdes.intel.com/resource/14013160880","14013160880")</f>
        <v>14013160880</v>
      </c>
      <c r="B129" t="s">
        <v>402</v>
      </c>
      <c r="C129" t="s">
        <v>403</v>
      </c>
      <c r="D129" t="s">
        <v>181</v>
      </c>
      <c r="E129" t="s">
        <v>211</v>
      </c>
      <c r="F129" t="s">
        <v>404</v>
      </c>
    </row>
    <row r="130" spans="1:6" x14ac:dyDescent="0.3">
      <c r="A130" t="str">
        <f>HYPERLINK("https://hsdes.intel.com/resource/14013160910","14013160910")</f>
        <v>14013160910</v>
      </c>
      <c r="B130" t="s">
        <v>405</v>
      </c>
      <c r="C130" t="s">
        <v>406</v>
      </c>
      <c r="D130" t="s">
        <v>11</v>
      </c>
      <c r="E130" t="s">
        <v>194</v>
      </c>
      <c r="F130" t="s">
        <v>407</v>
      </c>
    </row>
    <row r="131" spans="1:6" x14ac:dyDescent="0.3">
      <c r="A131" t="str">
        <f>HYPERLINK("https://hsdes.intel.com/resource/14013160932","14013160932")</f>
        <v>14013160932</v>
      </c>
      <c r="B131" t="s">
        <v>408</v>
      </c>
      <c r="C131" t="s">
        <v>409</v>
      </c>
      <c r="D131" t="s">
        <v>33</v>
      </c>
      <c r="E131" t="s">
        <v>304</v>
      </c>
      <c r="F131" t="s">
        <v>410</v>
      </c>
    </row>
    <row r="132" spans="1:6" x14ac:dyDescent="0.3">
      <c r="A132" t="str">
        <f>HYPERLINK("https://hsdes.intel.com/resource/14013161085","14013161085")</f>
        <v>14013161085</v>
      </c>
      <c r="B132" t="s">
        <v>411</v>
      </c>
      <c r="C132" t="s">
        <v>412</v>
      </c>
      <c r="D132" t="s">
        <v>6</v>
      </c>
      <c r="E132" t="s">
        <v>64</v>
      </c>
      <c r="F132" t="s">
        <v>413</v>
      </c>
    </row>
    <row r="133" spans="1:6" x14ac:dyDescent="0.3">
      <c r="A133" t="str">
        <f>HYPERLINK("https://hsdes.intel.com/resource/14013161102","14013161102")</f>
        <v>14013161102</v>
      </c>
      <c r="B133" t="s">
        <v>414</v>
      </c>
      <c r="C133" t="s">
        <v>415</v>
      </c>
      <c r="D133" t="s">
        <v>6</v>
      </c>
      <c r="E133" t="s">
        <v>211</v>
      </c>
      <c r="F133" t="s">
        <v>416</v>
      </c>
    </row>
    <row r="134" spans="1:6" x14ac:dyDescent="0.3">
      <c r="A134" t="str">
        <f>HYPERLINK("https://hsdes.intel.com/resource/14013161111","14013161111")</f>
        <v>14013161111</v>
      </c>
      <c r="B134" t="s">
        <v>417</v>
      </c>
      <c r="C134" t="s">
        <v>418</v>
      </c>
      <c r="D134" t="s">
        <v>6</v>
      </c>
      <c r="E134" t="s">
        <v>64</v>
      </c>
      <c r="F134" t="s">
        <v>419</v>
      </c>
    </row>
    <row r="135" spans="1:6" x14ac:dyDescent="0.3">
      <c r="A135" t="str">
        <f>HYPERLINK("https://hsdes.intel.com/resource/14013161139","14013161139")</f>
        <v>14013161139</v>
      </c>
      <c r="B135" t="s">
        <v>420</v>
      </c>
      <c r="C135" t="s">
        <v>421</v>
      </c>
      <c r="D135" t="s">
        <v>25</v>
      </c>
      <c r="E135" t="s">
        <v>68</v>
      </c>
      <c r="F135" t="s">
        <v>422</v>
      </c>
    </row>
    <row r="136" spans="1:6" x14ac:dyDescent="0.3">
      <c r="A136" t="str">
        <f>HYPERLINK("https://hsdes.intel.com/resource/14013161178","14013161178")</f>
        <v>14013161178</v>
      </c>
      <c r="B136" t="s">
        <v>423</v>
      </c>
      <c r="C136" t="s">
        <v>424</v>
      </c>
      <c r="D136" t="s">
        <v>20</v>
      </c>
      <c r="E136" t="s">
        <v>43</v>
      </c>
      <c r="F136" t="s">
        <v>425</v>
      </c>
    </row>
    <row r="137" spans="1:6" x14ac:dyDescent="0.3">
      <c r="A137" t="str">
        <f>HYPERLINK("https://hsdes.intel.com/resource/14013161197","14013161197")</f>
        <v>14013161197</v>
      </c>
      <c r="B137" t="s">
        <v>426</v>
      </c>
      <c r="C137" t="s">
        <v>427</v>
      </c>
      <c r="D137" t="s">
        <v>181</v>
      </c>
      <c r="E137" t="s">
        <v>428</v>
      </c>
      <c r="F137" t="s">
        <v>429</v>
      </c>
    </row>
    <row r="138" spans="1:6" x14ac:dyDescent="0.3">
      <c r="A138" t="str">
        <f>HYPERLINK("https://hsdes.intel.com/resource/14013161200","14013161200")</f>
        <v>14013161200</v>
      </c>
      <c r="B138" t="s">
        <v>430</v>
      </c>
      <c r="C138" t="s">
        <v>431</v>
      </c>
      <c r="D138" t="s">
        <v>181</v>
      </c>
      <c r="E138" t="s">
        <v>64</v>
      </c>
      <c r="F138" t="s">
        <v>361</v>
      </c>
    </row>
    <row r="139" spans="1:6" x14ac:dyDescent="0.3">
      <c r="A139" t="str">
        <f>HYPERLINK("https://hsdes.intel.com/resource/14013161203","14013161203")</f>
        <v>14013161203</v>
      </c>
      <c r="B139" t="s">
        <v>432</v>
      </c>
      <c r="C139" t="s">
        <v>433</v>
      </c>
      <c r="D139" t="s">
        <v>181</v>
      </c>
      <c r="E139" t="s">
        <v>428</v>
      </c>
      <c r="F139" t="s">
        <v>434</v>
      </c>
    </row>
    <row r="140" spans="1:6" x14ac:dyDescent="0.3">
      <c r="A140" t="str">
        <f>HYPERLINK("https://hsdes.intel.com/resource/14013161204","14013161204")</f>
        <v>14013161204</v>
      </c>
      <c r="B140" t="s">
        <v>435</v>
      </c>
      <c r="C140" t="s">
        <v>436</v>
      </c>
      <c r="D140" t="s">
        <v>181</v>
      </c>
      <c r="E140" t="s">
        <v>64</v>
      </c>
      <c r="F140" t="s">
        <v>361</v>
      </c>
    </row>
    <row r="141" spans="1:6" x14ac:dyDescent="0.3">
      <c r="A141" t="str">
        <f>HYPERLINK("https://hsdes.intel.com/resource/14013161284","14013161284")</f>
        <v>14013161284</v>
      </c>
      <c r="B141" t="s">
        <v>437</v>
      </c>
      <c r="C141" t="s">
        <v>438</v>
      </c>
      <c r="D141" t="s">
        <v>181</v>
      </c>
      <c r="E141" t="s">
        <v>64</v>
      </c>
      <c r="F141" t="s">
        <v>439</v>
      </c>
    </row>
    <row r="142" spans="1:6" x14ac:dyDescent="0.3">
      <c r="A142" t="str">
        <f>HYPERLINK("https://hsdes.intel.com/resource/14013161288","14013161288")</f>
        <v>14013161288</v>
      </c>
      <c r="B142" t="s">
        <v>440</v>
      </c>
      <c r="C142" t="s">
        <v>441</v>
      </c>
      <c r="D142" t="s">
        <v>181</v>
      </c>
      <c r="E142" t="s">
        <v>64</v>
      </c>
      <c r="F142" t="s">
        <v>442</v>
      </c>
    </row>
    <row r="143" spans="1:6" x14ac:dyDescent="0.3">
      <c r="A143" t="str">
        <f>HYPERLINK("https://hsdes.intel.com/resource/14013161300","14013161300")</f>
        <v>14013161300</v>
      </c>
      <c r="B143" t="s">
        <v>443</v>
      </c>
      <c r="C143" t="s">
        <v>444</v>
      </c>
      <c r="D143" t="s">
        <v>33</v>
      </c>
      <c r="E143" t="s">
        <v>12</v>
      </c>
      <c r="F143" t="s">
        <v>445</v>
      </c>
    </row>
    <row r="144" spans="1:6" x14ac:dyDescent="0.3">
      <c r="A144" t="str">
        <f>HYPERLINK("https://hsdes.intel.com/resource/14013161304","14013161304")</f>
        <v>14013161304</v>
      </c>
      <c r="B144" t="s">
        <v>446</v>
      </c>
      <c r="C144" t="s">
        <v>447</v>
      </c>
      <c r="D144" t="s">
        <v>33</v>
      </c>
      <c r="E144" t="s">
        <v>12</v>
      </c>
      <c r="F144" t="s">
        <v>448</v>
      </c>
    </row>
    <row r="145" spans="1:6" x14ac:dyDescent="0.3">
      <c r="A145" t="str">
        <f>HYPERLINK("https://hsdes.intel.com/resource/14013161309","14013161309")</f>
        <v>14013161309</v>
      </c>
      <c r="B145" t="s">
        <v>449</v>
      </c>
      <c r="C145" t="s">
        <v>450</v>
      </c>
      <c r="D145" t="s">
        <v>100</v>
      </c>
      <c r="E145" t="s">
        <v>451</v>
      </c>
      <c r="F145" t="s">
        <v>452</v>
      </c>
    </row>
    <row r="146" spans="1:6" x14ac:dyDescent="0.3">
      <c r="A146" t="str">
        <f>HYPERLINK("https://hsdes.intel.com/resource/14013161312","14013161312")</f>
        <v>14013161312</v>
      </c>
      <c r="B146" t="s">
        <v>453</v>
      </c>
      <c r="C146" t="s">
        <v>454</v>
      </c>
      <c r="D146" t="s">
        <v>20</v>
      </c>
      <c r="E146" t="s">
        <v>241</v>
      </c>
      <c r="F146" t="s">
        <v>455</v>
      </c>
    </row>
    <row r="147" spans="1:6" x14ac:dyDescent="0.3">
      <c r="A147" t="str">
        <f>HYPERLINK("https://hsdes.intel.com/resource/14013161454","14013161454")</f>
        <v>14013161454</v>
      </c>
      <c r="B147" t="s">
        <v>456</v>
      </c>
      <c r="C147" t="s">
        <v>457</v>
      </c>
      <c r="D147" t="s">
        <v>25</v>
      </c>
      <c r="E147" t="s">
        <v>68</v>
      </c>
      <c r="F147" t="s">
        <v>458</v>
      </c>
    </row>
    <row r="148" spans="1:6" x14ac:dyDescent="0.3">
      <c r="A148" t="str">
        <f>HYPERLINK("https://hsdes.intel.com/resource/14013161482","14013161482")</f>
        <v>14013161482</v>
      </c>
      <c r="B148" t="s">
        <v>459</v>
      </c>
      <c r="C148" t="s">
        <v>460</v>
      </c>
      <c r="D148" t="s">
        <v>25</v>
      </c>
      <c r="E148" t="s">
        <v>64</v>
      </c>
      <c r="F148" t="s">
        <v>461</v>
      </c>
    </row>
    <row r="149" spans="1:6" x14ac:dyDescent="0.3">
      <c r="A149" t="str">
        <f>HYPERLINK("https://hsdes.intel.com/resource/14013161487","14013161487")</f>
        <v>14013161487</v>
      </c>
      <c r="B149" t="s">
        <v>462</v>
      </c>
      <c r="C149" t="s">
        <v>463</v>
      </c>
      <c r="D149" t="s">
        <v>25</v>
      </c>
      <c r="E149" t="s">
        <v>64</v>
      </c>
      <c r="F149" t="s">
        <v>461</v>
      </c>
    </row>
    <row r="150" spans="1:6" x14ac:dyDescent="0.3">
      <c r="A150" t="str">
        <f>HYPERLINK("https://hsdes.intel.com/resource/14013161489","14013161489")</f>
        <v>14013161489</v>
      </c>
      <c r="B150" t="s">
        <v>464</v>
      </c>
      <c r="C150" t="s">
        <v>465</v>
      </c>
      <c r="D150" t="s">
        <v>25</v>
      </c>
      <c r="E150" t="s">
        <v>64</v>
      </c>
      <c r="F150" t="s">
        <v>461</v>
      </c>
    </row>
    <row r="151" spans="1:6" x14ac:dyDescent="0.3">
      <c r="A151" t="str">
        <f>HYPERLINK("https://hsdes.intel.com/resource/14013161528","14013161528")</f>
        <v>14013161528</v>
      </c>
      <c r="B151" t="s">
        <v>466</v>
      </c>
      <c r="C151" t="s">
        <v>467</v>
      </c>
      <c r="D151" t="s">
        <v>181</v>
      </c>
      <c r="E151" t="s">
        <v>211</v>
      </c>
      <c r="F151" t="s">
        <v>385</v>
      </c>
    </row>
    <row r="152" spans="1:6" x14ac:dyDescent="0.3">
      <c r="A152" t="str">
        <f>HYPERLINK("https://hsdes.intel.com/resource/14013161555","14013161555")</f>
        <v>14013161555</v>
      </c>
      <c r="B152" t="s">
        <v>468</v>
      </c>
      <c r="C152" t="s">
        <v>469</v>
      </c>
      <c r="D152" t="s">
        <v>20</v>
      </c>
      <c r="E152" t="s">
        <v>266</v>
      </c>
      <c r="F152" t="s">
        <v>470</v>
      </c>
    </row>
    <row r="153" spans="1:6" x14ac:dyDescent="0.3">
      <c r="A153" t="str">
        <f>HYPERLINK("https://hsdes.intel.com/resource/14013161576","14013161576")</f>
        <v>14013161576</v>
      </c>
      <c r="B153" t="s">
        <v>471</v>
      </c>
      <c r="C153" t="s">
        <v>472</v>
      </c>
      <c r="D153" t="s">
        <v>25</v>
      </c>
      <c r="E153" t="s">
        <v>64</v>
      </c>
      <c r="F153" t="s">
        <v>473</v>
      </c>
    </row>
    <row r="154" spans="1:6" x14ac:dyDescent="0.3">
      <c r="A154" t="str">
        <f>HYPERLINK("https://hsdes.intel.com/resource/14013161592","14013161592")</f>
        <v>14013161592</v>
      </c>
      <c r="B154" t="s">
        <v>474</v>
      </c>
      <c r="C154" t="s">
        <v>475</v>
      </c>
      <c r="D154" t="s">
        <v>11</v>
      </c>
      <c r="E154" t="s">
        <v>12</v>
      </c>
      <c r="F154" t="s">
        <v>476</v>
      </c>
    </row>
    <row r="155" spans="1:6" x14ac:dyDescent="0.3">
      <c r="A155" t="str">
        <f>HYPERLINK("https://hsdes.intel.com/resource/14013161602","14013161602")</f>
        <v>14013161602</v>
      </c>
      <c r="B155" t="s">
        <v>477</v>
      </c>
      <c r="C155" t="s">
        <v>478</v>
      </c>
      <c r="D155" t="s">
        <v>20</v>
      </c>
      <c r="E155" t="s">
        <v>21</v>
      </c>
      <c r="F155" t="s">
        <v>479</v>
      </c>
    </row>
    <row r="156" spans="1:6" x14ac:dyDescent="0.3">
      <c r="A156" t="str">
        <f>HYPERLINK("https://hsdes.intel.com/resource/14013161623","14013161623")</f>
        <v>14013161623</v>
      </c>
      <c r="B156" t="s">
        <v>480</v>
      </c>
      <c r="C156" t="s">
        <v>481</v>
      </c>
      <c r="D156" t="s">
        <v>181</v>
      </c>
      <c r="E156" t="s">
        <v>64</v>
      </c>
      <c r="F156" t="s">
        <v>361</v>
      </c>
    </row>
    <row r="157" spans="1:6" x14ac:dyDescent="0.3">
      <c r="A157" t="str">
        <f>HYPERLINK("https://hsdes.intel.com/resource/14013161629","14013161629")</f>
        <v>14013161629</v>
      </c>
      <c r="B157" t="s">
        <v>482</v>
      </c>
      <c r="C157" t="s">
        <v>483</v>
      </c>
      <c r="D157" t="s">
        <v>181</v>
      </c>
      <c r="E157" t="s">
        <v>64</v>
      </c>
      <c r="F157" t="s">
        <v>361</v>
      </c>
    </row>
    <row r="158" spans="1:6" x14ac:dyDescent="0.3">
      <c r="A158" t="str">
        <f>HYPERLINK("https://hsdes.intel.com/resource/14013161630","14013161630")</f>
        <v>14013161630</v>
      </c>
      <c r="B158" t="s">
        <v>484</v>
      </c>
      <c r="C158" t="s">
        <v>485</v>
      </c>
      <c r="D158" t="s">
        <v>181</v>
      </c>
      <c r="E158" t="s">
        <v>64</v>
      </c>
      <c r="F158" t="s">
        <v>361</v>
      </c>
    </row>
    <row r="159" spans="1:6" x14ac:dyDescent="0.3">
      <c r="A159" t="str">
        <f>HYPERLINK("https://hsdes.intel.com/resource/14013161633","14013161633")</f>
        <v>14013161633</v>
      </c>
      <c r="B159" t="s">
        <v>486</v>
      </c>
      <c r="C159" t="s">
        <v>487</v>
      </c>
      <c r="D159" t="s">
        <v>181</v>
      </c>
      <c r="E159" t="s">
        <v>64</v>
      </c>
      <c r="F159" t="s">
        <v>488</v>
      </c>
    </row>
    <row r="160" spans="1:6" x14ac:dyDescent="0.3">
      <c r="A160" t="str">
        <f>HYPERLINK("https://hsdes.intel.com/resource/14013161693","14013161693")</f>
        <v>14013161693</v>
      </c>
      <c r="B160" t="s">
        <v>489</v>
      </c>
      <c r="C160" t="s">
        <v>490</v>
      </c>
      <c r="D160" t="s">
        <v>181</v>
      </c>
      <c r="E160" t="s">
        <v>64</v>
      </c>
      <c r="F160" t="s">
        <v>491</v>
      </c>
    </row>
    <row r="161" spans="1:6" x14ac:dyDescent="0.3">
      <c r="A161" t="str">
        <f>HYPERLINK("https://hsdes.intel.com/resource/14013161731","14013161731")</f>
        <v>14013161731</v>
      </c>
      <c r="B161" t="s">
        <v>492</v>
      </c>
      <c r="C161" t="s">
        <v>493</v>
      </c>
      <c r="D161" t="s">
        <v>181</v>
      </c>
      <c r="E161" t="s">
        <v>64</v>
      </c>
      <c r="F161" t="s">
        <v>494</v>
      </c>
    </row>
    <row r="162" spans="1:6" x14ac:dyDescent="0.3">
      <c r="A162" t="str">
        <f>HYPERLINK("https://hsdes.intel.com/resource/14013161809","14013161809")</f>
        <v>14013161809</v>
      </c>
      <c r="B162" t="s">
        <v>495</v>
      </c>
      <c r="C162" t="s">
        <v>496</v>
      </c>
      <c r="D162" t="s">
        <v>181</v>
      </c>
      <c r="E162" t="s">
        <v>21</v>
      </c>
      <c r="F162" t="s">
        <v>497</v>
      </c>
    </row>
    <row r="163" spans="1:6" x14ac:dyDescent="0.3">
      <c r="A163" t="str">
        <f>HYPERLINK("https://hsdes.intel.com/resource/14013161879","14013161879")</f>
        <v>14013161879</v>
      </c>
      <c r="B163" t="s">
        <v>498</v>
      </c>
      <c r="C163" t="s">
        <v>499</v>
      </c>
      <c r="D163" t="s">
        <v>11</v>
      </c>
      <c r="E163" t="s">
        <v>16</v>
      </c>
      <c r="F163" t="s">
        <v>500</v>
      </c>
    </row>
    <row r="164" spans="1:6" x14ac:dyDescent="0.3">
      <c r="A164" t="str">
        <f>HYPERLINK("https://hsdes.intel.com/resource/14013161920","14013161920")</f>
        <v>14013161920</v>
      </c>
      <c r="B164" t="s">
        <v>501</v>
      </c>
      <c r="C164" t="s">
        <v>502</v>
      </c>
      <c r="D164" t="s">
        <v>25</v>
      </c>
      <c r="E164" t="s">
        <v>503</v>
      </c>
      <c r="F164" t="s">
        <v>504</v>
      </c>
    </row>
    <row r="165" spans="1:6" x14ac:dyDescent="0.3">
      <c r="A165" t="str">
        <f>HYPERLINK("https://hsdes.intel.com/resource/14013161931","14013161931")</f>
        <v>14013161931</v>
      </c>
      <c r="B165" t="s">
        <v>505</v>
      </c>
      <c r="C165" t="s">
        <v>506</v>
      </c>
      <c r="D165" t="s">
        <v>33</v>
      </c>
      <c r="E165" t="s">
        <v>21</v>
      </c>
      <c r="F165" t="s">
        <v>507</v>
      </c>
    </row>
    <row r="166" spans="1:6" x14ac:dyDescent="0.3">
      <c r="A166" t="str">
        <f>HYPERLINK("https://hsdes.intel.com/resource/14013161969","14013161969")</f>
        <v>14013161969</v>
      </c>
      <c r="B166" t="s">
        <v>508</v>
      </c>
      <c r="C166" t="s">
        <v>509</v>
      </c>
      <c r="D166" t="s">
        <v>20</v>
      </c>
      <c r="E166" t="s">
        <v>12</v>
      </c>
      <c r="F166" t="s">
        <v>510</v>
      </c>
    </row>
    <row r="167" spans="1:6" x14ac:dyDescent="0.3">
      <c r="A167" t="str">
        <f>HYPERLINK("https://hsdes.intel.com/resource/14013162056","14013162056")</f>
        <v>14013162056</v>
      </c>
      <c r="B167" t="s">
        <v>511</v>
      </c>
      <c r="C167" t="s">
        <v>512</v>
      </c>
      <c r="D167" t="s">
        <v>25</v>
      </c>
      <c r="E167" t="s">
        <v>503</v>
      </c>
      <c r="F167" t="s">
        <v>513</v>
      </c>
    </row>
    <row r="168" spans="1:6" x14ac:dyDescent="0.3">
      <c r="A168" t="str">
        <f>HYPERLINK("https://hsdes.intel.com/resource/14013162059","14013162059")</f>
        <v>14013162059</v>
      </c>
      <c r="B168" t="s">
        <v>514</v>
      </c>
      <c r="C168" t="s">
        <v>515</v>
      </c>
      <c r="D168" t="s">
        <v>25</v>
      </c>
      <c r="E168" t="s">
        <v>503</v>
      </c>
      <c r="F168" t="s">
        <v>513</v>
      </c>
    </row>
    <row r="169" spans="1:6" x14ac:dyDescent="0.3">
      <c r="A169" t="str">
        <f>HYPERLINK("https://hsdes.intel.com/resource/14013162062","14013162062")</f>
        <v>14013162062</v>
      </c>
      <c r="B169" t="s">
        <v>516</v>
      </c>
      <c r="C169" t="s">
        <v>517</v>
      </c>
      <c r="D169" t="s">
        <v>25</v>
      </c>
      <c r="E169" t="s">
        <v>26</v>
      </c>
      <c r="F169" t="s">
        <v>504</v>
      </c>
    </row>
    <row r="170" spans="1:6" x14ac:dyDescent="0.3">
      <c r="A170" t="str">
        <f>HYPERLINK("https://hsdes.intel.com/resource/14013162108","14013162108")</f>
        <v>14013162108</v>
      </c>
      <c r="B170" t="s">
        <v>518</v>
      </c>
      <c r="C170" t="s">
        <v>519</v>
      </c>
      <c r="D170" t="s">
        <v>25</v>
      </c>
      <c r="E170" t="s">
        <v>68</v>
      </c>
      <c r="F170" t="s">
        <v>458</v>
      </c>
    </row>
    <row r="171" spans="1:6" x14ac:dyDescent="0.3">
      <c r="A171" t="str">
        <f>HYPERLINK("https://hsdes.intel.com/resource/14013162132","14013162132")</f>
        <v>14013162132</v>
      </c>
      <c r="B171" t="s">
        <v>520</v>
      </c>
      <c r="C171" t="s">
        <v>521</v>
      </c>
      <c r="D171" t="s">
        <v>25</v>
      </c>
      <c r="E171" t="s">
        <v>68</v>
      </c>
      <c r="F171" t="s">
        <v>458</v>
      </c>
    </row>
    <row r="172" spans="1:6" x14ac:dyDescent="0.3">
      <c r="A172" t="str">
        <f>HYPERLINK("https://hsdes.intel.com/resource/14013162168","14013162168")</f>
        <v>14013162168</v>
      </c>
      <c r="B172" t="s">
        <v>522</v>
      </c>
      <c r="C172" t="s">
        <v>523</v>
      </c>
      <c r="D172" t="s">
        <v>25</v>
      </c>
      <c r="E172" t="s">
        <v>68</v>
      </c>
      <c r="F172" t="s">
        <v>524</v>
      </c>
    </row>
    <row r="173" spans="1:6" x14ac:dyDescent="0.3">
      <c r="A173" t="str">
        <f>HYPERLINK("https://hsdes.intel.com/resource/14013162175","14013162175")</f>
        <v>14013162175</v>
      </c>
      <c r="B173" t="s">
        <v>525</v>
      </c>
      <c r="C173" t="s">
        <v>526</v>
      </c>
      <c r="D173" t="s">
        <v>100</v>
      </c>
      <c r="E173" t="s">
        <v>64</v>
      </c>
      <c r="F173" t="s">
        <v>527</v>
      </c>
    </row>
    <row r="174" spans="1:6" x14ac:dyDescent="0.3">
      <c r="A174" t="str">
        <f>HYPERLINK("https://hsdes.intel.com/resource/14013162385","14013162385")</f>
        <v>14013162385</v>
      </c>
      <c r="B174" t="s">
        <v>528</v>
      </c>
      <c r="C174" t="s">
        <v>529</v>
      </c>
      <c r="D174" t="s">
        <v>181</v>
      </c>
      <c r="E174" t="s">
        <v>64</v>
      </c>
      <c r="F174" t="s">
        <v>530</v>
      </c>
    </row>
    <row r="175" spans="1:6" x14ac:dyDescent="0.3">
      <c r="A175" t="str">
        <f>HYPERLINK("https://hsdes.intel.com/resource/14013162406","14013162406")</f>
        <v>14013162406</v>
      </c>
      <c r="B175" t="s">
        <v>531</v>
      </c>
      <c r="C175" t="s">
        <v>532</v>
      </c>
      <c r="D175" t="s">
        <v>181</v>
      </c>
      <c r="E175" t="s">
        <v>64</v>
      </c>
      <c r="F175" t="s">
        <v>533</v>
      </c>
    </row>
    <row r="176" spans="1:6" x14ac:dyDescent="0.3">
      <c r="A176" t="str">
        <f>HYPERLINK("https://hsdes.intel.com/resource/14013162416","14013162416")</f>
        <v>14013162416</v>
      </c>
      <c r="B176" t="s">
        <v>534</v>
      </c>
      <c r="C176" t="s">
        <v>535</v>
      </c>
      <c r="D176" t="s">
        <v>181</v>
      </c>
      <c r="E176" t="s">
        <v>21</v>
      </c>
      <c r="F176" t="s">
        <v>536</v>
      </c>
    </row>
    <row r="177" spans="1:6" x14ac:dyDescent="0.3">
      <c r="A177" t="str">
        <f>HYPERLINK("https://hsdes.intel.com/resource/14013162422","14013162422")</f>
        <v>14013162422</v>
      </c>
      <c r="B177" t="s">
        <v>537</v>
      </c>
      <c r="C177" t="s">
        <v>538</v>
      </c>
      <c r="D177" t="s">
        <v>181</v>
      </c>
      <c r="E177" t="s">
        <v>21</v>
      </c>
      <c r="F177" t="s">
        <v>536</v>
      </c>
    </row>
    <row r="178" spans="1:6" x14ac:dyDescent="0.3">
      <c r="A178" t="str">
        <f>HYPERLINK("https://hsdes.intel.com/resource/14013162431","14013162431")</f>
        <v>14013162431</v>
      </c>
      <c r="B178" t="s">
        <v>539</v>
      </c>
      <c r="C178" t="s">
        <v>540</v>
      </c>
      <c r="D178" t="s">
        <v>181</v>
      </c>
      <c r="E178" t="s">
        <v>21</v>
      </c>
      <c r="F178" t="s">
        <v>541</v>
      </c>
    </row>
    <row r="179" spans="1:6" x14ac:dyDescent="0.3">
      <c r="A179" t="str">
        <f>HYPERLINK("https://hsdes.intel.com/resource/14013162433","14013162433")</f>
        <v>14013162433</v>
      </c>
      <c r="B179" t="s">
        <v>542</v>
      </c>
      <c r="C179" t="s">
        <v>543</v>
      </c>
      <c r="D179" t="s">
        <v>181</v>
      </c>
      <c r="E179" t="s">
        <v>21</v>
      </c>
      <c r="F179" t="s">
        <v>544</v>
      </c>
    </row>
    <row r="180" spans="1:6" x14ac:dyDescent="0.3">
      <c r="A180" t="str">
        <f>HYPERLINK("https://hsdes.intel.com/resource/14013162499","14013162499")</f>
        <v>14013162499</v>
      </c>
      <c r="B180" t="s">
        <v>545</v>
      </c>
      <c r="C180" t="s">
        <v>546</v>
      </c>
      <c r="D180" t="s">
        <v>33</v>
      </c>
      <c r="E180" t="s">
        <v>21</v>
      </c>
      <c r="F180" t="s">
        <v>547</v>
      </c>
    </row>
    <row r="181" spans="1:6" x14ac:dyDescent="0.3">
      <c r="A181" t="str">
        <f>HYPERLINK("https://hsdes.intel.com/resource/14013162509","14013162509")</f>
        <v>14013162509</v>
      </c>
      <c r="B181" t="s">
        <v>548</v>
      </c>
      <c r="C181" t="s">
        <v>549</v>
      </c>
      <c r="D181" t="s">
        <v>33</v>
      </c>
      <c r="E181" t="s">
        <v>21</v>
      </c>
      <c r="F181" t="s">
        <v>550</v>
      </c>
    </row>
    <row r="182" spans="1:6" x14ac:dyDescent="0.3">
      <c r="A182" t="str">
        <f>HYPERLINK("https://hsdes.intel.com/resource/14013162512","14013162512")</f>
        <v>14013162512</v>
      </c>
      <c r="B182" t="s">
        <v>551</v>
      </c>
      <c r="C182" t="s">
        <v>552</v>
      </c>
      <c r="D182" t="s">
        <v>33</v>
      </c>
      <c r="E182" t="s">
        <v>21</v>
      </c>
      <c r="F182" t="s">
        <v>547</v>
      </c>
    </row>
    <row r="183" spans="1:6" x14ac:dyDescent="0.3">
      <c r="A183" t="str">
        <f>HYPERLINK("https://hsdes.intel.com/resource/14013162515","14013162515")</f>
        <v>14013162515</v>
      </c>
      <c r="B183" t="s">
        <v>553</v>
      </c>
      <c r="C183" t="s">
        <v>554</v>
      </c>
      <c r="D183" t="s">
        <v>33</v>
      </c>
      <c r="E183" t="s">
        <v>21</v>
      </c>
      <c r="F183" t="s">
        <v>550</v>
      </c>
    </row>
    <row r="184" spans="1:6" x14ac:dyDescent="0.3">
      <c r="A184" t="str">
        <f>HYPERLINK("https://hsdes.intel.com/resource/14013162517","14013162517")</f>
        <v>14013162517</v>
      </c>
      <c r="B184" t="s">
        <v>555</v>
      </c>
      <c r="C184" t="s">
        <v>556</v>
      </c>
      <c r="D184" t="s">
        <v>33</v>
      </c>
      <c r="E184" t="s">
        <v>21</v>
      </c>
      <c r="F184" t="s">
        <v>550</v>
      </c>
    </row>
    <row r="185" spans="1:6" x14ac:dyDescent="0.3">
      <c r="A185" t="str">
        <f>HYPERLINK("https://hsdes.intel.com/resource/14013162538","14013162538")</f>
        <v>14013162538</v>
      </c>
      <c r="B185" t="s">
        <v>557</v>
      </c>
      <c r="C185" t="s">
        <v>558</v>
      </c>
      <c r="D185" t="s">
        <v>33</v>
      </c>
      <c r="E185" t="s">
        <v>129</v>
      </c>
      <c r="F185" t="s">
        <v>559</v>
      </c>
    </row>
    <row r="186" spans="1:6" x14ac:dyDescent="0.3">
      <c r="A186" t="str">
        <f>HYPERLINK("https://hsdes.intel.com/resource/14013162548","14013162548")</f>
        <v>14013162548</v>
      </c>
      <c r="B186" t="s">
        <v>560</v>
      </c>
      <c r="C186" t="s">
        <v>561</v>
      </c>
      <c r="D186" t="s">
        <v>25</v>
      </c>
      <c r="E186" t="s">
        <v>12</v>
      </c>
      <c r="F186" t="s">
        <v>562</v>
      </c>
    </row>
    <row r="187" spans="1:6" x14ac:dyDescent="0.3">
      <c r="A187" t="str">
        <f>HYPERLINK("https://hsdes.intel.com/resource/14013162551","14013162551")</f>
        <v>14013162551</v>
      </c>
      <c r="B187" t="s">
        <v>563</v>
      </c>
      <c r="C187" t="s">
        <v>564</v>
      </c>
      <c r="D187" t="s">
        <v>25</v>
      </c>
      <c r="E187" t="s">
        <v>68</v>
      </c>
      <c r="F187" t="s">
        <v>565</v>
      </c>
    </row>
    <row r="188" spans="1:6" x14ac:dyDescent="0.3">
      <c r="A188" t="str">
        <f>HYPERLINK("https://hsdes.intel.com/resource/14013162577","14013162577")</f>
        <v>14013162577</v>
      </c>
      <c r="B188" t="s">
        <v>566</v>
      </c>
      <c r="C188" t="s">
        <v>567</v>
      </c>
      <c r="D188" t="s">
        <v>33</v>
      </c>
      <c r="E188" t="s">
        <v>21</v>
      </c>
      <c r="F188" t="s">
        <v>547</v>
      </c>
    </row>
    <row r="189" spans="1:6" x14ac:dyDescent="0.3">
      <c r="A189" t="str">
        <f>HYPERLINK("https://hsdes.intel.com/resource/14013162764","14013162764")</f>
        <v>14013162764</v>
      </c>
      <c r="B189" t="s">
        <v>568</v>
      </c>
      <c r="C189" t="s">
        <v>569</v>
      </c>
      <c r="D189" t="s">
        <v>20</v>
      </c>
      <c r="E189" t="s">
        <v>21</v>
      </c>
      <c r="F189" t="s">
        <v>570</v>
      </c>
    </row>
    <row r="190" spans="1:6" x14ac:dyDescent="0.3">
      <c r="A190" t="str">
        <f>HYPERLINK("https://hsdes.intel.com/resource/14013162847","14013162847")</f>
        <v>14013162847</v>
      </c>
      <c r="B190" t="s">
        <v>571</v>
      </c>
      <c r="C190" t="s">
        <v>572</v>
      </c>
      <c r="D190" t="s">
        <v>11</v>
      </c>
      <c r="E190" t="s">
        <v>573</v>
      </c>
      <c r="F190" t="s">
        <v>574</v>
      </c>
    </row>
    <row r="191" spans="1:6" x14ac:dyDescent="0.3">
      <c r="A191" t="str">
        <f>HYPERLINK("https://hsdes.intel.com/resource/14013162852","14013162852")</f>
        <v>14013162852</v>
      </c>
      <c r="B191" t="s">
        <v>575</v>
      </c>
      <c r="C191" t="s">
        <v>576</v>
      </c>
      <c r="D191" t="s">
        <v>20</v>
      </c>
      <c r="E191" t="s">
        <v>21</v>
      </c>
      <c r="F191" t="s">
        <v>577</v>
      </c>
    </row>
    <row r="192" spans="1:6" x14ac:dyDescent="0.3">
      <c r="A192" t="str">
        <f>HYPERLINK("https://hsdes.intel.com/resource/14013162869","14013162869")</f>
        <v>14013162869</v>
      </c>
      <c r="B192" t="s">
        <v>578</v>
      </c>
      <c r="C192" t="s">
        <v>579</v>
      </c>
      <c r="D192" t="s">
        <v>33</v>
      </c>
      <c r="E192" t="s">
        <v>21</v>
      </c>
      <c r="F192" t="s">
        <v>580</v>
      </c>
    </row>
    <row r="193" spans="1:6" x14ac:dyDescent="0.3">
      <c r="A193" t="str">
        <f>HYPERLINK("https://hsdes.intel.com/resource/14013162983","14013162983")</f>
        <v>14013162983</v>
      </c>
      <c r="B193" t="s">
        <v>581</v>
      </c>
      <c r="C193" t="s">
        <v>582</v>
      </c>
      <c r="D193" t="s">
        <v>20</v>
      </c>
      <c r="E193" t="s">
        <v>12</v>
      </c>
      <c r="F193" t="s">
        <v>583</v>
      </c>
    </row>
    <row r="194" spans="1:6" x14ac:dyDescent="0.3">
      <c r="A194" t="str">
        <f>HYPERLINK("https://hsdes.intel.com/resource/14013163063","14013163063")</f>
        <v>14013163063</v>
      </c>
      <c r="B194" t="s">
        <v>584</v>
      </c>
      <c r="C194" t="s">
        <v>585</v>
      </c>
      <c r="D194" t="s">
        <v>11</v>
      </c>
      <c r="E194" t="s">
        <v>16</v>
      </c>
      <c r="F194" t="s">
        <v>586</v>
      </c>
    </row>
    <row r="195" spans="1:6" x14ac:dyDescent="0.3">
      <c r="A195" t="str">
        <f>HYPERLINK("https://hsdes.intel.com/resource/14013163067","14013163067")</f>
        <v>14013163067</v>
      </c>
      <c r="B195" t="s">
        <v>587</v>
      </c>
      <c r="C195" t="s">
        <v>588</v>
      </c>
      <c r="D195" t="s">
        <v>11</v>
      </c>
      <c r="E195" t="s">
        <v>573</v>
      </c>
      <c r="F195" t="s">
        <v>589</v>
      </c>
    </row>
    <row r="196" spans="1:6" x14ac:dyDescent="0.3">
      <c r="A196" t="str">
        <f>HYPERLINK("https://hsdes.intel.com/resource/14013163080","14013163080")</f>
        <v>14013163080</v>
      </c>
      <c r="B196" t="s">
        <v>590</v>
      </c>
      <c r="C196" t="s">
        <v>591</v>
      </c>
      <c r="D196" t="s">
        <v>100</v>
      </c>
      <c r="E196" t="s">
        <v>311</v>
      </c>
      <c r="F196" t="s">
        <v>592</v>
      </c>
    </row>
    <row r="197" spans="1:6" x14ac:dyDescent="0.3">
      <c r="A197" t="str">
        <f>HYPERLINK("https://hsdes.intel.com/resource/14013163101","14013163101")</f>
        <v>14013163101</v>
      </c>
      <c r="B197" t="s">
        <v>593</v>
      </c>
      <c r="C197" t="s">
        <v>594</v>
      </c>
      <c r="D197" t="s">
        <v>6</v>
      </c>
      <c r="E197" t="s">
        <v>64</v>
      </c>
      <c r="F197" t="s">
        <v>595</v>
      </c>
    </row>
    <row r="198" spans="1:6" x14ac:dyDescent="0.3">
      <c r="A198" t="str">
        <f>HYPERLINK("https://hsdes.intel.com/resource/14013163150","14013163150")</f>
        <v>14013163150</v>
      </c>
      <c r="B198" t="s">
        <v>596</v>
      </c>
      <c r="C198" t="s">
        <v>597</v>
      </c>
      <c r="D198" t="s">
        <v>11</v>
      </c>
      <c r="E198" t="s">
        <v>194</v>
      </c>
      <c r="F198" t="s">
        <v>598</v>
      </c>
    </row>
    <row r="199" spans="1:6" x14ac:dyDescent="0.3">
      <c r="A199" t="str">
        <f>HYPERLINK("https://hsdes.intel.com/resource/14013163162","14013163162")</f>
        <v>14013163162</v>
      </c>
      <c r="B199" t="s">
        <v>599</v>
      </c>
      <c r="C199" t="s">
        <v>600</v>
      </c>
      <c r="D199" t="s">
        <v>6</v>
      </c>
      <c r="E199" t="s">
        <v>7</v>
      </c>
      <c r="F199" t="s">
        <v>601</v>
      </c>
    </row>
    <row r="200" spans="1:6" x14ac:dyDescent="0.3">
      <c r="A200" t="str">
        <f>HYPERLINK("https://hsdes.intel.com/resource/14013163191","14013163191")</f>
        <v>14013163191</v>
      </c>
      <c r="B200" t="s">
        <v>602</v>
      </c>
      <c r="C200" t="s">
        <v>603</v>
      </c>
      <c r="D200" t="s">
        <v>11</v>
      </c>
      <c r="E200" t="s">
        <v>16</v>
      </c>
      <c r="F200" t="s">
        <v>604</v>
      </c>
    </row>
    <row r="201" spans="1:6" x14ac:dyDescent="0.3">
      <c r="A201" t="str">
        <f>HYPERLINK("https://hsdes.intel.com/resource/14013163199","14013163199")</f>
        <v>14013163199</v>
      </c>
      <c r="B201" t="s">
        <v>605</v>
      </c>
      <c r="C201" t="s">
        <v>606</v>
      </c>
      <c r="D201" t="s">
        <v>25</v>
      </c>
      <c r="E201" t="s">
        <v>75</v>
      </c>
      <c r="F201" t="s">
        <v>607</v>
      </c>
    </row>
    <row r="202" spans="1:6" x14ac:dyDescent="0.3">
      <c r="A202" t="str">
        <f>HYPERLINK("https://hsdes.intel.com/resource/14013163232","14013163232")</f>
        <v>14013163232</v>
      </c>
      <c r="B202" t="s">
        <v>608</v>
      </c>
      <c r="C202" t="s">
        <v>609</v>
      </c>
      <c r="D202" t="s">
        <v>11</v>
      </c>
      <c r="E202" t="s">
        <v>16</v>
      </c>
      <c r="F202" t="s">
        <v>610</v>
      </c>
    </row>
    <row r="203" spans="1:6" x14ac:dyDescent="0.3">
      <c r="A203" t="str">
        <f>HYPERLINK("https://hsdes.intel.com/resource/14013163281","14013163281")</f>
        <v>14013163281</v>
      </c>
      <c r="B203" t="s">
        <v>611</v>
      </c>
      <c r="C203" t="s">
        <v>612</v>
      </c>
      <c r="D203" t="s">
        <v>11</v>
      </c>
      <c r="E203" t="s">
        <v>16</v>
      </c>
      <c r="F203" t="s">
        <v>613</v>
      </c>
    </row>
    <row r="204" spans="1:6" x14ac:dyDescent="0.3">
      <c r="A204" t="str">
        <f>HYPERLINK("https://hsdes.intel.com/resource/14013163289","14013163289")</f>
        <v>14013163289</v>
      </c>
      <c r="B204" t="s">
        <v>614</v>
      </c>
      <c r="C204" t="s">
        <v>615</v>
      </c>
      <c r="D204" t="s">
        <v>11</v>
      </c>
      <c r="E204" t="s">
        <v>616</v>
      </c>
      <c r="F204" t="s">
        <v>617</v>
      </c>
    </row>
    <row r="205" spans="1:6" x14ac:dyDescent="0.3">
      <c r="A205" t="str">
        <f>HYPERLINK("https://hsdes.intel.com/resource/14013163310","14013163310")</f>
        <v>14013163310</v>
      </c>
      <c r="B205" t="s">
        <v>618</v>
      </c>
      <c r="C205" t="s">
        <v>619</v>
      </c>
      <c r="D205" t="s">
        <v>20</v>
      </c>
      <c r="E205" t="s">
        <v>241</v>
      </c>
      <c r="F205" t="s">
        <v>76</v>
      </c>
    </row>
    <row r="206" spans="1:6" x14ac:dyDescent="0.3">
      <c r="A206" t="str">
        <f>HYPERLINK("https://hsdes.intel.com/resource/14013163315","14013163315")</f>
        <v>14013163315</v>
      </c>
      <c r="B206" t="s">
        <v>620</v>
      </c>
      <c r="C206" t="s">
        <v>621</v>
      </c>
      <c r="D206" t="s">
        <v>11</v>
      </c>
      <c r="E206" t="s">
        <v>573</v>
      </c>
      <c r="F206" t="s">
        <v>622</v>
      </c>
    </row>
    <row r="207" spans="1:6" x14ac:dyDescent="0.3">
      <c r="A207" t="str">
        <f>HYPERLINK("https://hsdes.intel.com/resource/14013163332","14013163332")</f>
        <v>14013163332</v>
      </c>
      <c r="B207" t="s">
        <v>623</v>
      </c>
      <c r="C207" t="s">
        <v>624</v>
      </c>
      <c r="D207" t="s">
        <v>11</v>
      </c>
      <c r="E207" t="s">
        <v>573</v>
      </c>
      <c r="F207" t="s">
        <v>625</v>
      </c>
    </row>
    <row r="208" spans="1:6" x14ac:dyDescent="0.3">
      <c r="A208" t="str">
        <f>HYPERLINK("https://hsdes.intel.com/resource/14013163339","14013163339")</f>
        <v>14013163339</v>
      </c>
      <c r="B208" t="s">
        <v>626</v>
      </c>
      <c r="C208" t="s">
        <v>627</v>
      </c>
      <c r="D208" t="s">
        <v>11</v>
      </c>
      <c r="E208" t="s">
        <v>573</v>
      </c>
      <c r="F208" t="s">
        <v>574</v>
      </c>
    </row>
    <row r="209" spans="1:6" x14ac:dyDescent="0.3">
      <c r="A209" t="str">
        <f>HYPERLINK("https://hsdes.intel.com/resource/14013163359","14013163359")</f>
        <v>14013163359</v>
      </c>
      <c r="B209" t="s">
        <v>628</v>
      </c>
      <c r="C209" t="s">
        <v>629</v>
      </c>
      <c r="D209" t="s">
        <v>11</v>
      </c>
      <c r="E209" t="s">
        <v>573</v>
      </c>
      <c r="F209" t="s">
        <v>574</v>
      </c>
    </row>
    <row r="210" spans="1:6" x14ac:dyDescent="0.3">
      <c r="A210" t="str">
        <f>HYPERLINK("https://hsdes.intel.com/resource/14013163371","14013163371")</f>
        <v>14013163371</v>
      </c>
      <c r="B210" t="s">
        <v>630</v>
      </c>
      <c r="C210" t="s">
        <v>631</v>
      </c>
      <c r="D210" t="s">
        <v>11</v>
      </c>
      <c r="E210" t="s">
        <v>573</v>
      </c>
      <c r="F210" t="s">
        <v>622</v>
      </c>
    </row>
    <row r="211" spans="1:6" x14ac:dyDescent="0.3">
      <c r="A211" t="str">
        <f>HYPERLINK("https://hsdes.intel.com/resource/14013163390","14013163390")</f>
        <v>14013163390</v>
      </c>
      <c r="B211" t="s">
        <v>632</v>
      </c>
      <c r="C211" t="s">
        <v>633</v>
      </c>
      <c r="D211" t="s">
        <v>11</v>
      </c>
      <c r="E211" t="s">
        <v>573</v>
      </c>
      <c r="F211" t="s">
        <v>625</v>
      </c>
    </row>
    <row r="212" spans="1:6" x14ac:dyDescent="0.3">
      <c r="A212" t="str">
        <f>HYPERLINK("https://hsdes.intel.com/resource/14013163393","14013163393")</f>
        <v>14013163393</v>
      </c>
      <c r="B212" t="s">
        <v>634</v>
      </c>
      <c r="C212" t="s">
        <v>635</v>
      </c>
      <c r="D212" t="s">
        <v>11</v>
      </c>
      <c r="E212" t="s">
        <v>573</v>
      </c>
      <c r="F212" t="s">
        <v>574</v>
      </c>
    </row>
    <row r="213" spans="1:6" x14ac:dyDescent="0.3">
      <c r="A213" t="str">
        <f>HYPERLINK("https://hsdes.intel.com/resource/14013163402","14013163402")</f>
        <v>14013163402</v>
      </c>
      <c r="B213" t="s">
        <v>636</v>
      </c>
      <c r="C213" t="s">
        <v>637</v>
      </c>
      <c r="D213" t="s">
        <v>11</v>
      </c>
      <c r="E213" t="s">
        <v>573</v>
      </c>
      <c r="F213" t="s">
        <v>574</v>
      </c>
    </row>
    <row r="214" spans="1:6" x14ac:dyDescent="0.3">
      <c r="A214" t="str">
        <f>HYPERLINK("https://hsdes.intel.com/resource/14013163415","14013163415")</f>
        <v>14013163415</v>
      </c>
      <c r="B214" t="s">
        <v>638</v>
      </c>
      <c r="C214" t="s">
        <v>639</v>
      </c>
      <c r="D214" t="s">
        <v>11</v>
      </c>
      <c r="E214" t="s">
        <v>573</v>
      </c>
      <c r="F214" t="s">
        <v>574</v>
      </c>
    </row>
    <row r="215" spans="1:6" x14ac:dyDescent="0.3">
      <c r="A215" t="str">
        <f>HYPERLINK("https://hsdes.intel.com/resource/14013163425","14013163425")</f>
        <v>14013163425</v>
      </c>
      <c r="B215" t="s">
        <v>640</v>
      </c>
      <c r="C215" t="s">
        <v>641</v>
      </c>
      <c r="D215" t="s">
        <v>11</v>
      </c>
      <c r="E215" t="s">
        <v>573</v>
      </c>
      <c r="F215" t="s">
        <v>625</v>
      </c>
    </row>
    <row r="216" spans="1:6" x14ac:dyDescent="0.3">
      <c r="A216" t="str">
        <f>HYPERLINK("https://hsdes.intel.com/resource/14013163434","14013163434")</f>
        <v>14013163434</v>
      </c>
      <c r="B216" t="s">
        <v>642</v>
      </c>
      <c r="C216" t="s">
        <v>643</v>
      </c>
      <c r="D216" t="s">
        <v>11</v>
      </c>
      <c r="E216" t="s">
        <v>573</v>
      </c>
      <c r="F216" t="s">
        <v>625</v>
      </c>
    </row>
    <row r="217" spans="1:6" x14ac:dyDescent="0.3">
      <c r="A217" t="str">
        <f>HYPERLINK("https://hsdes.intel.com/resource/14013163449","14013163449")</f>
        <v>14013163449</v>
      </c>
      <c r="B217" t="s">
        <v>644</v>
      </c>
      <c r="C217" t="s">
        <v>645</v>
      </c>
      <c r="D217" t="s">
        <v>11</v>
      </c>
      <c r="E217" t="s">
        <v>573</v>
      </c>
      <c r="F217" t="s">
        <v>646</v>
      </c>
    </row>
    <row r="218" spans="1:6" x14ac:dyDescent="0.3">
      <c r="A218" t="str">
        <f>HYPERLINK("https://hsdes.intel.com/resource/14013163467","14013163467")</f>
        <v>14013163467</v>
      </c>
      <c r="B218" t="s">
        <v>647</v>
      </c>
      <c r="C218" t="s">
        <v>648</v>
      </c>
      <c r="D218" t="s">
        <v>33</v>
      </c>
      <c r="E218" t="s">
        <v>21</v>
      </c>
      <c r="F218" t="s">
        <v>610</v>
      </c>
    </row>
    <row r="219" spans="1:6" x14ac:dyDescent="0.3">
      <c r="A219" t="str">
        <f>HYPERLINK("https://hsdes.intel.com/resource/14013163887","14013163887")</f>
        <v>14013163887</v>
      </c>
      <c r="B219" t="s">
        <v>649</v>
      </c>
      <c r="C219" t="s">
        <v>650</v>
      </c>
      <c r="D219" t="s">
        <v>11</v>
      </c>
      <c r="E219" t="s">
        <v>291</v>
      </c>
      <c r="F219" t="s">
        <v>651</v>
      </c>
    </row>
    <row r="220" spans="1:6" x14ac:dyDescent="0.3">
      <c r="A220" t="str">
        <f>HYPERLINK("https://hsdes.intel.com/resource/14013163931","14013163931")</f>
        <v>14013163931</v>
      </c>
      <c r="B220" t="s">
        <v>652</v>
      </c>
      <c r="C220" t="s">
        <v>653</v>
      </c>
      <c r="D220" t="s">
        <v>11</v>
      </c>
      <c r="E220" t="s">
        <v>16</v>
      </c>
      <c r="F220" t="s">
        <v>165</v>
      </c>
    </row>
    <row r="221" spans="1:6" x14ac:dyDescent="0.3">
      <c r="A221" t="str">
        <f>HYPERLINK("https://hsdes.intel.com/resource/14013164082","14013164082")</f>
        <v>14013164082</v>
      </c>
      <c r="B221" t="s">
        <v>654</v>
      </c>
      <c r="C221" t="s">
        <v>655</v>
      </c>
      <c r="D221" t="s">
        <v>181</v>
      </c>
      <c r="E221" t="s">
        <v>64</v>
      </c>
      <c r="F221" t="s">
        <v>370</v>
      </c>
    </row>
    <row r="222" spans="1:6" x14ac:dyDescent="0.3">
      <c r="A222" t="str">
        <f>HYPERLINK("https://hsdes.intel.com/resource/14013164115","14013164115")</f>
        <v>14013164115</v>
      </c>
      <c r="B222" t="s">
        <v>656</v>
      </c>
      <c r="C222" t="s">
        <v>657</v>
      </c>
      <c r="D222" t="s">
        <v>11</v>
      </c>
      <c r="E222" t="s">
        <v>16</v>
      </c>
      <c r="F222" t="s">
        <v>182</v>
      </c>
    </row>
    <row r="223" spans="1:6" x14ac:dyDescent="0.3">
      <c r="A223" t="str">
        <f>HYPERLINK("https://hsdes.intel.com/resource/14013164191","14013164191")</f>
        <v>14013164191</v>
      </c>
      <c r="B223" t="s">
        <v>658</v>
      </c>
      <c r="C223" t="s">
        <v>659</v>
      </c>
      <c r="D223" t="s">
        <v>25</v>
      </c>
      <c r="E223" t="s">
        <v>21</v>
      </c>
      <c r="F223" t="s">
        <v>660</v>
      </c>
    </row>
    <row r="224" spans="1:6" x14ac:dyDescent="0.3">
      <c r="A224" t="str">
        <f>HYPERLINK("https://hsdes.intel.com/resource/14013164398","14013164398")</f>
        <v>14013164398</v>
      </c>
      <c r="B224" t="s">
        <v>661</v>
      </c>
      <c r="C224" t="s">
        <v>662</v>
      </c>
      <c r="D224" t="s">
        <v>25</v>
      </c>
      <c r="E224" t="s">
        <v>75</v>
      </c>
      <c r="F224" t="s">
        <v>607</v>
      </c>
    </row>
    <row r="225" spans="1:6" x14ac:dyDescent="0.3">
      <c r="A225" t="str">
        <f>HYPERLINK("https://hsdes.intel.com/resource/14013164448","14013164448")</f>
        <v>14013164448</v>
      </c>
      <c r="B225" t="s">
        <v>663</v>
      </c>
      <c r="C225" t="s">
        <v>664</v>
      </c>
      <c r="D225" t="s">
        <v>25</v>
      </c>
      <c r="E225" t="s">
        <v>75</v>
      </c>
      <c r="F225" t="s">
        <v>607</v>
      </c>
    </row>
    <row r="226" spans="1:6" x14ac:dyDescent="0.3">
      <c r="A226" t="str">
        <f>HYPERLINK("https://hsdes.intel.com/resource/14013164489","14013164489")</f>
        <v>14013164489</v>
      </c>
      <c r="B226" t="s">
        <v>665</v>
      </c>
      <c r="C226" t="s">
        <v>666</v>
      </c>
      <c r="D226" t="s">
        <v>25</v>
      </c>
      <c r="E226" t="s">
        <v>68</v>
      </c>
      <c r="F226" t="s">
        <v>667</v>
      </c>
    </row>
    <row r="227" spans="1:6" x14ac:dyDescent="0.3">
      <c r="A227" t="str">
        <f>HYPERLINK("https://hsdes.intel.com/resource/14013164505","14013164505")</f>
        <v>14013164505</v>
      </c>
      <c r="B227" t="s">
        <v>668</v>
      </c>
      <c r="C227" t="s">
        <v>669</v>
      </c>
      <c r="D227" t="s">
        <v>25</v>
      </c>
      <c r="E227" t="s">
        <v>75</v>
      </c>
      <c r="F227" t="s">
        <v>607</v>
      </c>
    </row>
    <row r="228" spans="1:6" x14ac:dyDescent="0.3">
      <c r="A228" t="str">
        <f>HYPERLINK("https://hsdes.intel.com/resource/14013164519","14013164519")</f>
        <v>14013164519</v>
      </c>
      <c r="B228" t="s">
        <v>670</v>
      </c>
      <c r="C228" t="s">
        <v>671</v>
      </c>
      <c r="D228" t="s">
        <v>25</v>
      </c>
      <c r="E228" t="s">
        <v>75</v>
      </c>
      <c r="F228" t="s">
        <v>672</v>
      </c>
    </row>
    <row r="229" spans="1:6" x14ac:dyDescent="0.3">
      <c r="A229" t="str">
        <f>HYPERLINK("https://hsdes.intel.com/resource/14013164543","14013164543")</f>
        <v>14013164543</v>
      </c>
      <c r="B229" t="s">
        <v>673</v>
      </c>
      <c r="C229" t="s">
        <v>674</v>
      </c>
      <c r="D229" t="s">
        <v>25</v>
      </c>
      <c r="E229" t="s">
        <v>75</v>
      </c>
      <c r="F229" t="s">
        <v>672</v>
      </c>
    </row>
    <row r="230" spans="1:6" x14ac:dyDescent="0.3">
      <c r="A230" t="str">
        <f>HYPERLINK("https://hsdes.intel.com/resource/14013164570","14013164570")</f>
        <v>14013164570</v>
      </c>
      <c r="B230" t="s">
        <v>675</v>
      </c>
      <c r="C230" t="s">
        <v>676</v>
      </c>
      <c r="D230" t="s">
        <v>25</v>
      </c>
      <c r="E230" t="s">
        <v>75</v>
      </c>
      <c r="F230" t="s">
        <v>607</v>
      </c>
    </row>
    <row r="231" spans="1:6" x14ac:dyDescent="0.3">
      <c r="A231" t="str">
        <f>HYPERLINK("https://hsdes.intel.com/resource/14013164575","14013164575")</f>
        <v>14013164575</v>
      </c>
      <c r="B231" t="s">
        <v>677</v>
      </c>
      <c r="C231" t="s">
        <v>678</v>
      </c>
      <c r="D231" t="s">
        <v>25</v>
      </c>
      <c r="E231" t="s">
        <v>75</v>
      </c>
      <c r="F231" t="s">
        <v>607</v>
      </c>
    </row>
    <row r="232" spans="1:6" x14ac:dyDescent="0.3">
      <c r="A232" t="str">
        <f>HYPERLINK("https://hsdes.intel.com/resource/14013164593","14013164593")</f>
        <v>14013164593</v>
      </c>
      <c r="B232" t="s">
        <v>679</v>
      </c>
      <c r="C232" t="s">
        <v>680</v>
      </c>
      <c r="D232" t="s">
        <v>25</v>
      </c>
      <c r="E232" t="s">
        <v>68</v>
      </c>
      <c r="F232" t="s">
        <v>667</v>
      </c>
    </row>
    <row r="233" spans="1:6" x14ac:dyDescent="0.3">
      <c r="A233" t="str">
        <f>HYPERLINK("https://hsdes.intel.com/resource/14013164617","14013164617")</f>
        <v>14013164617</v>
      </c>
      <c r="B233" t="s">
        <v>681</v>
      </c>
      <c r="C233" t="s">
        <v>682</v>
      </c>
      <c r="D233" t="s">
        <v>25</v>
      </c>
      <c r="E233" t="s">
        <v>68</v>
      </c>
      <c r="F233" t="s">
        <v>667</v>
      </c>
    </row>
    <row r="234" spans="1:6" x14ac:dyDescent="0.3">
      <c r="A234" t="str">
        <f>HYPERLINK("https://hsdes.intel.com/resource/14013164625","14013164625")</f>
        <v>14013164625</v>
      </c>
      <c r="B234" t="s">
        <v>683</v>
      </c>
      <c r="C234" t="s">
        <v>684</v>
      </c>
      <c r="D234" t="s">
        <v>25</v>
      </c>
      <c r="E234" t="s">
        <v>68</v>
      </c>
      <c r="F234" t="s">
        <v>685</v>
      </c>
    </row>
    <row r="235" spans="1:6" x14ac:dyDescent="0.3">
      <c r="A235" t="str">
        <f>HYPERLINK("https://hsdes.intel.com/resource/14013164746","14013164746")</f>
        <v>14013164746</v>
      </c>
      <c r="B235" t="s">
        <v>686</v>
      </c>
      <c r="C235" t="s">
        <v>687</v>
      </c>
      <c r="D235" t="s">
        <v>181</v>
      </c>
      <c r="E235" t="s">
        <v>64</v>
      </c>
      <c r="F235" t="s">
        <v>165</v>
      </c>
    </row>
    <row r="236" spans="1:6" x14ac:dyDescent="0.3">
      <c r="A236" t="str">
        <f>HYPERLINK("https://hsdes.intel.com/resource/14013164753","14013164753")</f>
        <v>14013164753</v>
      </c>
      <c r="B236" t="s">
        <v>688</v>
      </c>
      <c r="C236" t="s">
        <v>689</v>
      </c>
      <c r="D236" t="s">
        <v>181</v>
      </c>
      <c r="E236" t="s">
        <v>64</v>
      </c>
      <c r="F236" t="s">
        <v>182</v>
      </c>
    </row>
    <row r="237" spans="1:6" x14ac:dyDescent="0.3">
      <c r="A237" t="str">
        <f>HYPERLINK("https://hsdes.intel.com/resource/14013164915","14013164915")</f>
        <v>14013164915</v>
      </c>
      <c r="B237" t="s">
        <v>690</v>
      </c>
      <c r="C237" t="s">
        <v>691</v>
      </c>
      <c r="D237" t="s">
        <v>25</v>
      </c>
      <c r="E237" t="s">
        <v>68</v>
      </c>
      <c r="F237" t="s">
        <v>667</v>
      </c>
    </row>
    <row r="238" spans="1:6" x14ac:dyDescent="0.3">
      <c r="A238" t="str">
        <f>HYPERLINK("https://hsdes.intel.com/resource/14013164923","14013164923")</f>
        <v>14013164923</v>
      </c>
      <c r="B238" t="s">
        <v>692</v>
      </c>
      <c r="C238" t="s">
        <v>693</v>
      </c>
      <c r="D238" t="s">
        <v>25</v>
      </c>
      <c r="E238" t="s">
        <v>68</v>
      </c>
      <c r="F238" t="s">
        <v>667</v>
      </c>
    </row>
    <row r="239" spans="1:6" x14ac:dyDescent="0.3">
      <c r="A239" t="str">
        <f>HYPERLINK("https://hsdes.intel.com/resource/14013164937","14013164937")</f>
        <v>14013164937</v>
      </c>
      <c r="B239" t="s">
        <v>694</v>
      </c>
      <c r="C239" t="s">
        <v>695</v>
      </c>
      <c r="D239" t="s">
        <v>25</v>
      </c>
      <c r="E239" t="s">
        <v>68</v>
      </c>
      <c r="F239" t="s">
        <v>667</v>
      </c>
    </row>
    <row r="240" spans="1:6" x14ac:dyDescent="0.3">
      <c r="A240" t="str">
        <f>HYPERLINK("https://hsdes.intel.com/resource/14013165004","14013165004")</f>
        <v>14013165004</v>
      </c>
      <c r="B240" t="s">
        <v>696</v>
      </c>
      <c r="C240" t="s">
        <v>697</v>
      </c>
      <c r="D240" t="s">
        <v>25</v>
      </c>
      <c r="E240" t="s">
        <v>75</v>
      </c>
      <c r="F240" t="s">
        <v>607</v>
      </c>
    </row>
    <row r="241" spans="1:6" x14ac:dyDescent="0.3">
      <c r="A241" t="str">
        <f>HYPERLINK("https://hsdes.intel.com/resource/14013165013","14013165013")</f>
        <v>14013165013</v>
      </c>
      <c r="B241" t="s">
        <v>698</v>
      </c>
      <c r="C241" t="s">
        <v>699</v>
      </c>
      <c r="D241" t="s">
        <v>25</v>
      </c>
      <c r="E241" t="s">
        <v>75</v>
      </c>
      <c r="F241" t="s">
        <v>607</v>
      </c>
    </row>
    <row r="242" spans="1:6" x14ac:dyDescent="0.3">
      <c r="A242" t="str">
        <f>HYPERLINK("https://hsdes.intel.com/resource/14013165037","14013165037")</f>
        <v>14013165037</v>
      </c>
      <c r="B242" t="s">
        <v>700</v>
      </c>
      <c r="C242" t="s">
        <v>701</v>
      </c>
      <c r="D242" t="s">
        <v>20</v>
      </c>
      <c r="E242" t="s">
        <v>7</v>
      </c>
      <c r="F242" t="s">
        <v>702</v>
      </c>
    </row>
    <row r="243" spans="1:6" x14ac:dyDescent="0.3">
      <c r="A243" t="str">
        <f>HYPERLINK("https://hsdes.intel.com/resource/14013165053","14013165053")</f>
        <v>14013165053</v>
      </c>
      <c r="B243" t="s">
        <v>703</v>
      </c>
      <c r="C243" t="s">
        <v>704</v>
      </c>
      <c r="D243" t="s">
        <v>33</v>
      </c>
      <c r="E243" t="s">
        <v>21</v>
      </c>
      <c r="F243" t="s">
        <v>705</v>
      </c>
    </row>
    <row r="244" spans="1:6" x14ac:dyDescent="0.3">
      <c r="A244" t="str">
        <f>HYPERLINK("https://hsdes.intel.com/resource/14013165068","14013165068")</f>
        <v>14013165068</v>
      </c>
      <c r="B244" t="s">
        <v>706</v>
      </c>
      <c r="C244" t="s">
        <v>707</v>
      </c>
      <c r="D244" t="s">
        <v>25</v>
      </c>
      <c r="E244" t="s">
        <v>68</v>
      </c>
      <c r="F244" t="s">
        <v>667</v>
      </c>
    </row>
    <row r="245" spans="1:6" x14ac:dyDescent="0.3">
      <c r="A245" t="str">
        <f>HYPERLINK("https://hsdes.intel.com/resource/14013165072","14013165072")</f>
        <v>14013165072</v>
      </c>
      <c r="B245" t="s">
        <v>708</v>
      </c>
      <c r="C245" t="s">
        <v>709</v>
      </c>
      <c r="D245" t="s">
        <v>25</v>
      </c>
      <c r="E245" t="s">
        <v>75</v>
      </c>
      <c r="F245" t="s">
        <v>607</v>
      </c>
    </row>
    <row r="246" spans="1:6" x14ac:dyDescent="0.3">
      <c r="A246" t="str">
        <f>HYPERLINK("https://hsdes.intel.com/resource/14013165103","14013165103")</f>
        <v>14013165103</v>
      </c>
      <c r="B246" t="s">
        <v>710</v>
      </c>
      <c r="C246" t="s">
        <v>711</v>
      </c>
      <c r="D246" t="s">
        <v>25</v>
      </c>
      <c r="E246" t="s">
        <v>75</v>
      </c>
      <c r="F246" t="s">
        <v>607</v>
      </c>
    </row>
    <row r="247" spans="1:6" x14ac:dyDescent="0.3">
      <c r="A247" t="str">
        <f>HYPERLINK("https://hsdes.intel.com/resource/14013165105","14013165105")</f>
        <v>14013165105</v>
      </c>
      <c r="B247" t="s">
        <v>712</v>
      </c>
      <c r="C247" t="s">
        <v>713</v>
      </c>
      <c r="D247" t="s">
        <v>25</v>
      </c>
      <c r="E247" t="s">
        <v>75</v>
      </c>
      <c r="F247" t="s">
        <v>607</v>
      </c>
    </row>
    <row r="248" spans="1:6" x14ac:dyDescent="0.3">
      <c r="A248" t="str">
        <f>HYPERLINK("https://hsdes.intel.com/resource/14013165106","14013165106")</f>
        <v>14013165106</v>
      </c>
      <c r="B248" t="s">
        <v>714</v>
      </c>
      <c r="C248" t="s">
        <v>715</v>
      </c>
      <c r="D248" t="s">
        <v>25</v>
      </c>
      <c r="E248" t="s">
        <v>75</v>
      </c>
      <c r="F248" t="s">
        <v>672</v>
      </c>
    </row>
    <row r="249" spans="1:6" x14ac:dyDescent="0.3">
      <c r="A249" t="str">
        <f>HYPERLINK("https://hsdes.intel.com/resource/14013165112","14013165112")</f>
        <v>14013165112</v>
      </c>
      <c r="B249" t="s">
        <v>716</v>
      </c>
      <c r="C249" t="s">
        <v>717</v>
      </c>
      <c r="D249" t="s">
        <v>11</v>
      </c>
      <c r="E249" t="s">
        <v>16</v>
      </c>
      <c r="F249" t="s">
        <v>718</v>
      </c>
    </row>
    <row r="250" spans="1:6" x14ac:dyDescent="0.3">
      <c r="A250" t="str">
        <f>HYPERLINK("https://hsdes.intel.com/resource/14013165116","14013165116")</f>
        <v>14013165116</v>
      </c>
      <c r="B250" t="s">
        <v>719</v>
      </c>
      <c r="C250" t="s">
        <v>720</v>
      </c>
      <c r="D250" t="s">
        <v>11</v>
      </c>
      <c r="E250" t="s">
        <v>16</v>
      </c>
      <c r="F250" t="s">
        <v>718</v>
      </c>
    </row>
    <row r="251" spans="1:6" x14ac:dyDescent="0.3">
      <c r="A251" t="str">
        <f>HYPERLINK("https://hsdes.intel.com/resource/14013165121","14013165121")</f>
        <v>14013165121</v>
      </c>
      <c r="B251" t="s">
        <v>721</v>
      </c>
      <c r="C251" t="s">
        <v>722</v>
      </c>
      <c r="D251" t="s">
        <v>11</v>
      </c>
      <c r="E251" t="s">
        <v>16</v>
      </c>
      <c r="F251" t="s">
        <v>583</v>
      </c>
    </row>
    <row r="252" spans="1:6" x14ac:dyDescent="0.3">
      <c r="A252" t="str">
        <f>HYPERLINK("https://hsdes.intel.com/resource/14013165202","14013165202")</f>
        <v>14013165202</v>
      </c>
      <c r="B252" t="s">
        <v>723</v>
      </c>
      <c r="C252" t="s">
        <v>724</v>
      </c>
      <c r="D252" t="s">
        <v>11</v>
      </c>
      <c r="E252" t="s">
        <v>16</v>
      </c>
      <c r="F252" t="s">
        <v>718</v>
      </c>
    </row>
    <row r="253" spans="1:6" x14ac:dyDescent="0.3">
      <c r="A253" t="str">
        <f>HYPERLINK("https://hsdes.intel.com/resource/14013165225","14013165225")</f>
        <v>14013165225</v>
      </c>
      <c r="B253" t="s">
        <v>725</v>
      </c>
      <c r="C253" t="s">
        <v>726</v>
      </c>
      <c r="D253" t="s">
        <v>11</v>
      </c>
      <c r="E253" t="s">
        <v>16</v>
      </c>
      <c r="F253" t="s">
        <v>718</v>
      </c>
    </row>
    <row r="254" spans="1:6" x14ac:dyDescent="0.3">
      <c r="A254" t="str">
        <f>HYPERLINK("https://hsdes.intel.com/resource/14013165243","14013165243")</f>
        <v>14013165243</v>
      </c>
      <c r="B254" t="s">
        <v>727</v>
      </c>
      <c r="C254" t="s">
        <v>728</v>
      </c>
      <c r="D254" t="s">
        <v>11</v>
      </c>
      <c r="E254" t="s">
        <v>16</v>
      </c>
      <c r="F254" t="s">
        <v>718</v>
      </c>
    </row>
    <row r="255" spans="1:6" x14ac:dyDescent="0.3">
      <c r="A255" t="str">
        <f>HYPERLINK("https://hsdes.intel.com/resource/14013165260","14013165260")</f>
        <v>14013165260</v>
      </c>
      <c r="B255" t="s">
        <v>729</v>
      </c>
      <c r="C255" t="s">
        <v>730</v>
      </c>
      <c r="D255" t="s">
        <v>11</v>
      </c>
      <c r="E255" t="s">
        <v>16</v>
      </c>
      <c r="F255" t="s">
        <v>718</v>
      </c>
    </row>
    <row r="256" spans="1:6" x14ac:dyDescent="0.3">
      <c r="A256" t="str">
        <f>HYPERLINK("https://hsdes.intel.com/resource/14013165272","14013165272")</f>
        <v>14013165272</v>
      </c>
      <c r="B256" t="s">
        <v>731</v>
      </c>
      <c r="C256" t="s">
        <v>732</v>
      </c>
      <c r="D256" t="s">
        <v>11</v>
      </c>
      <c r="E256" t="s">
        <v>16</v>
      </c>
      <c r="F256" t="s">
        <v>718</v>
      </c>
    </row>
    <row r="257" spans="1:6" x14ac:dyDescent="0.3">
      <c r="A257" t="str">
        <f>HYPERLINK("https://hsdes.intel.com/resource/14013165281","14013165281")</f>
        <v>14013165281</v>
      </c>
      <c r="B257" t="s">
        <v>733</v>
      </c>
      <c r="C257" t="s">
        <v>734</v>
      </c>
      <c r="D257" t="s">
        <v>11</v>
      </c>
      <c r="E257" t="s">
        <v>16</v>
      </c>
      <c r="F257" t="s">
        <v>718</v>
      </c>
    </row>
    <row r="258" spans="1:6" x14ac:dyDescent="0.3">
      <c r="A258" t="str">
        <f>HYPERLINK("https://hsdes.intel.com/resource/14013165287","14013165287")</f>
        <v>14013165287</v>
      </c>
      <c r="B258" t="s">
        <v>735</v>
      </c>
      <c r="C258" t="s">
        <v>736</v>
      </c>
      <c r="D258" t="s">
        <v>11</v>
      </c>
      <c r="E258" t="s">
        <v>16</v>
      </c>
      <c r="F258" t="s">
        <v>737</v>
      </c>
    </row>
    <row r="259" spans="1:6" x14ac:dyDescent="0.3">
      <c r="A259" t="str">
        <f>HYPERLINK("https://hsdes.intel.com/resource/14013165290","14013165290")</f>
        <v>14013165290</v>
      </c>
      <c r="B259" t="s">
        <v>738</v>
      </c>
      <c r="C259" t="s">
        <v>739</v>
      </c>
      <c r="D259" t="s">
        <v>11</v>
      </c>
      <c r="E259" t="s">
        <v>16</v>
      </c>
      <c r="F259" t="s">
        <v>737</v>
      </c>
    </row>
    <row r="260" spans="1:6" x14ac:dyDescent="0.3">
      <c r="A260" t="str">
        <f>HYPERLINK("https://hsdes.intel.com/resource/14013165295","14013165295")</f>
        <v>14013165295</v>
      </c>
      <c r="B260" t="s">
        <v>740</v>
      </c>
      <c r="C260" t="s">
        <v>741</v>
      </c>
      <c r="D260" t="s">
        <v>11</v>
      </c>
      <c r="E260" t="s">
        <v>16</v>
      </c>
      <c r="F260" t="s">
        <v>737</v>
      </c>
    </row>
    <row r="261" spans="1:6" x14ac:dyDescent="0.3">
      <c r="A261" t="str">
        <f>HYPERLINK("https://hsdes.intel.com/resource/14013165425","14013165425")</f>
        <v>14013165425</v>
      </c>
      <c r="B261" t="s">
        <v>742</v>
      </c>
      <c r="C261" t="s">
        <v>743</v>
      </c>
      <c r="D261" t="s">
        <v>25</v>
      </c>
      <c r="E261" t="s">
        <v>75</v>
      </c>
      <c r="F261" t="s">
        <v>83</v>
      </c>
    </row>
    <row r="262" spans="1:6" x14ac:dyDescent="0.3">
      <c r="A262" t="str">
        <f>HYPERLINK("https://hsdes.intel.com/resource/14013165524","14013165524")</f>
        <v>14013165524</v>
      </c>
      <c r="B262" t="s">
        <v>744</v>
      </c>
      <c r="C262" t="s">
        <v>745</v>
      </c>
      <c r="D262" t="s">
        <v>6</v>
      </c>
      <c r="E262" t="s">
        <v>7</v>
      </c>
      <c r="F262" t="s">
        <v>746</v>
      </c>
    </row>
    <row r="263" spans="1:6" x14ac:dyDescent="0.3">
      <c r="A263" t="str">
        <f>HYPERLINK("https://hsdes.intel.com/resource/14013165541","14013165541")</f>
        <v>14013165541</v>
      </c>
      <c r="B263" t="s">
        <v>747</v>
      </c>
      <c r="C263" t="s">
        <v>748</v>
      </c>
      <c r="D263" t="s">
        <v>25</v>
      </c>
      <c r="E263" t="s">
        <v>68</v>
      </c>
      <c r="F263" t="s">
        <v>749</v>
      </c>
    </row>
    <row r="264" spans="1:6" x14ac:dyDescent="0.3">
      <c r="A264" t="str">
        <f>HYPERLINK("https://hsdes.intel.com/resource/14013165584","14013165584")</f>
        <v>14013165584</v>
      </c>
      <c r="B264" t="s">
        <v>750</v>
      </c>
      <c r="C264" t="s">
        <v>751</v>
      </c>
      <c r="D264" t="s">
        <v>25</v>
      </c>
      <c r="E264" t="s">
        <v>68</v>
      </c>
      <c r="F264" t="s">
        <v>72</v>
      </c>
    </row>
    <row r="265" spans="1:6" x14ac:dyDescent="0.3">
      <c r="A265" t="str">
        <f>HYPERLINK("https://hsdes.intel.com/resource/14013165586","14013165586")</f>
        <v>14013165586</v>
      </c>
      <c r="B265" t="s">
        <v>752</v>
      </c>
      <c r="C265" t="s">
        <v>753</v>
      </c>
      <c r="D265" t="s">
        <v>25</v>
      </c>
      <c r="E265" t="s">
        <v>754</v>
      </c>
      <c r="F265" t="s">
        <v>69</v>
      </c>
    </row>
    <row r="266" spans="1:6" x14ac:dyDescent="0.3">
      <c r="A266" t="str">
        <f>HYPERLINK("https://hsdes.intel.com/resource/14013165591","14013165591")</f>
        <v>14013165591</v>
      </c>
      <c r="B266" t="s">
        <v>755</v>
      </c>
      <c r="C266" t="s">
        <v>756</v>
      </c>
      <c r="D266" t="s">
        <v>6</v>
      </c>
      <c r="E266" t="s">
        <v>64</v>
      </c>
      <c r="F266" t="s">
        <v>757</v>
      </c>
    </row>
    <row r="267" spans="1:6" x14ac:dyDescent="0.3">
      <c r="A267" t="str">
        <f>HYPERLINK("https://hsdes.intel.com/resource/14013165606","14013165606")</f>
        <v>14013165606</v>
      </c>
      <c r="B267" t="s">
        <v>758</v>
      </c>
      <c r="C267" t="s">
        <v>759</v>
      </c>
      <c r="D267" t="s">
        <v>25</v>
      </c>
      <c r="E267" t="s">
        <v>64</v>
      </c>
      <c r="F267" t="s">
        <v>156</v>
      </c>
    </row>
    <row r="268" spans="1:6" x14ac:dyDescent="0.3">
      <c r="A268" t="str">
        <f>HYPERLINK("https://hsdes.intel.com/resource/14013165608","14013165608")</f>
        <v>14013165608</v>
      </c>
      <c r="B268" t="s">
        <v>760</v>
      </c>
      <c r="C268" t="s">
        <v>761</v>
      </c>
      <c r="D268" t="s">
        <v>33</v>
      </c>
      <c r="E268" t="s">
        <v>12</v>
      </c>
      <c r="F268" t="s">
        <v>165</v>
      </c>
    </row>
    <row r="269" spans="1:6" x14ac:dyDescent="0.3">
      <c r="A269" t="str">
        <f>HYPERLINK("https://hsdes.intel.com/resource/14013165637","14013165637")</f>
        <v>14013165637</v>
      </c>
      <c r="B269" t="s">
        <v>762</v>
      </c>
      <c r="C269" t="s">
        <v>763</v>
      </c>
      <c r="D269" t="s">
        <v>25</v>
      </c>
      <c r="E269" t="s">
        <v>68</v>
      </c>
      <c r="F269" t="s">
        <v>69</v>
      </c>
    </row>
    <row r="270" spans="1:6" x14ac:dyDescent="0.3">
      <c r="A270" t="str">
        <f>HYPERLINK("https://hsdes.intel.com/resource/14013165642","14013165642")</f>
        <v>14013165642</v>
      </c>
      <c r="B270" t="s">
        <v>764</v>
      </c>
      <c r="C270" t="s">
        <v>765</v>
      </c>
      <c r="D270" t="s">
        <v>25</v>
      </c>
      <c r="E270" t="s">
        <v>68</v>
      </c>
      <c r="F270" t="s">
        <v>72</v>
      </c>
    </row>
    <row r="271" spans="1:6" x14ac:dyDescent="0.3">
      <c r="A271" t="str">
        <f>HYPERLINK("https://hsdes.intel.com/resource/14013165647","14013165647")</f>
        <v>14013165647</v>
      </c>
      <c r="B271" t="s">
        <v>766</v>
      </c>
      <c r="C271" t="s">
        <v>767</v>
      </c>
      <c r="D271" t="s">
        <v>25</v>
      </c>
      <c r="E271" t="s">
        <v>68</v>
      </c>
      <c r="F271" t="s">
        <v>69</v>
      </c>
    </row>
    <row r="272" spans="1:6" x14ac:dyDescent="0.3">
      <c r="A272" t="str">
        <f>HYPERLINK("https://hsdes.intel.com/resource/14013165649","14013165649")</f>
        <v>14013165649</v>
      </c>
      <c r="B272" t="s">
        <v>768</v>
      </c>
      <c r="C272" t="s">
        <v>769</v>
      </c>
      <c r="D272" t="s">
        <v>25</v>
      </c>
      <c r="E272" t="s">
        <v>68</v>
      </c>
      <c r="F272" t="s">
        <v>69</v>
      </c>
    </row>
    <row r="273" spans="1:6" x14ac:dyDescent="0.3">
      <c r="A273" t="str">
        <f>HYPERLINK("https://hsdes.intel.com/resource/14013165652","14013165652")</f>
        <v>14013165652</v>
      </c>
      <c r="B273" t="s">
        <v>770</v>
      </c>
      <c r="C273" t="s">
        <v>771</v>
      </c>
      <c r="D273" t="s">
        <v>25</v>
      </c>
      <c r="E273" t="s">
        <v>68</v>
      </c>
      <c r="F273" t="s">
        <v>685</v>
      </c>
    </row>
    <row r="274" spans="1:6" x14ac:dyDescent="0.3">
      <c r="A274" t="str">
        <f>HYPERLINK("https://hsdes.intel.com/resource/14013165663","14013165663")</f>
        <v>14013165663</v>
      </c>
      <c r="B274" t="s">
        <v>772</v>
      </c>
      <c r="C274" t="s">
        <v>773</v>
      </c>
      <c r="D274" t="s">
        <v>25</v>
      </c>
      <c r="E274" t="s">
        <v>75</v>
      </c>
      <c r="F274" t="s">
        <v>774</v>
      </c>
    </row>
    <row r="275" spans="1:6" x14ac:dyDescent="0.3">
      <c r="A275" t="str">
        <f>HYPERLINK("https://hsdes.intel.com/resource/14013165665","14013165665")</f>
        <v>14013165665</v>
      </c>
      <c r="B275" t="s">
        <v>775</v>
      </c>
      <c r="C275" t="s">
        <v>776</v>
      </c>
      <c r="D275" t="s">
        <v>25</v>
      </c>
      <c r="E275" t="s">
        <v>75</v>
      </c>
      <c r="F275" t="s">
        <v>774</v>
      </c>
    </row>
    <row r="276" spans="1:6" x14ac:dyDescent="0.3">
      <c r="A276" t="str">
        <f>HYPERLINK("https://hsdes.intel.com/resource/14013165673","14013165673")</f>
        <v>14013165673</v>
      </c>
      <c r="B276" t="s">
        <v>777</v>
      </c>
      <c r="C276" t="s">
        <v>778</v>
      </c>
      <c r="D276" t="s">
        <v>25</v>
      </c>
      <c r="E276" t="s">
        <v>75</v>
      </c>
      <c r="F276" t="s">
        <v>779</v>
      </c>
    </row>
    <row r="277" spans="1:6" x14ac:dyDescent="0.3">
      <c r="A277" t="str">
        <f>HYPERLINK("https://hsdes.intel.com/resource/14013165857","14013165857")</f>
        <v>14013165857</v>
      </c>
      <c r="B277" t="s">
        <v>690</v>
      </c>
      <c r="C277" t="s">
        <v>780</v>
      </c>
      <c r="D277" t="s">
        <v>25</v>
      </c>
      <c r="E277" t="s">
        <v>68</v>
      </c>
      <c r="F277" t="s">
        <v>667</v>
      </c>
    </row>
    <row r="278" spans="1:6" x14ac:dyDescent="0.3">
      <c r="A278" t="str">
        <f>HYPERLINK("https://hsdes.intel.com/resource/14013165860","14013165860")</f>
        <v>14013165860</v>
      </c>
      <c r="B278" t="s">
        <v>692</v>
      </c>
      <c r="C278" t="s">
        <v>781</v>
      </c>
      <c r="D278" t="s">
        <v>25</v>
      </c>
      <c r="E278" t="s">
        <v>68</v>
      </c>
      <c r="F278" t="s">
        <v>667</v>
      </c>
    </row>
    <row r="279" spans="1:6" x14ac:dyDescent="0.3">
      <c r="A279" t="str">
        <f>HYPERLINK("https://hsdes.intel.com/resource/14013165863","14013165863")</f>
        <v>14013165863</v>
      </c>
      <c r="B279" t="s">
        <v>694</v>
      </c>
      <c r="C279" t="s">
        <v>782</v>
      </c>
      <c r="D279" t="s">
        <v>25</v>
      </c>
      <c r="E279" t="s">
        <v>68</v>
      </c>
      <c r="F279" t="s">
        <v>667</v>
      </c>
    </row>
    <row r="280" spans="1:6" x14ac:dyDescent="0.3">
      <c r="A280" t="str">
        <f>HYPERLINK("https://hsdes.intel.com/resource/14013165865","14013165865")</f>
        <v>14013165865</v>
      </c>
      <c r="B280" t="s">
        <v>783</v>
      </c>
      <c r="C280" t="s">
        <v>784</v>
      </c>
      <c r="D280" t="s">
        <v>25</v>
      </c>
      <c r="E280" t="s">
        <v>68</v>
      </c>
      <c r="F280" t="s">
        <v>72</v>
      </c>
    </row>
    <row r="281" spans="1:6" x14ac:dyDescent="0.3">
      <c r="A281" t="str">
        <f>HYPERLINK("https://hsdes.intel.com/resource/14013165868","14013165868")</f>
        <v>14013165868</v>
      </c>
      <c r="B281" t="s">
        <v>785</v>
      </c>
      <c r="C281" t="s">
        <v>786</v>
      </c>
      <c r="D281" t="s">
        <v>25</v>
      </c>
      <c r="E281" t="s">
        <v>68</v>
      </c>
      <c r="F281" t="s">
        <v>72</v>
      </c>
    </row>
    <row r="282" spans="1:6" x14ac:dyDescent="0.3">
      <c r="A282" t="str">
        <f>HYPERLINK("https://hsdes.intel.com/resource/14013165873","14013165873")</f>
        <v>14013165873</v>
      </c>
      <c r="B282" t="s">
        <v>787</v>
      </c>
      <c r="C282" t="s">
        <v>788</v>
      </c>
      <c r="D282" t="s">
        <v>25</v>
      </c>
      <c r="E282" t="s">
        <v>68</v>
      </c>
      <c r="F282" t="s">
        <v>72</v>
      </c>
    </row>
    <row r="283" spans="1:6" x14ac:dyDescent="0.3">
      <c r="A283" t="str">
        <f>HYPERLINK("https://hsdes.intel.com/resource/14013165895","14013165895")</f>
        <v>14013165895</v>
      </c>
      <c r="B283" t="s">
        <v>706</v>
      </c>
      <c r="C283" t="s">
        <v>789</v>
      </c>
      <c r="D283" t="s">
        <v>25</v>
      </c>
      <c r="E283" t="s">
        <v>68</v>
      </c>
      <c r="F283" t="s">
        <v>667</v>
      </c>
    </row>
    <row r="284" spans="1:6" x14ac:dyDescent="0.3">
      <c r="A284" t="str">
        <f>HYPERLINK("https://hsdes.intel.com/resource/14013165901","14013165901")</f>
        <v>14013165901</v>
      </c>
      <c r="B284" t="s">
        <v>708</v>
      </c>
      <c r="C284" t="s">
        <v>790</v>
      </c>
      <c r="D284" t="s">
        <v>25</v>
      </c>
      <c r="E284" t="s">
        <v>68</v>
      </c>
      <c r="F284" t="s">
        <v>667</v>
      </c>
    </row>
    <row r="285" spans="1:6" x14ac:dyDescent="0.3">
      <c r="A285" t="str">
        <f>HYPERLINK("https://hsdes.intel.com/resource/14013165906","14013165906")</f>
        <v>14013165906</v>
      </c>
      <c r="B285" t="s">
        <v>710</v>
      </c>
      <c r="C285" t="s">
        <v>791</v>
      </c>
      <c r="D285" t="s">
        <v>25</v>
      </c>
      <c r="E285" t="s">
        <v>68</v>
      </c>
      <c r="F285" t="s">
        <v>667</v>
      </c>
    </row>
    <row r="286" spans="1:6" x14ac:dyDescent="0.3">
      <c r="A286" t="str">
        <f>HYPERLINK("https://hsdes.intel.com/resource/14013165908","14013165908")</f>
        <v>14013165908</v>
      </c>
      <c r="B286" t="s">
        <v>714</v>
      </c>
      <c r="C286" t="s">
        <v>792</v>
      </c>
      <c r="D286" t="s">
        <v>25</v>
      </c>
      <c r="E286" t="s">
        <v>68</v>
      </c>
      <c r="F286" t="s">
        <v>667</v>
      </c>
    </row>
    <row r="287" spans="1:6" x14ac:dyDescent="0.3">
      <c r="A287" t="str">
        <f>HYPERLINK("https://hsdes.intel.com/resource/14013166922","14013166922")</f>
        <v>14013166922</v>
      </c>
      <c r="B287" t="s">
        <v>793</v>
      </c>
      <c r="C287" t="s">
        <v>794</v>
      </c>
      <c r="D287" t="s">
        <v>25</v>
      </c>
      <c r="E287" t="s">
        <v>21</v>
      </c>
      <c r="F287" t="s">
        <v>795</v>
      </c>
    </row>
    <row r="288" spans="1:6" x14ac:dyDescent="0.3">
      <c r="A288" t="str">
        <f>HYPERLINK("https://hsdes.intel.com/resource/14013168579","14013168579")</f>
        <v>14013168579</v>
      </c>
      <c r="B288" t="s">
        <v>796</v>
      </c>
      <c r="C288" t="s">
        <v>797</v>
      </c>
      <c r="D288" t="s">
        <v>798</v>
      </c>
      <c r="E288" t="s">
        <v>799</v>
      </c>
      <c r="F288" t="s">
        <v>800</v>
      </c>
    </row>
    <row r="289" spans="1:6" x14ac:dyDescent="0.3">
      <c r="A289" t="str">
        <f>HYPERLINK("https://hsdes.intel.com/resource/14013169052","14013169052")</f>
        <v>14013169052</v>
      </c>
      <c r="B289" t="s">
        <v>801</v>
      </c>
      <c r="C289" t="s">
        <v>802</v>
      </c>
      <c r="D289" t="s">
        <v>798</v>
      </c>
      <c r="E289" t="s">
        <v>799</v>
      </c>
      <c r="F289" t="s">
        <v>800</v>
      </c>
    </row>
    <row r="290" spans="1:6" x14ac:dyDescent="0.3">
      <c r="A290" t="str">
        <f>HYPERLINK("https://hsdes.intel.com/resource/14013169126","14013169126")</f>
        <v>14013169126</v>
      </c>
      <c r="B290" t="s">
        <v>803</v>
      </c>
      <c r="C290" t="s">
        <v>804</v>
      </c>
      <c r="D290" t="s">
        <v>798</v>
      </c>
      <c r="E290" t="s">
        <v>799</v>
      </c>
      <c r="F290" t="s">
        <v>805</v>
      </c>
    </row>
    <row r="291" spans="1:6" x14ac:dyDescent="0.3">
      <c r="A291" t="str">
        <f>HYPERLINK("https://hsdes.intel.com/resource/14013169128","14013169128")</f>
        <v>14013169128</v>
      </c>
      <c r="B291" t="s">
        <v>806</v>
      </c>
      <c r="C291" t="s">
        <v>807</v>
      </c>
      <c r="D291" t="s">
        <v>798</v>
      </c>
      <c r="E291" t="s">
        <v>799</v>
      </c>
      <c r="F291" t="s">
        <v>808</v>
      </c>
    </row>
    <row r="292" spans="1:6" x14ac:dyDescent="0.3">
      <c r="A292" t="str">
        <f>HYPERLINK("https://hsdes.intel.com/resource/14013172087","14013172087")</f>
        <v>14013172087</v>
      </c>
      <c r="B292" t="s">
        <v>809</v>
      </c>
      <c r="C292" t="s">
        <v>810</v>
      </c>
      <c r="D292" t="s">
        <v>811</v>
      </c>
      <c r="E292" t="s">
        <v>21</v>
      </c>
      <c r="F292" t="s">
        <v>667</v>
      </c>
    </row>
    <row r="293" spans="1:6" x14ac:dyDescent="0.3">
      <c r="A293" t="str">
        <f>HYPERLINK("https://hsdes.intel.com/resource/14013172855","14013172855")</f>
        <v>14013172855</v>
      </c>
      <c r="B293" t="s">
        <v>812</v>
      </c>
      <c r="C293" t="s">
        <v>813</v>
      </c>
      <c r="D293" t="s">
        <v>11</v>
      </c>
      <c r="E293" t="s">
        <v>342</v>
      </c>
      <c r="F293" t="s">
        <v>814</v>
      </c>
    </row>
    <row r="294" spans="1:6" x14ac:dyDescent="0.3">
      <c r="A294" t="str">
        <f>HYPERLINK("https://hsdes.intel.com/resource/14013172859","14013172859")</f>
        <v>14013172859</v>
      </c>
      <c r="B294" t="s">
        <v>815</v>
      </c>
      <c r="C294" t="s">
        <v>816</v>
      </c>
      <c r="D294" t="s">
        <v>11</v>
      </c>
      <c r="E294" t="s">
        <v>57</v>
      </c>
      <c r="F294" t="s">
        <v>817</v>
      </c>
    </row>
    <row r="295" spans="1:6" x14ac:dyDescent="0.3">
      <c r="A295" t="str">
        <f>HYPERLINK("https://hsdes.intel.com/resource/14013172861","14013172861")</f>
        <v>14013172861</v>
      </c>
      <c r="B295" t="s">
        <v>818</v>
      </c>
      <c r="C295" t="s">
        <v>819</v>
      </c>
      <c r="D295" t="s">
        <v>11</v>
      </c>
      <c r="E295" t="s">
        <v>64</v>
      </c>
      <c r="F295" t="s">
        <v>820</v>
      </c>
    </row>
    <row r="296" spans="1:6" x14ac:dyDescent="0.3">
      <c r="A296" t="str">
        <f>HYPERLINK("https://hsdes.intel.com/resource/14013172864","14013172864")</f>
        <v>14013172864</v>
      </c>
      <c r="B296" t="s">
        <v>821</v>
      </c>
      <c r="C296" t="s">
        <v>822</v>
      </c>
      <c r="D296" t="s">
        <v>11</v>
      </c>
      <c r="E296" t="s">
        <v>57</v>
      </c>
      <c r="F296" t="s">
        <v>823</v>
      </c>
    </row>
    <row r="297" spans="1:6" x14ac:dyDescent="0.3">
      <c r="A297" t="str">
        <f>HYPERLINK("https://hsdes.intel.com/resource/14013172868","14013172868")</f>
        <v>14013172868</v>
      </c>
      <c r="B297" t="s">
        <v>824</v>
      </c>
      <c r="C297" t="s">
        <v>825</v>
      </c>
      <c r="D297" t="s">
        <v>11</v>
      </c>
      <c r="E297" t="s">
        <v>57</v>
      </c>
      <c r="F297" t="s">
        <v>826</v>
      </c>
    </row>
    <row r="298" spans="1:6" x14ac:dyDescent="0.3">
      <c r="A298" t="str">
        <f>HYPERLINK("https://hsdes.intel.com/resource/14013172872","14013172872")</f>
        <v>14013172872</v>
      </c>
      <c r="B298" t="s">
        <v>827</v>
      </c>
      <c r="C298" t="s">
        <v>828</v>
      </c>
      <c r="D298" t="s">
        <v>11</v>
      </c>
      <c r="E298" t="s">
        <v>64</v>
      </c>
      <c r="F298" t="s">
        <v>829</v>
      </c>
    </row>
    <row r="299" spans="1:6" x14ac:dyDescent="0.3">
      <c r="A299" t="str">
        <f>HYPERLINK("https://hsdes.intel.com/resource/14013172875","14013172875")</f>
        <v>14013172875</v>
      </c>
      <c r="B299" t="s">
        <v>830</v>
      </c>
      <c r="C299" t="s">
        <v>831</v>
      </c>
      <c r="D299" t="s">
        <v>11</v>
      </c>
      <c r="E299" t="s">
        <v>57</v>
      </c>
      <c r="F299" t="s">
        <v>58</v>
      </c>
    </row>
    <row r="300" spans="1:6" x14ac:dyDescent="0.3">
      <c r="A300" t="str">
        <f>HYPERLINK("https://hsdes.intel.com/resource/14013172908","14013172908")</f>
        <v>14013172908</v>
      </c>
      <c r="B300" t="s">
        <v>832</v>
      </c>
      <c r="C300" t="s">
        <v>833</v>
      </c>
      <c r="D300" t="s">
        <v>20</v>
      </c>
      <c r="E300" t="s">
        <v>266</v>
      </c>
      <c r="F300" t="s">
        <v>834</v>
      </c>
    </row>
    <row r="301" spans="1:6" x14ac:dyDescent="0.3">
      <c r="A301" t="str">
        <f>HYPERLINK("https://hsdes.intel.com/resource/14013172912","14013172912")</f>
        <v>14013172912</v>
      </c>
      <c r="B301" t="s">
        <v>835</v>
      </c>
      <c r="C301" t="s">
        <v>836</v>
      </c>
      <c r="D301" t="s">
        <v>11</v>
      </c>
      <c r="E301" t="s">
        <v>50</v>
      </c>
      <c r="F301" t="s">
        <v>837</v>
      </c>
    </row>
    <row r="302" spans="1:6" x14ac:dyDescent="0.3">
      <c r="A302" t="str">
        <f>HYPERLINK("https://hsdes.intel.com/resource/14013172917","14013172917")</f>
        <v>14013172917</v>
      </c>
      <c r="B302" t="s">
        <v>838</v>
      </c>
      <c r="C302" t="s">
        <v>839</v>
      </c>
      <c r="D302" t="s">
        <v>11</v>
      </c>
      <c r="E302" t="s">
        <v>50</v>
      </c>
      <c r="F302" t="s">
        <v>840</v>
      </c>
    </row>
    <row r="303" spans="1:6" ht="187.2" x14ac:dyDescent="0.3">
      <c r="A303" t="str">
        <f>HYPERLINK("https://hsdes.intel.com/resource/14013172938","14013172938")</f>
        <v>14013172938</v>
      </c>
      <c r="B303" s="1" t="s">
        <v>841</v>
      </c>
      <c r="C303" t="s">
        <v>842</v>
      </c>
      <c r="D303" t="s">
        <v>11</v>
      </c>
      <c r="E303" t="s">
        <v>194</v>
      </c>
      <c r="F303" t="s">
        <v>843</v>
      </c>
    </row>
    <row r="304" spans="1:6" x14ac:dyDescent="0.3">
      <c r="A304" t="str">
        <f>HYPERLINK("https://hsdes.intel.com/resource/14013172940","14013172940")</f>
        <v>14013172940</v>
      </c>
      <c r="B304" t="s">
        <v>844</v>
      </c>
      <c r="C304" t="s">
        <v>845</v>
      </c>
      <c r="D304" t="s">
        <v>11</v>
      </c>
      <c r="E304" t="s">
        <v>50</v>
      </c>
      <c r="F304" t="s">
        <v>846</v>
      </c>
    </row>
    <row r="305" spans="1:6" x14ac:dyDescent="0.3">
      <c r="A305" t="str">
        <f>HYPERLINK("https://hsdes.intel.com/resource/14013172952","14013172952")</f>
        <v>14013172952</v>
      </c>
      <c r="B305" t="s">
        <v>847</v>
      </c>
      <c r="C305" t="s">
        <v>848</v>
      </c>
      <c r="D305" t="s">
        <v>11</v>
      </c>
      <c r="E305" t="s">
        <v>849</v>
      </c>
      <c r="F305" t="s">
        <v>850</v>
      </c>
    </row>
    <row r="306" spans="1:6" x14ac:dyDescent="0.3">
      <c r="A306" t="str">
        <f>HYPERLINK("https://hsdes.intel.com/resource/14013172956","14013172956")</f>
        <v>14013172956</v>
      </c>
      <c r="B306" t="s">
        <v>851</v>
      </c>
      <c r="C306" t="s">
        <v>852</v>
      </c>
      <c r="D306" t="s">
        <v>798</v>
      </c>
      <c r="E306" t="s">
        <v>853</v>
      </c>
      <c r="F306" t="s">
        <v>854</v>
      </c>
    </row>
    <row r="307" spans="1:6" x14ac:dyDescent="0.3">
      <c r="A307" t="str">
        <f>HYPERLINK("https://hsdes.intel.com/resource/14013172958","14013172958")</f>
        <v>14013172958</v>
      </c>
      <c r="B307" t="s">
        <v>855</v>
      </c>
      <c r="C307" t="s">
        <v>856</v>
      </c>
      <c r="D307" t="s">
        <v>11</v>
      </c>
      <c r="E307" t="s">
        <v>857</v>
      </c>
      <c r="F307" t="s">
        <v>858</v>
      </c>
    </row>
    <row r="308" spans="1:6" x14ac:dyDescent="0.3">
      <c r="A308" t="str">
        <f>HYPERLINK("https://hsdes.intel.com/resource/14013173026","14013173026")</f>
        <v>14013173026</v>
      </c>
      <c r="B308" t="s">
        <v>859</v>
      </c>
      <c r="C308" t="s">
        <v>860</v>
      </c>
      <c r="D308" t="s">
        <v>11</v>
      </c>
      <c r="E308" t="s">
        <v>57</v>
      </c>
      <c r="F308" t="s">
        <v>861</v>
      </c>
    </row>
    <row r="309" spans="1:6" x14ac:dyDescent="0.3">
      <c r="A309" t="str">
        <f>HYPERLINK("https://hsdes.intel.com/resource/14013173040","14013173040")</f>
        <v>14013173040</v>
      </c>
      <c r="B309" t="s">
        <v>862</v>
      </c>
      <c r="C309" t="s">
        <v>863</v>
      </c>
      <c r="D309" t="s">
        <v>11</v>
      </c>
      <c r="E309" t="s">
        <v>57</v>
      </c>
      <c r="F309" t="s">
        <v>814</v>
      </c>
    </row>
    <row r="310" spans="1:6" x14ac:dyDescent="0.3">
      <c r="A310" t="str">
        <f>HYPERLINK("https://hsdes.intel.com/resource/14013173043","14013173043")</f>
        <v>14013173043</v>
      </c>
      <c r="B310" t="s">
        <v>864</v>
      </c>
      <c r="C310" t="s">
        <v>865</v>
      </c>
      <c r="D310" t="s">
        <v>11</v>
      </c>
      <c r="E310" t="s">
        <v>57</v>
      </c>
      <c r="F310" t="s">
        <v>866</v>
      </c>
    </row>
    <row r="311" spans="1:6" x14ac:dyDescent="0.3">
      <c r="A311" t="str">
        <f>HYPERLINK("https://hsdes.intel.com/resource/14013173057","14013173057")</f>
        <v>14013173057</v>
      </c>
      <c r="B311" t="s">
        <v>867</v>
      </c>
      <c r="C311" t="s">
        <v>868</v>
      </c>
      <c r="D311" t="s">
        <v>11</v>
      </c>
      <c r="E311" t="s">
        <v>57</v>
      </c>
      <c r="F311" t="s">
        <v>814</v>
      </c>
    </row>
    <row r="312" spans="1:6" x14ac:dyDescent="0.3">
      <c r="A312" t="str">
        <f>HYPERLINK("https://hsdes.intel.com/resource/14013173090","14013173090")</f>
        <v>14013173090</v>
      </c>
      <c r="B312" t="s">
        <v>869</v>
      </c>
      <c r="C312" t="s">
        <v>870</v>
      </c>
      <c r="D312" t="s">
        <v>11</v>
      </c>
      <c r="E312" t="s">
        <v>57</v>
      </c>
      <c r="F312" t="s">
        <v>401</v>
      </c>
    </row>
    <row r="313" spans="1:6" x14ac:dyDescent="0.3">
      <c r="A313" t="str">
        <f>HYPERLINK("https://hsdes.intel.com/resource/14013173096","14013173096")</f>
        <v>14013173096</v>
      </c>
      <c r="B313" t="s">
        <v>871</v>
      </c>
      <c r="C313" t="s">
        <v>872</v>
      </c>
      <c r="D313" t="s">
        <v>11</v>
      </c>
      <c r="E313" t="s">
        <v>12</v>
      </c>
      <c r="F313" t="s">
        <v>873</v>
      </c>
    </row>
    <row r="314" spans="1:6" x14ac:dyDescent="0.3">
      <c r="A314" t="str">
        <f>HYPERLINK("https://hsdes.intel.com/resource/14013173107","14013173107")</f>
        <v>14013173107</v>
      </c>
      <c r="B314" t="s">
        <v>874</v>
      </c>
      <c r="C314" t="s">
        <v>875</v>
      </c>
      <c r="D314" t="s">
        <v>11</v>
      </c>
      <c r="E314" t="s">
        <v>12</v>
      </c>
      <c r="F314" t="s">
        <v>876</v>
      </c>
    </row>
    <row r="315" spans="1:6" x14ac:dyDescent="0.3">
      <c r="A315" t="str">
        <f>HYPERLINK("https://hsdes.intel.com/resource/14013173137","14013173137")</f>
        <v>14013173137</v>
      </c>
      <c r="B315" t="s">
        <v>877</v>
      </c>
      <c r="C315" t="s">
        <v>878</v>
      </c>
      <c r="D315" t="s">
        <v>11</v>
      </c>
      <c r="E315" t="s">
        <v>21</v>
      </c>
      <c r="F315" t="s">
        <v>879</v>
      </c>
    </row>
    <row r="316" spans="1:6" x14ac:dyDescent="0.3">
      <c r="A316" t="str">
        <f>HYPERLINK("https://hsdes.intel.com/resource/14013173144","14013173144")</f>
        <v>14013173144</v>
      </c>
      <c r="B316" t="s">
        <v>880</v>
      </c>
      <c r="C316" t="s">
        <v>881</v>
      </c>
      <c r="D316" t="s">
        <v>20</v>
      </c>
      <c r="E316" t="s">
        <v>21</v>
      </c>
      <c r="F316" t="s">
        <v>882</v>
      </c>
    </row>
    <row r="317" spans="1:6" x14ac:dyDescent="0.3">
      <c r="A317" t="str">
        <f>HYPERLINK("https://hsdes.intel.com/resource/14013173175","14013173175")</f>
        <v>14013173175</v>
      </c>
      <c r="B317" t="s">
        <v>883</v>
      </c>
      <c r="C317" t="s">
        <v>884</v>
      </c>
      <c r="D317" t="s">
        <v>20</v>
      </c>
      <c r="E317" t="s">
        <v>21</v>
      </c>
      <c r="F317" t="s">
        <v>746</v>
      </c>
    </row>
    <row r="318" spans="1:6" x14ac:dyDescent="0.3">
      <c r="A318" t="str">
        <f>HYPERLINK("https://hsdes.intel.com/resource/14013173176","14013173176")</f>
        <v>14013173176</v>
      </c>
      <c r="B318" t="s">
        <v>885</v>
      </c>
      <c r="C318" t="s">
        <v>886</v>
      </c>
      <c r="D318" t="s">
        <v>20</v>
      </c>
      <c r="E318" t="s">
        <v>887</v>
      </c>
      <c r="F318" t="s">
        <v>888</v>
      </c>
    </row>
    <row r="319" spans="1:6" x14ac:dyDescent="0.3">
      <c r="A319" t="str">
        <f>HYPERLINK("https://hsdes.intel.com/resource/14013173177","14013173177")</f>
        <v>14013173177</v>
      </c>
      <c r="B319" t="s">
        <v>889</v>
      </c>
      <c r="C319" t="s">
        <v>890</v>
      </c>
      <c r="D319" t="s">
        <v>20</v>
      </c>
      <c r="E319" t="s">
        <v>21</v>
      </c>
      <c r="F319" t="s">
        <v>891</v>
      </c>
    </row>
    <row r="320" spans="1:6" x14ac:dyDescent="0.3">
      <c r="A320" t="str">
        <f>HYPERLINK("https://hsdes.intel.com/resource/14013173187","14013173187")</f>
        <v>14013173187</v>
      </c>
      <c r="B320" t="s">
        <v>892</v>
      </c>
      <c r="C320" t="s">
        <v>893</v>
      </c>
      <c r="D320" t="s">
        <v>20</v>
      </c>
      <c r="E320" t="s">
        <v>21</v>
      </c>
      <c r="F320" t="s">
        <v>888</v>
      </c>
    </row>
    <row r="321" spans="1:6" x14ac:dyDescent="0.3">
      <c r="A321" t="str">
        <f>HYPERLINK("https://hsdes.intel.com/resource/14013173189","14013173189")</f>
        <v>14013173189</v>
      </c>
      <c r="B321" t="s">
        <v>894</v>
      </c>
      <c r="C321" t="s">
        <v>895</v>
      </c>
      <c r="D321" t="s">
        <v>20</v>
      </c>
      <c r="E321" t="s">
        <v>266</v>
      </c>
      <c r="F321" t="s">
        <v>888</v>
      </c>
    </row>
    <row r="322" spans="1:6" x14ac:dyDescent="0.3">
      <c r="A322" t="str">
        <f>HYPERLINK("https://hsdes.intel.com/resource/14013173193","14013173193")</f>
        <v>14013173193</v>
      </c>
      <c r="B322" t="s">
        <v>896</v>
      </c>
      <c r="C322" t="s">
        <v>897</v>
      </c>
      <c r="D322" t="s">
        <v>20</v>
      </c>
      <c r="E322" t="s">
        <v>266</v>
      </c>
      <c r="F322" t="s">
        <v>898</v>
      </c>
    </row>
    <row r="323" spans="1:6" x14ac:dyDescent="0.3">
      <c r="A323" t="str">
        <f>HYPERLINK("https://hsdes.intel.com/resource/14013173197","14013173197")</f>
        <v>14013173197</v>
      </c>
      <c r="B323" t="s">
        <v>899</v>
      </c>
      <c r="C323" t="s">
        <v>900</v>
      </c>
      <c r="D323" t="s">
        <v>20</v>
      </c>
      <c r="E323" t="s">
        <v>21</v>
      </c>
      <c r="F323" t="s">
        <v>901</v>
      </c>
    </row>
    <row r="324" spans="1:6" x14ac:dyDescent="0.3">
      <c r="A324" t="str">
        <f>HYPERLINK("https://hsdes.intel.com/resource/14013173200","14013173200")</f>
        <v>14013173200</v>
      </c>
      <c r="B324" t="s">
        <v>902</v>
      </c>
      <c r="C324" t="s">
        <v>903</v>
      </c>
      <c r="D324" t="s">
        <v>20</v>
      </c>
      <c r="E324" t="s">
        <v>241</v>
      </c>
      <c r="F324" t="s">
        <v>904</v>
      </c>
    </row>
    <row r="325" spans="1:6" x14ac:dyDescent="0.3">
      <c r="A325" t="str">
        <f>HYPERLINK("https://hsdes.intel.com/resource/14013173203","14013173203")</f>
        <v>14013173203</v>
      </c>
      <c r="B325" t="s">
        <v>905</v>
      </c>
      <c r="C325" t="s">
        <v>906</v>
      </c>
      <c r="D325" t="s">
        <v>20</v>
      </c>
      <c r="E325" t="s">
        <v>21</v>
      </c>
      <c r="F325" t="s">
        <v>907</v>
      </c>
    </row>
    <row r="326" spans="1:6" x14ac:dyDescent="0.3">
      <c r="A326" t="str">
        <f>HYPERLINK("https://hsdes.intel.com/resource/14013173229","14013173229")</f>
        <v>14013173229</v>
      </c>
      <c r="B326" t="s">
        <v>908</v>
      </c>
      <c r="C326" t="s">
        <v>909</v>
      </c>
      <c r="D326" t="s">
        <v>33</v>
      </c>
      <c r="E326" t="s">
        <v>21</v>
      </c>
      <c r="F326" t="s">
        <v>910</v>
      </c>
    </row>
    <row r="327" spans="1:6" x14ac:dyDescent="0.3">
      <c r="A327" t="str">
        <f>HYPERLINK("https://hsdes.intel.com/resource/14013173236","14013173236")</f>
        <v>14013173236</v>
      </c>
      <c r="B327" t="s">
        <v>911</v>
      </c>
      <c r="C327" t="s">
        <v>912</v>
      </c>
      <c r="D327" t="s">
        <v>11</v>
      </c>
      <c r="E327" t="s">
        <v>266</v>
      </c>
      <c r="F327" t="s">
        <v>913</v>
      </c>
    </row>
    <row r="328" spans="1:6" x14ac:dyDescent="0.3">
      <c r="A328" t="str">
        <f>HYPERLINK("https://hsdes.intel.com/resource/14013173243","14013173243")</f>
        <v>14013173243</v>
      </c>
      <c r="B328" t="s">
        <v>914</v>
      </c>
      <c r="C328" t="s">
        <v>915</v>
      </c>
      <c r="D328" t="s">
        <v>11</v>
      </c>
      <c r="E328" t="s">
        <v>400</v>
      </c>
      <c r="F328" t="s">
        <v>916</v>
      </c>
    </row>
    <row r="329" spans="1:6" x14ac:dyDescent="0.3">
      <c r="A329" t="str">
        <f>HYPERLINK("https://hsdes.intel.com/resource/14013173249","14013173249")</f>
        <v>14013173249</v>
      </c>
      <c r="B329" t="s">
        <v>917</v>
      </c>
      <c r="C329" t="s">
        <v>918</v>
      </c>
      <c r="D329" t="s">
        <v>100</v>
      </c>
      <c r="E329" t="s">
        <v>919</v>
      </c>
      <c r="F329" t="s">
        <v>920</v>
      </c>
    </row>
    <row r="330" spans="1:6" x14ac:dyDescent="0.3">
      <c r="A330" t="str">
        <f>HYPERLINK("https://hsdes.intel.com/resource/14013173254","14013173254")</f>
        <v>14013173254</v>
      </c>
      <c r="B330" t="s">
        <v>921</v>
      </c>
      <c r="C330" t="s">
        <v>922</v>
      </c>
      <c r="D330" t="s">
        <v>100</v>
      </c>
      <c r="E330" t="s">
        <v>919</v>
      </c>
      <c r="F330" t="s">
        <v>923</v>
      </c>
    </row>
    <row r="331" spans="1:6" x14ac:dyDescent="0.3">
      <c r="A331" t="str">
        <f>HYPERLINK("https://hsdes.intel.com/resource/14013173257","14013173257")</f>
        <v>14013173257</v>
      </c>
      <c r="B331" t="s">
        <v>924</v>
      </c>
      <c r="C331" t="s">
        <v>925</v>
      </c>
      <c r="D331" t="s">
        <v>100</v>
      </c>
      <c r="E331" t="s">
        <v>919</v>
      </c>
      <c r="F331" t="s">
        <v>926</v>
      </c>
    </row>
    <row r="332" spans="1:6" x14ac:dyDescent="0.3">
      <c r="A332" t="str">
        <f>HYPERLINK("https://hsdes.intel.com/resource/14013173279","14013173279")</f>
        <v>14013173279</v>
      </c>
      <c r="B332" t="s">
        <v>927</v>
      </c>
      <c r="C332" t="s">
        <v>928</v>
      </c>
      <c r="D332" t="s">
        <v>100</v>
      </c>
      <c r="E332" t="s">
        <v>12</v>
      </c>
      <c r="F332" t="s">
        <v>929</v>
      </c>
    </row>
    <row r="333" spans="1:6" x14ac:dyDescent="0.3">
      <c r="A333" t="str">
        <f>HYPERLINK("https://hsdes.intel.com/resource/14013173281","14013173281")</f>
        <v>14013173281</v>
      </c>
      <c r="B333" t="s">
        <v>930</v>
      </c>
      <c r="C333" t="s">
        <v>931</v>
      </c>
      <c r="D333" t="s">
        <v>100</v>
      </c>
      <c r="E333" t="s">
        <v>932</v>
      </c>
      <c r="F333" t="s">
        <v>933</v>
      </c>
    </row>
    <row r="334" spans="1:6" x14ac:dyDescent="0.3">
      <c r="A334" t="str">
        <f>HYPERLINK("https://hsdes.intel.com/resource/14013173287","14013173287")</f>
        <v>14013173287</v>
      </c>
      <c r="B334" t="s">
        <v>934</v>
      </c>
      <c r="C334" t="s">
        <v>935</v>
      </c>
      <c r="D334" t="s">
        <v>100</v>
      </c>
      <c r="E334" t="s">
        <v>936</v>
      </c>
      <c r="F334" t="s">
        <v>937</v>
      </c>
    </row>
    <row r="335" spans="1:6" x14ac:dyDescent="0.3">
      <c r="A335" t="str">
        <f>HYPERLINK("https://hsdes.intel.com/resource/14013173289","14013173289")</f>
        <v>14013173289</v>
      </c>
      <c r="B335" t="s">
        <v>938</v>
      </c>
      <c r="C335" t="s">
        <v>939</v>
      </c>
      <c r="D335" t="s">
        <v>100</v>
      </c>
      <c r="E335" t="s">
        <v>12</v>
      </c>
      <c r="F335" t="s">
        <v>940</v>
      </c>
    </row>
    <row r="336" spans="1:6" x14ac:dyDescent="0.3">
      <c r="A336" t="str">
        <f>HYPERLINK("https://hsdes.intel.com/resource/14013173295","14013173295")</f>
        <v>14013173295</v>
      </c>
      <c r="B336" t="s">
        <v>941</v>
      </c>
      <c r="C336" t="s">
        <v>942</v>
      </c>
      <c r="D336" t="s">
        <v>100</v>
      </c>
      <c r="E336" t="s">
        <v>932</v>
      </c>
      <c r="F336" t="s">
        <v>943</v>
      </c>
    </row>
    <row r="337" spans="1:6" x14ac:dyDescent="0.3">
      <c r="A337" t="str">
        <f>HYPERLINK("https://hsdes.intel.com/resource/14013173307","14013173307")</f>
        <v>14013173307</v>
      </c>
      <c r="B337" t="s">
        <v>944</v>
      </c>
      <c r="C337" t="s">
        <v>945</v>
      </c>
      <c r="D337" t="s">
        <v>100</v>
      </c>
      <c r="E337" t="s">
        <v>451</v>
      </c>
      <c r="F337" t="s">
        <v>946</v>
      </c>
    </row>
    <row r="338" spans="1:6" x14ac:dyDescent="0.3">
      <c r="A338" t="str">
        <f>HYPERLINK("https://hsdes.intel.com/resource/14013173311","14013173311")</f>
        <v>14013173311</v>
      </c>
      <c r="B338" t="s">
        <v>947</v>
      </c>
      <c r="C338" t="s">
        <v>948</v>
      </c>
      <c r="D338" t="s">
        <v>100</v>
      </c>
      <c r="E338" t="s">
        <v>451</v>
      </c>
      <c r="F338" t="s">
        <v>946</v>
      </c>
    </row>
    <row r="339" spans="1:6" x14ac:dyDescent="0.3">
      <c r="A339" t="str">
        <f>HYPERLINK("https://hsdes.intel.com/resource/14013173313","14013173313")</f>
        <v>14013173313</v>
      </c>
      <c r="B339" t="s">
        <v>949</v>
      </c>
      <c r="C339" t="s">
        <v>950</v>
      </c>
      <c r="D339" t="s">
        <v>100</v>
      </c>
      <c r="E339" t="s">
        <v>451</v>
      </c>
      <c r="F339" t="s">
        <v>946</v>
      </c>
    </row>
    <row r="340" spans="1:6" x14ac:dyDescent="0.3">
      <c r="A340" t="str">
        <f>HYPERLINK("https://hsdes.intel.com/resource/14013173323","14013173323")</f>
        <v>14013173323</v>
      </c>
      <c r="B340" t="s">
        <v>951</v>
      </c>
      <c r="C340" t="s">
        <v>952</v>
      </c>
      <c r="D340" t="s">
        <v>100</v>
      </c>
      <c r="E340" t="s">
        <v>451</v>
      </c>
      <c r="F340" t="s">
        <v>953</v>
      </c>
    </row>
    <row r="341" spans="1:6" x14ac:dyDescent="0.3">
      <c r="A341" t="str">
        <f>HYPERLINK("https://hsdes.intel.com/resource/14013173325","14013173325")</f>
        <v>14013173325</v>
      </c>
      <c r="B341" t="s">
        <v>954</v>
      </c>
      <c r="C341" t="s">
        <v>955</v>
      </c>
      <c r="D341" t="s">
        <v>100</v>
      </c>
      <c r="E341" t="s">
        <v>956</v>
      </c>
      <c r="F341" t="s">
        <v>957</v>
      </c>
    </row>
    <row r="342" spans="1:6" x14ac:dyDescent="0.3">
      <c r="A342" t="str">
        <f>HYPERLINK("https://hsdes.intel.com/resource/14013173326","14013173326")</f>
        <v>14013173326</v>
      </c>
      <c r="B342" t="s">
        <v>958</v>
      </c>
      <c r="C342" t="s">
        <v>959</v>
      </c>
      <c r="D342" t="s">
        <v>100</v>
      </c>
      <c r="E342" t="s">
        <v>451</v>
      </c>
      <c r="F342" t="s">
        <v>960</v>
      </c>
    </row>
    <row r="343" spans="1:6" x14ac:dyDescent="0.3">
      <c r="A343" t="str">
        <f>HYPERLINK("https://hsdes.intel.com/resource/14013173331","14013173331")</f>
        <v>14013173331</v>
      </c>
      <c r="B343" t="s">
        <v>961</v>
      </c>
      <c r="C343" t="s">
        <v>962</v>
      </c>
      <c r="D343" t="s">
        <v>100</v>
      </c>
      <c r="E343" t="s">
        <v>451</v>
      </c>
      <c r="F343" t="s">
        <v>963</v>
      </c>
    </row>
    <row r="344" spans="1:6" x14ac:dyDescent="0.3">
      <c r="A344" t="str">
        <f>HYPERLINK("https://hsdes.intel.com/resource/14013173339","14013173339")</f>
        <v>14013173339</v>
      </c>
      <c r="B344" t="s">
        <v>964</v>
      </c>
      <c r="C344" t="s">
        <v>965</v>
      </c>
      <c r="D344" t="s">
        <v>100</v>
      </c>
      <c r="E344" t="s">
        <v>451</v>
      </c>
      <c r="F344" t="s">
        <v>966</v>
      </c>
    </row>
    <row r="345" spans="1:6" x14ac:dyDescent="0.3">
      <c r="A345" t="str">
        <f>HYPERLINK("https://hsdes.intel.com/resource/14013173341","14013173341")</f>
        <v>14013173341</v>
      </c>
      <c r="B345" t="s">
        <v>967</v>
      </c>
      <c r="C345" t="s">
        <v>968</v>
      </c>
      <c r="D345" t="s">
        <v>100</v>
      </c>
      <c r="E345" t="s">
        <v>451</v>
      </c>
      <c r="F345" t="s">
        <v>969</v>
      </c>
    </row>
    <row r="346" spans="1:6" x14ac:dyDescent="0.3">
      <c r="A346" t="str">
        <f>HYPERLINK("https://hsdes.intel.com/resource/14013173344","14013173344")</f>
        <v>14013173344</v>
      </c>
      <c r="B346" t="s">
        <v>970</v>
      </c>
      <c r="C346" t="s">
        <v>971</v>
      </c>
      <c r="D346" t="s">
        <v>100</v>
      </c>
      <c r="E346" t="s">
        <v>451</v>
      </c>
      <c r="F346" t="s">
        <v>972</v>
      </c>
    </row>
    <row r="347" spans="1:6" x14ac:dyDescent="0.3">
      <c r="A347" t="str">
        <f>HYPERLINK("https://hsdes.intel.com/resource/14013173347","14013173347")</f>
        <v>14013173347</v>
      </c>
      <c r="B347" t="s">
        <v>973</v>
      </c>
      <c r="C347" t="s">
        <v>974</v>
      </c>
      <c r="D347" t="s">
        <v>100</v>
      </c>
      <c r="E347" t="s">
        <v>451</v>
      </c>
      <c r="F347" t="s">
        <v>946</v>
      </c>
    </row>
    <row r="348" spans="1:6" x14ac:dyDescent="0.3">
      <c r="A348" t="str">
        <f>HYPERLINK("https://hsdes.intel.com/resource/14013173351","14013173351")</f>
        <v>14013173351</v>
      </c>
      <c r="B348" t="s">
        <v>975</v>
      </c>
      <c r="C348" t="s">
        <v>976</v>
      </c>
      <c r="D348" t="s">
        <v>100</v>
      </c>
      <c r="E348" t="s">
        <v>451</v>
      </c>
      <c r="F348" t="s">
        <v>977</v>
      </c>
    </row>
    <row r="349" spans="1:6" x14ac:dyDescent="0.3">
      <c r="A349" t="str">
        <f>HYPERLINK("https://hsdes.intel.com/resource/14013173359","14013173359")</f>
        <v>14013173359</v>
      </c>
      <c r="B349" t="s">
        <v>978</v>
      </c>
      <c r="C349" t="s">
        <v>979</v>
      </c>
      <c r="D349" t="s">
        <v>100</v>
      </c>
      <c r="E349" t="s">
        <v>980</v>
      </c>
      <c r="F349" t="s">
        <v>981</v>
      </c>
    </row>
    <row r="350" spans="1:6" x14ac:dyDescent="0.3">
      <c r="A350" t="str">
        <f>HYPERLINK("https://hsdes.intel.com/resource/14013173927","14013173927")</f>
        <v>14013173927</v>
      </c>
      <c r="B350" t="s">
        <v>982</v>
      </c>
      <c r="C350" t="s">
        <v>983</v>
      </c>
      <c r="D350" t="s">
        <v>6</v>
      </c>
      <c r="E350" t="s">
        <v>21</v>
      </c>
      <c r="F350" t="s">
        <v>984</v>
      </c>
    </row>
    <row r="351" spans="1:6" x14ac:dyDescent="0.3">
      <c r="A351" t="str">
        <f>HYPERLINK("https://hsdes.intel.com/resource/14013173935","14013173935")</f>
        <v>14013173935</v>
      </c>
      <c r="B351" t="s">
        <v>985</v>
      </c>
      <c r="C351" t="s">
        <v>986</v>
      </c>
      <c r="D351" t="s">
        <v>6</v>
      </c>
      <c r="E351" t="s">
        <v>7</v>
      </c>
      <c r="F351" t="s">
        <v>987</v>
      </c>
    </row>
    <row r="352" spans="1:6" x14ac:dyDescent="0.3">
      <c r="A352" t="str">
        <f>HYPERLINK("https://hsdes.intel.com/resource/14013173938","14013173938")</f>
        <v>14013173938</v>
      </c>
      <c r="B352" t="s">
        <v>988</v>
      </c>
      <c r="C352" t="s">
        <v>989</v>
      </c>
      <c r="D352" t="s">
        <v>6</v>
      </c>
      <c r="E352" t="s">
        <v>7</v>
      </c>
      <c r="F352" t="s">
        <v>990</v>
      </c>
    </row>
    <row r="353" spans="1:6" x14ac:dyDescent="0.3">
      <c r="A353" t="str">
        <f>HYPERLINK("https://hsdes.intel.com/resource/14013173952","14013173952")</f>
        <v>14013173952</v>
      </c>
      <c r="B353" t="s">
        <v>991</v>
      </c>
      <c r="C353" t="s">
        <v>992</v>
      </c>
      <c r="D353" t="s">
        <v>6</v>
      </c>
      <c r="E353" t="s">
        <v>7</v>
      </c>
      <c r="F353" t="s">
        <v>993</v>
      </c>
    </row>
    <row r="354" spans="1:6" x14ac:dyDescent="0.3">
      <c r="A354" t="str">
        <f>HYPERLINK("https://hsdes.intel.com/resource/14013174020","14013174020")</f>
        <v>14013174020</v>
      </c>
      <c r="B354" t="s">
        <v>994</v>
      </c>
      <c r="C354" t="s">
        <v>995</v>
      </c>
      <c r="D354" t="s">
        <v>6</v>
      </c>
      <c r="E354" t="s">
        <v>7</v>
      </c>
      <c r="F354" t="s">
        <v>996</v>
      </c>
    </row>
    <row r="355" spans="1:6" x14ac:dyDescent="0.3">
      <c r="A355" t="str">
        <f>HYPERLINK("https://hsdes.intel.com/resource/14013174030","14013174030")</f>
        <v>14013174030</v>
      </c>
      <c r="B355" t="s">
        <v>997</v>
      </c>
      <c r="C355" t="s">
        <v>998</v>
      </c>
      <c r="D355" t="s">
        <v>6</v>
      </c>
      <c r="E355" t="s">
        <v>21</v>
      </c>
      <c r="F355" t="s">
        <v>999</v>
      </c>
    </row>
    <row r="356" spans="1:6" x14ac:dyDescent="0.3">
      <c r="A356" t="str">
        <f>HYPERLINK("https://hsdes.intel.com/resource/14013174036","14013174036")</f>
        <v>14013174036</v>
      </c>
      <c r="B356" t="s">
        <v>1000</v>
      </c>
      <c r="C356" t="s">
        <v>1001</v>
      </c>
      <c r="D356" t="s">
        <v>6</v>
      </c>
      <c r="E356" t="s">
        <v>12</v>
      </c>
      <c r="F356" t="s">
        <v>1002</v>
      </c>
    </row>
    <row r="357" spans="1:6" x14ac:dyDescent="0.3">
      <c r="A357" t="str">
        <f>HYPERLINK("https://hsdes.intel.com/resource/14013174040","14013174040")</f>
        <v>14013174040</v>
      </c>
      <c r="B357" t="s">
        <v>1003</v>
      </c>
      <c r="C357" t="s">
        <v>1004</v>
      </c>
      <c r="D357" t="s">
        <v>6</v>
      </c>
      <c r="E357" t="s">
        <v>7</v>
      </c>
      <c r="F357" t="s">
        <v>1005</v>
      </c>
    </row>
    <row r="358" spans="1:6" x14ac:dyDescent="0.3">
      <c r="A358" t="str">
        <f>HYPERLINK("https://hsdes.intel.com/resource/14013174056","14013174056")</f>
        <v>14013174056</v>
      </c>
      <c r="B358" t="s">
        <v>1006</v>
      </c>
      <c r="C358" t="s">
        <v>1007</v>
      </c>
      <c r="D358" t="s">
        <v>20</v>
      </c>
      <c r="E358" t="s">
        <v>16</v>
      </c>
      <c r="F358" t="s">
        <v>1008</v>
      </c>
    </row>
    <row r="359" spans="1:6" x14ac:dyDescent="0.3">
      <c r="A359" t="str">
        <f>HYPERLINK("https://hsdes.intel.com/resource/14013174080","14013174080")</f>
        <v>14013174080</v>
      </c>
      <c r="B359" t="s">
        <v>1009</v>
      </c>
      <c r="C359" t="s">
        <v>1010</v>
      </c>
      <c r="D359" t="s">
        <v>6</v>
      </c>
      <c r="E359" t="s">
        <v>12</v>
      </c>
      <c r="F359" t="s">
        <v>1011</v>
      </c>
    </row>
    <row r="360" spans="1:6" x14ac:dyDescent="0.3">
      <c r="A360" t="str">
        <f>HYPERLINK("https://hsdes.intel.com/resource/14013174195","14013174195")</f>
        <v>14013174195</v>
      </c>
      <c r="B360" t="s">
        <v>1012</v>
      </c>
      <c r="C360" t="s">
        <v>1013</v>
      </c>
      <c r="D360" t="s">
        <v>6</v>
      </c>
      <c r="E360" t="s">
        <v>7</v>
      </c>
      <c r="F360" t="s">
        <v>1014</v>
      </c>
    </row>
    <row r="361" spans="1:6" x14ac:dyDescent="0.3">
      <c r="A361" t="str">
        <f>HYPERLINK("https://hsdes.intel.com/resource/14013174205","14013174205")</f>
        <v>14013174205</v>
      </c>
      <c r="B361" t="s">
        <v>1015</v>
      </c>
      <c r="C361" t="s">
        <v>1016</v>
      </c>
      <c r="D361" t="s">
        <v>6</v>
      </c>
      <c r="E361" t="s">
        <v>7</v>
      </c>
      <c r="F361" t="s">
        <v>1017</v>
      </c>
    </row>
    <row r="362" spans="1:6" x14ac:dyDescent="0.3">
      <c r="A362" t="str">
        <f>HYPERLINK("https://hsdes.intel.com/resource/14013174208","14013174208")</f>
        <v>14013174208</v>
      </c>
      <c r="B362" t="s">
        <v>1018</v>
      </c>
      <c r="C362" t="s">
        <v>1019</v>
      </c>
      <c r="D362" t="s">
        <v>6</v>
      </c>
      <c r="E362" t="s">
        <v>1020</v>
      </c>
      <c r="F362" t="s">
        <v>1021</v>
      </c>
    </row>
    <row r="363" spans="1:6" x14ac:dyDescent="0.3">
      <c r="A363" t="str">
        <f>HYPERLINK("https://hsdes.intel.com/resource/14013174212","14013174212")</f>
        <v>14013174212</v>
      </c>
      <c r="B363" t="s">
        <v>1022</v>
      </c>
      <c r="C363" t="s">
        <v>1023</v>
      </c>
      <c r="D363" t="s">
        <v>6</v>
      </c>
      <c r="E363" t="s">
        <v>1020</v>
      </c>
      <c r="F363" t="s">
        <v>1024</v>
      </c>
    </row>
    <row r="364" spans="1:6" x14ac:dyDescent="0.3">
      <c r="A364" t="str">
        <f>HYPERLINK("https://hsdes.intel.com/resource/14013174234","14013174234")</f>
        <v>14013174234</v>
      </c>
      <c r="B364" t="s">
        <v>1025</v>
      </c>
      <c r="C364" t="s">
        <v>1026</v>
      </c>
      <c r="D364" t="s">
        <v>6</v>
      </c>
      <c r="E364" t="s">
        <v>1020</v>
      </c>
      <c r="F364" t="s">
        <v>1027</v>
      </c>
    </row>
    <row r="365" spans="1:6" x14ac:dyDescent="0.3">
      <c r="A365" t="str">
        <f>HYPERLINK("https://hsdes.intel.com/resource/14013174283","14013174283")</f>
        <v>14013174283</v>
      </c>
      <c r="B365" t="s">
        <v>1028</v>
      </c>
      <c r="C365" t="s">
        <v>1029</v>
      </c>
      <c r="D365" t="s">
        <v>6</v>
      </c>
      <c r="E365" t="s">
        <v>129</v>
      </c>
      <c r="F365" t="s">
        <v>1030</v>
      </c>
    </row>
    <row r="366" spans="1:6" x14ac:dyDescent="0.3">
      <c r="A366" t="str">
        <f>HYPERLINK("https://hsdes.intel.com/resource/14013174344","14013174344")</f>
        <v>14013174344</v>
      </c>
      <c r="B366" t="s">
        <v>1031</v>
      </c>
      <c r="C366" t="s">
        <v>1032</v>
      </c>
      <c r="D366" t="s">
        <v>6</v>
      </c>
      <c r="E366" t="s">
        <v>64</v>
      </c>
      <c r="F366" t="s">
        <v>232</v>
      </c>
    </row>
    <row r="367" spans="1:6" x14ac:dyDescent="0.3">
      <c r="A367" t="str">
        <f>HYPERLINK("https://hsdes.intel.com/resource/14013174372","14013174372")</f>
        <v>14013174372</v>
      </c>
      <c r="B367" t="s">
        <v>1033</v>
      </c>
      <c r="C367" t="s">
        <v>1034</v>
      </c>
      <c r="D367" t="s">
        <v>6</v>
      </c>
      <c r="E367" t="s">
        <v>1020</v>
      </c>
      <c r="F367" t="s">
        <v>1035</v>
      </c>
    </row>
    <row r="368" spans="1:6" x14ac:dyDescent="0.3">
      <c r="A368" t="str">
        <f>HYPERLINK("https://hsdes.intel.com/resource/14013174447","14013174447")</f>
        <v>14013174447</v>
      </c>
      <c r="B368" t="s">
        <v>1036</v>
      </c>
      <c r="C368" t="s">
        <v>1037</v>
      </c>
      <c r="D368" t="s">
        <v>6</v>
      </c>
      <c r="E368" t="s">
        <v>21</v>
      </c>
      <c r="F368" t="s">
        <v>1038</v>
      </c>
    </row>
    <row r="369" spans="1:6" x14ac:dyDescent="0.3">
      <c r="A369" t="str">
        <f>HYPERLINK("https://hsdes.intel.com/resource/14013174476","14013174476")</f>
        <v>14013174476</v>
      </c>
      <c r="B369" t="s">
        <v>1039</v>
      </c>
      <c r="C369" t="s">
        <v>1040</v>
      </c>
      <c r="D369" t="s">
        <v>6</v>
      </c>
      <c r="E369" t="s">
        <v>21</v>
      </c>
      <c r="F369" t="s">
        <v>1041</v>
      </c>
    </row>
    <row r="370" spans="1:6" x14ac:dyDescent="0.3">
      <c r="A370" t="str">
        <f>HYPERLINK("https://hsdes.intel.com/resource/14013174576","14013174576")</f>
        <v>14013174576</v>
      </c>
      <c r="B370" t="s">
        <v>1042</v>
      </c>
      <c r="C370" t="s">
        <v>1043</v>
      </c>
      <c r="D370" t="s">
        <v>6</v>
      </c>
      <c r="E370" t="s">
        <v>21</v>
      </c>
      <c r="F370" t="s">
        <v>1044</v>
      </c>
    </row>
    <row r="371" spans="1:6" x14ac:dyDescent="0.3">
      <c r="A371" t="str">
        <f>HYPERLINK("https://hsdes.intel.com/resource/14013174585","14013174585")</f>
        <v>14013174585</v>
      </c>
      <c r="B371" t="s">
        <v>1045</v>
      </c>
      <c r="C371" t="s">
        <v>1046</v>
      </c>
      <c r="D371" t="s">
        <v>6</v>
      </c>
      <c r="E371" t="s">
        <v>21</v>
      </c>
      <c r="F371" t="s">
        <v>439</v>
      </c>
    </row>
    <row r="372" spans="1:6" x14ac:dyDescent="0.3">
      <c r="A372" t="str">
        <f>HYPERLINK("https://hsdes.intel.com/resource/14013174597","14013174597")</f>
        <v>14013174597</v>
      </c>
      <c r="B372" t="s">
        <v>1047</v>
      </c>
      <c r="C372" t="s">
        <v>1048</v>
      </c>
      <c r="D372" t="s">
        <v>6</v>
      </c>
      <c r="E372" t="s">
        <v>1049</v>
      </c>
      <c r="F372" t="s">
        <v>1050</v>
      </c>
    </row>
    <row r="373" spans="1:6" x14ac:dyDescent="0.3">
      <c r="A373" t="str">
        <f>HYPERLINK("https://hsdes.intel.com/resource/14013174602","14013174602")</f>
        <v>14013174602</v>
      </c>
      <c r="B373" t="s">
        <v>1051</v>
      </c>
      <c r="C373" t="s">
        <v>1052</v>
      </c>
      <c r="D373" t="s">
        <v>6</v>
      </c>
      <c r="E373" t="s">
        <v>1053</v>
      </c>
      <c r="F373" t="s">
        <v>367</v>
      </c>
    </row>
    <row r="374" spans="1:6" x14ac:dyDescent="0.3">
      <c r="A374" t="str">
        <f>HYPERLINK("https://hsdes.intel.com/resource/14013174623","14013174623")</f>
        <v>14013174623</v>
      </c>
      <c r="B374" t="s">
        <v>1054</v>
      </c>
      <c r="C374" t="s">
        <v>1055</v>
      </c>
      <c r="D374" t="s">
        <v>6</v>
      </c>
      <c r="E374" t="s">
        <v>21</v>
      </c>
      <c r="F374" t="s">
        <v>757</v>
      </c>
    </row>
    <row r="375" spans="1:6" x14ac:dyDescent="0.3">
      <c r="A375" t="str">
        <f>HYPERLINK("https://hsdes.intel.com/resource/14013174625","14013174625")</f>
        <v>14013174625</v>
      </c>
      <c r="B375" t="s">
        <v>1056</v>
      </c>
      <c r="C375" t="s">
        <v>1057</v>
      </c>
      <c r="D375" t="s">
        <v>6</v>
      </c>
      <c r="E375" t="s">
        <v>21</v>
      </c>
      <c r="F375" t="s">
        <v>757</v>
      </c>
    </row>
    <row r="376" spans="1:6" x14ac:dyDescent="0.3">
      <c r="A376" t="str">
        <f>HYPERLINK("https://hsdes.intel.com/resource/14013174630","14013174630")</f>
        <v>14013174630</v>
      </c>
      <c r="B376" t="s">
        <v>1058</v>
      </c>
      <c r="C376" t="s">
        <v>1059</v>
      </c>
      <c r="D376" t="s">
        <v>6</v>
      </c>
      <c r="E376" t="s">
        <v>129</v>
      </c>
      <c r="F376" t="s">
        <v>1060</v>
      </c>
    </row>
    <row r="377" spans="1:6" x14ac:dyDescent="0.3">
      <c r="A377" t="str">
        <f>HYPERLINK("https://hsdes.intel.com/resource/14013174685","14013174685")</f>
        <v>14013174685</v>
      </c>
      <c r="B377" t="s">
        <v>1061</v>
      </c>
      <c r="C377" t="s">
        <v>1062</v>
      </c>
      <c r="D377" t="s">
        <v>6</v>
      </c>
      <c r="E377" t="s">
        <v>64</v>
      </c>
      <c r="F377" t="s">
        <v>1063</v>
      </c>
    </row>
    <row r="378" spans="1:6" x14ac:dyDescent="0.3">
      <c r="A378" t="str">
        <f>HYPERLINK("https://hsdes.intel.com/resource/14013174718","14013174718")</f>
        <v>14013174718</v>
      </c>
      <c r="B378" t="s">
        <v>1064</v>
      </c>
      <c r="C378" t="s">
        <v>1065</v>
      </c>
      <c r="D378" t="s">
        <v>6</v>
      </c>
      <c r="E378" t="s">
        <v>21</v>
      </c>
      <c r="F378" t="s">
        <v>1066</v>
      </c>
    </row>
    <row r="379" spans="1:6" x14ac:dyDescent="0.3">
      <c r="A379" t="str">
        <f>HYPERLINK("https://hsdes.intel.com/resource/14013174731","14013174731")</f>
        <v>14013174731</v>
      </c>
      <c r="B379" t="s">
        <v>1067</v>
      </c>
      <c r="C379" t="s">
        <v>1068</v>
      </c>
      <c r="D379" t="s">
        <v>6</v>
      </c>
      <c r="E379" t="s">
        <v>12</v>
      </c>
      <c r="F379" t="s">
        <v>565</v>
      </c>
    </row>
    <row r="380" spans="1:6" x14ac:dyDescent="0.3">
      <c r="A380" t="str">
        <f>HYPERLINK("https://hsdes.intel.com/resource/14013174741","14013174741")</f>
        <v>14013174741</v>
      </c>
      <c r="B380" t="s">
        <v>1069</v>
      </c>
      <c r="C380" t="s">
        <v>1070</v>
      </c>
      <c r="D380" t="s">
        <v>6</v>
      </c>
      <c r="E380" t="s">
        <v>12</v>
      </c>
      <c r="F380" t="s">
        <v>147</v>
      </c>
    </row>
    <row r="381" spans="1:6" x14ac:dyDescent="0.3">
      <c r="A381" t="str">
        <f>HYPERLINK("https://hsdes.intel.com/resource/14013174746","14013174746")</f>
        <v>14013174746</v>
      </c>
      <c r="B381" t="s">
        <v>1071</v>
      </c>
      <c r="C381" t="s">
        <v>1072</v>
      </c>
      <c r="D381" t="s">
        <v>6</v>
      </c>
      <c r="E381" t="s">
        <v>1020</v>
      </c>
      <c r="F381" t="s">
        <v>1073</v>
      </c>
    </row>
    <row r="382" spans="1:6" x14ac:dyDescent="0.3">
      <c r="A382" t="str">
        <f>HYPERLINK("https://hsdes.intel.com/resource/14013174768","14013174768")</f>
        <v>14013174768</v>
      </c>
      <c r="B382" t="s">
        <v>1074</v>
      </c>
      <c r="C382" t="s">
        <v>1075</v>
      </c>
      <c r="D382" t="s">
        <v>6</v>
      </c>
      <c r="E382" t="s">
        <v>1076</v>
      </c>
      <c r="F382" t="s">
        <v>1077</v>
      </c>
    </row>
    <row r="383" spans="1:6" x14ac:dyDescent="0.3">
      <c r="A383" t="str">
        <f>HYPERLINK("https://hsdes.intel.com/resource/14013174775","14013174775")</f>
        <v>14013174775</v>
      </c>
      <c r="B383" t="s">
        <v>1078</v>
      </c>
      <c r="C383" t="s">
        <v>1079</v>
      </c>
      <c r="D383" t="s">
        <v>6</v>
      </c>
      <c r="E383" t="s">
        <v>1053</v>
      </c>
      <c r="F383" t="s">
        <v>1080</v>
      </c>
    </row>
    <row r="384" spans="1:6" x14ac:dyDescent="0.3">
      <c r="A384" t="str">
        <f>HYPERLINK("https://hsdes.intel.com/resource/14013174814","14013174814")</f>
        <v>14013174814</v>
      </c>
      <c r="B384" t="s">
        <v>1081</v>
      </c>
      <c r="C384" t="s">
        <v>1082</v>
      </c>
      <c r="D384" t="s">
        <v>6</v>
      </c>
      <c r="E384" t="s">
        <v>64</v>
      </c>
      <c r="F384" t="s">
        <v>757</v>
      </c>
    </row>
    <row r="385" spans="1:6" x14ac:dyDescent="0.3">
      <c r="A385" t="str">
        <f>HYPERLINK("https://hsdes.intel.com/resource/14013174902","14013174902")</f>
        <v>14013174902</v>
      </c>
      <c r="B385" t="s">
        <v>1083</v>
      </c>
      <c r="C385" t="s">
        <v>1084</v>
      </c>
      <c r="D385" t="s">
        <v>6</v>
      </c>
      <c r="E385" t="s">
        <v>1020</v>
      </c>
      <c r="F385" t="s">
        <v>1085</v>
      </c>
    </row>
    <row r="386" spans="1:6" x14ac:dyDescent="0.3">
      <c r="A386" t="str">
        <f>HYPERLINK("https://hsdes.intel.com/resource/14013174909","14013174909")</f>
        <v>14013174909</v>
      </c>
      <c r="B386" t="s">
        <v>1086</v>
      </c>
      <c r="C386" t="s">
        <v>1087</v>
      </c>
      <c r="D386" t="s">
        <v>6</v>
      </c>
      <c r="E386" t="s">
        <v>1020</v>
      </c>
      <c r="F386" t="s">
        <v>1085</v>
      </c>
    </row>
    <row r="387" spans="1:6" x14ac:dyDescent="0.3">
      <c r="A387" t="str">
        <f>HYPERLINK("https://hsdes.intel.com/resource/14013174911","14013174911")</f>
        <v>14013174911</v>
      </c>
      <c r="B387" t="s">
        <v>1088</v>
      </c>
      <c r="C387" t="s">
        <v>1089</v>
      </c>
      <c r="D387" t="s">
        <v>6</v>
      </c>
      <c r="E387" t="s">
        <v>1020</v>
      </c>
      <c r="F387" t="s">
        <v>1085</v>
      </c>
    </row>
    <row r="388" spans="1:6" x14ac:dyDescent="0.3">
      <c r="A388" t="str">
        <f>HYPERLINK("https://hsdes.intel.com/resource/14013174915","14013174915")</f>
        <v>14013174915</v>
      </c>
      <c r="B388" t="s">
        <v>1090</v>
      </c>
      <c r="C388" t="s">
        <v>1091</v>
      </c>
      <c r="D388" t="s">
        <v>6</v>
      </c>
      <c r="E388" t="s">
        <v>1020</v>
      </c>
      <c r="F388" t="s">
        <v>1085</v>
      </c>
    </row>
    <row r="389" spans="1:6" x14ac:dyDescent="0.3">
      <c r="A389" t="str">
        <f>HYPERLINK("https://hsdes.intel.com/resource/14013174926","14013174926")</f>
        <v>14013174926</v>
      </c>
      <c r="B389" t="s">
        <v>1092</v>
      </c>
      <c r="C389" t="s">
        <v>1093</v>
      </c>
      <c r="D389" t="s">
        <v>6</v>
      </c>
      <c r="E389" t="s">
        <v>1020</v>
      </c>
      <c r="F389" t="s">
        <v>1094</v>
      </c>
    </row>
    <row r="390" spans="1:6" x14ac:dyDescent="0.3">
      <c r="A390" t="str">
        <f>HYPERLINK("https://hsdes.intel.com/resource/14013174933","14013174933")</f>
        <v>14013174933</v>
      </c>
      <c r="B390" t="s">
        <v>1095</v>
      </c>
      <c r="C390" t="s">
        <v>1096</v>
      </c>
      <c r="D390" t="s">
        <v>6</v>
      </c>
      <c r="E390" t="s">
        <v>1020</v>
      </c>
      <c r="F390" t="s">
        <v>1094</v>
      </c>
    </row>
    <row r="391" spans="1:6" x14ac:dyDescent="0.3">
      <c r="A391" t="str">
        <f>HYPERLINK("https://hsdes.intel.com/resource/14013174949","14013174949")</f>
        <v>14013174949</v>
      </c>
      <c r="B391" t="s">
        <v>1097</v>
      </c>
      <c r="C391" t="s">
        <v>1098</v>
      </c>
      <c r="D391" t="s">
        <v>6</v>
      </c>
      <c r="E391" t="s">
        <v>1099</v>
      </c>
      <c r="F391" t="s">
        <v>1094</v>
      </c>
    </row>
    <row r="392" spans="1:6" x14ac:dyDescent="0.3">
      <c r="A392" t="str">
        <f>HYPERLINK("https://hsdes.intel.com/resource/14013174954","14013174954")</f>
        <v>14013174954</v>
      </c>
      <c r="B392" t="s">
        <v>1100</v>
      </c>
      <c r="C392" t="s">
        <v>1101</v>
      </c>
      <c r="D392" t="s">
        <v>6</v>
      </c>
      <c r="E392" t="s">
        <v>1020</v>
      </c>
      <c r="F392" t="s">
        <v>1094</v>
      </c>
    </row>
    <row r="393" spans="1:6" x14ac:dyDescent="0.3">
      <c r="A393" t="str">
        <f>HYPERLINK("https://hsdes.intel.com/resource/14013174969","14013174969")</f>
        <v>14013174969</v>
      </c>
      <c r="B393" t="s">
        <v>1102</v>
      </c>
      <c r="C393" t="s">
        <v>1103</v>
      </c>
      <c r="D393" t="s">
        <v>6</v>
      </c>
      <c r="E393" t="s">
        <v>7</v>
      </c>
      <c r="F393" t="s">
        <v>1104</v>
      </c>
    </row>
    <row r="394" spans="1:6" x14ac:dyDescent="0.3">
      <c r="A394" t="str">
        <f>HYPERLINK("https://hsdes.intel.com/resource/14013174975","14013174975")</f>
        <v>14013174975</v>
      </c>
      <c r="B394" t="s">
        <v>1105</v>
      </c>
      <c r="C394" t="s">
        <v>5</v>
      </c>
      <c r="D394" t="s">
        <v>6</v>
      </c>
      <c r="E394" t="s">
        <v>7</v>
      </c>
      <c r="F394" t="s">
        <v>1106</v>
      </c>
    </row>
    <row r="395" spans="1:6" x14ac:dyDescent="0.3">
      <c r="A395" t="str">
        <f>HYPERLINK("https://hsdes.intel.com/resource/14013174978","14013174978")</f>
        <v>14013174978</v>
      </c>
      <c r="B395" t="s">
        <v>1107</v>
      </c>
      <c r="C395" t="s">
        <v>1108</v>
      </c>
      <c r="D395" t="s">
        <v>6</v>
      </c>
      <c r="E395" t="s">
        <v>7</v>
      </c>
      <c r="F395" t="s">
        <v>1106</v>
      </c>
    </row>
    <row r="396" spans="1:6" x14ac:dyDescent="0.3">
      <c r="A396" t="str">
        <f>HYPERLINK("https://hsdes.intel.com/resource/14013174979","14013174979")</f>
        <v>14013174979</v>
      </c>
      <c r="B396" t="s">
        <v>1109</v>
      </c>
      <c r="C396" t="s">
        <v>1110</v>
      </c>
      <c r="D396" t="s">
        <v>6</v>
      </c>
      <c r="E396" t="s">
        <v>12</v>
      </c>
      <c r="F396" t="s">
        <v>1111</v>
      </c>
    </row>
    <row r="397" spans="1:6" x14ac:dyDescent="0.3">
      <c r="A397" t="str">
        <f>HYPERLINK("https://hsdes.intel.com/resource/14013174983","14013174983")</f>
        <v>14013174983</v>
      </c>
      <c r="B397" t="s">
        <v>1112</v>
      </c>
      <c r="C397" t="s">
        <v>1113</v>
      </c>
      <c r="D397" t="s">
        <v>6</v>
      </c>
      <c r="E397" t="s">
        <v>12</v>
      </c>
      <c r="F397" t="s">
        <v>1106</v>
      </c>
    </row>
    <row r="398" spans="1:6" x14ac:dyDescent="0.3">
      <c r="A398" t="str">
        <f>HYPERLINK("https://hsdes.intel.com/resource/14013174987","14013174987")</f>
        <v>14013174987</v>
      </c>
      <c r="B398" t="s">
        <v>1114</v>
      </c>
      <c r="C398" t="s">
        <v>1115</v>
      </c>
      <c r="D398" t="s">
        <v>6</v>
      </c>
      <c r="E398" t="s">
        <v>12</v>
      </c>
      <c r="F398" t="s">
        <v>1111</v>
      </c>
    </row>
    <row r="399" spans="1:6" x14ac:dyDescent="0.3">
      <c r="A399" t="str">
        <f>HYPERLINK("https://hsdes.intel.com/resource/14013174993","14013174993")</f>
        <v>14013174993</v>
      </c>
      <c r="B399" t="s">
        <v>1116</v>
      </c>
      <c r="C399" t="s">
        <v>1117</v>
      </c>
      <c r="D399" t="s">
        <v>6</v>
      </c>
      <c r="E399" t="s">
        <v>12</v>
      </c>
      <c r="F399" t="s">
        <v>1111</v>
      </c>
    </row>
    <row r="400" spans="1:6" x14ac:dyDescent="0.3">
      <c r="A400" t="str">
        <f>HYPERLINK("https://hsdes.intel.com/resource/14013175110","14013175110")</f>
        <v>14013175110</v>
      </c>
      <c r="B400" t="s">
        <v>1118</v>
      </c>
      <c r="C400" t="s">
        <v>1119</v>
      </c>
      <c r="D400" t="s">
        <v>6</v>
      </c>
      <c r="E400" t="s">
        <v>21</v>
      </c>
      <c r="F400" t="s">
        <v>1120</v>
      </c>
    </row>
    <row r="401" spans="1:6" x14ac:dyDescent="0.3">
      <c r="A401" t="str">
        <f>HYPERLINK("https://hsdes.intel.com/resource/14013175415","14013175415")</f>
        <v>14013175415</v>
      </c>
      <c r="B401" t="s">
        <v>1121</v>
      </c>
      <c r="C401" t="s">
        <v>1122</v>
      </c>
      <c r="D401" t="s">
        <v>6</v>
      </c>
      <c r="E401" t="s">
        <v>21</v>
      </c>
      <c r="F401" t="s">
        <v>746</v>
      </c>
    </row>
    <row r="402" spans="1:6" x14ac:dyDescent="0.3">
      <c r="A402" t="str">
        <f>HYPERLINK("https://hsdes.intel.com/resource/14013175416","14013175416")</f>
        <v>14013175416</v>
      </c>
      <c r="B402" t="s">
        <v>1123</v>
      </c>
      <c r="C402" t="s">
        <v>1124</v>
      </c>
      <c r="D402" t="s">
        <v>6</v>
      </c>
      <c r="E402" t="s">
        <v>21</v>
      </c>
      <c r="F402" t="s">
        <v>604</v>
      </c>
    </row>
    <row r="403" spans="1:6" x14ac:dyDescent="0.3">
      <c r="A403" t="str">
        <f>HYPERLINK("https://hsdes.intel.com/resource/14013175421","14013175421")</f>
        <v>14013175421</v>
      </c>
      <c r="B403" t="s">
        <v>1125</v>
      </c>
      <c r="C403" t="s">
        <v>1126</v>
      </c>
      <c r="D403" t="s">
        <v>6</v>
      </c>
      <c r="E403" t="s">
        <v>21</v>
      </c>
      <c r="F403" t="s">
        <v>746</v>
      </c>
    </row>
    <row r="404" spans="1:6" x14ac:dyDescent="0.3">
      <c r="A404" t="str">
        <f>HYPERLINK("https://hsdes.intel.com/resource/14013175432","14013175432")</f>
        <v>14013175432</v>
      </c>
      <c r="B404" t="s">
        <v>1127</v>
      </c>
      <c r="C404" t="s">
        <v>1128</v>
      </c>
      <c r="D404" t="s">
        <v>6</v>
      </c>
      <c r="E404" t="s">
        <v>1099</v>
      </c>
      <c r="F404" t="s">
        <v>1129</v>
      </c>
    </row>
    <row r="405" spans="1:6" x14ac:dyDescent="0.3">
      <c r="A405" t="str">
        <f>HYPERLINK("https://hsdes.intel.com/resource/14013175465","14013175465")</f>
        <v>14013175465</v>
      </c>
      <c r="B405" t="s">
        <v>1130</v>
      </c>
      <c r="C405" t="s">
        <v>1131</v>
      </c>
      <c r="D405" t="s">
        <v>6</v>
      </c>
      <c r="E405" t="s">
        <v>129</v>
      </c>
      <c r="F405" t="s">
        <v>907</v>
      </c>
    </row>
    <row r="406" spans="1:6" x14ac:dyDescent="0.3">
      <c r="A406" t="str">
        <f>HYPERLINK("https://hsdes.intel.com/resource/14013175473","14013175473")</f>
        <v>14013175473</v>
      </c>
      <c r="B406" t="s">
        <v>1132</v>
      </c>
      <c r="C406" t="s">
        <v>1133</v>
      </c>
      <c r="D406" t="s">
        <v>6</v>
      </c>
      <c r="E406" t="s">
        <v>21</v>
      </c>
      <c r="F406" t="s">
        <v>746</v>
      </c>
    </row>
    <row r="407" spans="1:6" x14ac:dyDescent="0.3">
      <c r="A407" t="str">
        <f>HYPERLINK("https://hsdes.intel.com/resource/14013175476","14013175476")</f>
        <v>14013175476</v>
      </c>
      <c r="B407" t="s">
        <v>1134</v>
      </c>
      <c r="C407" t="s">
        <v>1135</v>
      </c>
      <c r="D407" t="s">
        <v>6</v>
      </c>
      <c r="E407" t="s">
        <v>129</v>
      </c>
      <c r="F407" t="s">
        <v>1136</v>
      </c>
    </row>
    <row r="408" spans="1:6" x14ac:dyDescent="0.3">
      <c r="A408" t="str">
        <f>HYPERLINK("https://hsdes.intel.com/resource/14013175479","14013175479")</f>
        <v>14013175479</v>
      </c>
      <c r="B408" t="s">
        <v>1137</v>
      </c>
      <c r="C408" t="s">
        <v>1138</v>
      </c>
      <c r="D408" t="s">
        <v>6</v>
      </c>
      <c r="E408" t="s">
        <v>129</v>
      </c>
      <c r="F408" t="s">
        <v>1136</v>
      </c>
    </row>
    <row r="409" spans="1:6" x14ac:dyDescent="0.3">
      <c r="A409" t="str">
        <f>HYPERLINK("https://hsdes.intel.com/resource/14013175486","14013175486")</f>
        <v>14013175486</v>
      </c>
      <c r="B409" t="s">
        <v>1139</v>
      </c>
      <c r="C409" t="s">
        <v>1140</v>
      </c>
      <c r="D409" t="s">
        <v>6</v>
      </c>
      <c r="E409" t="s">
        <v>1141</v>
      </c>
      <c r="F409" t="s">
        <v>1142</v>
      </c>
    </row>
    <row r="410" spans="1:6" x14ac:dyDescent="0.3">
      <c r="A410" t="str">
        <f>HYPERLINK("https://hsdes.intel.com/resource/14013175598","14013175598")</f>
        <v>14013175598</v>
      </c>
      <c r="B410" t="s">
        <v>1143</v>
      </c>
      <c r="C410" t="s">
        <v>1144</v>
      </c>
      <c r="D410" t="s">
        <v>33</v>
      </c>
      <c r="E410" t="s">
        <v>12</v>
      </c>
      <c r="F410" t="s">
        <v>1145</v>
      </c>
    </row>
    <row r="411" spans="1:6" x14ac:dyDescent="0.3">
      <c r="A411" t="str">
        <f>HYPERLINK("https://hsdes.intel.com/resource/14013175646","14013175646")</f>
        <v>14013175646</v>
      </c>
      <c r="B411" t="s">
        <v>1146</v>
      </c>
      <c r="C411" t="s">
        <v>1147</v>
      </c>
      <c r="D411" t="s">
        <v>33</v>
      </c>
      <c r="E411" t="s">
        <v>129</v>
      </c>
      <c r="F411" t="s">
        <v>1148</v>
      </c>
    </row>
    <row r="412" spans="1:6" x14ac:dyDescent="0.3">
      <c r="A412" t="str">
        <f>HYPERLINK("https://hsdes.intel.com/resource/14013175738","14013175738")</f>
        <v>14013175738</v>
      </c>
      <c r="B412" t="s">
        <v>1149</v>
      </c>
      <c r="C412" t="s">
        <v>1150</v>
      </c>
      <c r="D412" t="s">
        <v>20</v>
      </c>
      <c r="E412" t="s">
        <v>101</v>
      </c>
      <c r="F412" t="s">
        <v>1151</v>
      </c>
    </row>
    <row r="413" spans="1:6" x14ac:dyDescent="0.3">
      <c r="A413" t="str">
        <f>HYPERLINK("https://hsdes.intel.com/resource/14013175857","14013175857")</f>
        <v>14013175857</v>
      </c>
      <c r="B413" t="s">
        <v>1152</v>
      </c>
      <c r="C413" t="s">
        <v>1153</v>
      </c>
      <c r="D413" t="s">
        <v>25</v>
      </c>
      <c r="E413" t="s">
        <v>26</v>
      </c>
      <c r="F413" t="s">
        <v>1154</v>
      </c>
    </row>
    <row r="414" spans="1:6" x14ac:dyDescent="0.3">
      <c r="A414" t="str">
        <f>HYPERLINK("https://hsdes.intel.com/resource/14013176015","14013176015")</f>
        <v>14013176015</v>
      </c>
      <c r="B414" t="s">
        <v>1155</v>
      </c>
      <c r="C414" t="s">
        <v>1156</v>
      </c>
      <c r="D414" t="s">
        <v>33</v>
      </c>
      <c r="E414" t="s">
        <v>21</v>
      </c>
      <c r="F414" t="s">
        <v>1157</v>
      </c>
    </row>
    <row r="415" spans="1:6" x14ac:dyDescent="0.3">
      <c r="A415" t="str">
        <f>HYPERLINK("https://hsdes.intel.com/resource/14013176057","14013176057")</f>
        <v>14013176057</v>
      </c>
      <c r="B415" t="s">
        <v>1158</v>
      </c>
      <c r="C415" t="s">
        <v>1159</v>
      </c>
      <c r="D415" t="s">
        <v>25</v>
      </c>
      <c r="E415" t="s">
        <v>68</v>
      </c>
      <c r="F415" t="s">
        <v>1160</v>
      </c>
    </row>
    <row r="416" spans="1:6" x14ac:dyDescent="0.3">
      <c r="A416" t="str">
        <f>HYPERLINK("https://hsdes.intel.com/resource/14013176061","14013176061")</f>
        <v>14013176061</v>
      </c>
      <c r="B416" t="s">
        <v>1161</v>
      </c>
      <c r="C416" t="s">
        <v>1162</v>
      </c>
      <c r="D416" t="s">
        <v>25</v>
      </c>
      <c r="E416" t="s">
        <v>68</v>
      </c>
      <c r="F416" t="s">
        <v>1163</v>
      </c>
    </row>
    <row r="417" spans="1:6" x14ac:dyDescent="0.3">
      <c r="A417" t="str">
        <f>HYPERLINK("https://hsdes.intel.com/resource/14013176094","14013176094")</f>
        <v>14013176094</v>
      </c>
      <c r="B417" t="s">
        <v>1164</v>
      </c>
      <c r="C417" t="s">
        <v>1165</v>
      </c>
      <c r="D417" t="s">
        <v>798</v>
      </c>
      <c r="E417" t="s">
        <v>12</v>
      </c>
      <c r="F417" t="s">
        <v>1166</v>
      </c>
    </row>
    <row r="418" spans="1:6" x14ac:dyDescent="0.3">
      <c r="A418" t="str">
        <f>HYPERLINK("https://hsdes.intel.com/resource/14013176141","14013176141")</f>
        <v>14013176141</v>
      </c>
      <c r="B418" t="s">
        <v>1167</v>
      </c>
      <c r="C418" t="s">
        <v>1168</v>
      </c>
      <c r="D418" t="s">
        <v>100</v>
      </c>
      <c r="E418" t="s">
        <v>101</v>
      </c>
      <c r="F418" t="s">
        <v>1169</v>
      </c>
    </row>
    <row r="419" spans="1:6" x14ac:dyDescent="0.3">
      <c r="A419" t="str">
        <f>HYPERLINK("https://hsdes.intel.com/resource/14013176151","14013176151")</f>
        <v>14013176151</v>
      </c>
      <c r="B419" t="s">
        <v>1170</v>
      </c>
      <c r="C419" t="s">
        <v>1171</v>
      </c>
      <c r="D419" t="s">
        <v>20</v>
      </c>
      <c r="E419" t="s">
        <v>101</v>
      </c>
      <c r="F419" t="s">
        <v>37</v>
      </c>
    </row>
    <row r="420" spans="1:6" x14ac:dyDescent="0.3">
      <c r="A420" t="str">
        <f>HYPERLINK("https://hsdes.intel.com/resource/14013176281","14013176281")</f>
        <v>14013176281</v>
      </c>
      <c r="B420" t="s">
        <v>1172</v>
      </c>
      <c r="C420" t="s">
        <v>1173</v>
      </c>
      <c r="D420" t="s">
        <v>181</v>
      </c>
      <c r="E420" t="s">
        <v>64</v>
      </c>
      <c r="F420" t="s">
        <v>1174</v>
      </c>
    </row>
    <row r="421" spans="1:6" x14ac:dyDescent="0.3">
      <c r="A421" t="str">
        <f>HYPERLINK("https://hsdes.intel.com/resource/14013176385","14013176385")</f>
        <v>14013176385</v>
      </c>
      <c r="B421" t="s">
        <v>1175</v>
      </c>
      <c r="C421" t="s">
        <v>1176</v>
      </c>
      <c r="D421" t="s">
        <v>181</v>
      </c>
      <c r="E421" t="s">
        <v>21</v>
      </c>
      <c r="F421" t="s">
        <v>1177</v>
      </c>
    </row>
    <row r="422" spans="1:6" x14ac:dyDescent="0.3">
      <c r="A422" t="str">
        <f>HYPERLINK("https://hsdes.intel.com/resource/14013176415","14013176415")</f>
        <v>14013176415</v>
      </c>
      <c r="B422" t="s">
        <v>1178</v>
      </c>
      <c r="C422" t="s">
        <v>1179</v>
      </c>
      <c r="D422" t="s">
        <v>33</v>
      </c>
      <c r="E422" t="s">
        <v>21</v>
      </c>
      <c r="F422" t="s">
        <v>1180</v>
      </c>
    </row>
    <row r="423" spans="1:6" x14ac:dyDescent="0.3">
      <c r="A423" t="str">
        <f>HYPERLINK("https://hsdes.intel.com/resource/14013176453","14013176453")</f>
        <v>14013176453</v>
      </c>
      <c r="B423" t="s">
        <v>1181</v>
      </c>
      <c r="C423" t="s">
        <v>1182</v>
      </c>
      <c r="D423" t="s">
        <v>798</v>
      </c>
      <c r="E423" t="s">
        <v>64</v>
      </c>
      <c r="F423" t="s">
        <v>1183</v>
      </c>
    </row>
    <row r="424" spans="1:6" x14ac:dyDescent="0.3">
      <c r="A424" t="str">
        <f>HYPERLINK("https://hsdes.intel.com/resource/14013176457","14013176457")</f>
        <v>14013176457</v>
      </c>
      <c r="B424" t="s">
        <v>1184</v>
      </c>
      <c r="C424" t="s">
        <v>1185</v>
      </c>
      <c r="D424" t="s">
        <v>11</v>
      </c>
      <c r="E424" t="s">
        <v>57</v>
      </c>
      <c r="F424" t="s">
        <v>401</v>
      </c>
    </row>
    <row r="425" spans="1:6" x14ac:dyDescent="0.3">
      <c r="A425" t="str">
        <f>HYPERLINK("https://hsdes.intel.com/resource/14013176467","14013176467")</f>
        <v>14013176467</v>
      </c>
      <c r="B425" t="s">
        <v>1186</v>
      </c>
      <c r="C425" t="s">
        <v>1187</v>
      </c>
      <c r="D425" t="s">
        <v>20</v>
      </c>
      <c r="E425" t="s">
        <v>64</v>
      </c>
      <c r="F425" t="s">
        <v>1188</v>
      </c>
    </row>
    <row r="426" spans="1:6" x14ac:dyDescent="0.3">
      <c r="A426" t="str">
        <f>HYPERLINK("https://hsdes.intel.com/resource/14013176475","14013176475")</f>
        <v>14013176475</v>
      </c>
      <c r="B426" t="s">
        <v>1189</v>
      </c>
      <c r="C426" t="s">
        <v>1190</v>
      </c>
      <c r="D426" t="s">
        <v>798</v>
      </c>
      <c r="E426" t="s">
        <v>211</v>
      </c>
      <c r="F426" t="s">
        <v>1191</v>
      </c>
    </row>
    <row r="427" spans="1:6" x14ac:dyDescent="0.3">
      <c r="A427" t="str">
        <f>HYPERLINK("https://hsdes.intel.com/resource/14013176496","14013176496")</f>
        <v>14013176496</v>
      </c>
      <c r="B427" t="s">
        <v>1192</v>
      </c>
      <c r="C427" t="s">
        <v>1193</v>
      </c>
      <c r="D427" t="s">
        <v>798</v>
      </c>
      <c r="E427" t="s">
        <v>64</v>
      </c>
      <c r="F427" t="s">
        <v>1194</v>
      </c>
    </row>
    <row r="428" spans="1:6" x14ac:dyDescent="0.3">
      <c r="A428" t="str">
        <f>HYPERLINK("https://hsdes.intel.com/resource/14013176644","14013176644")</f>
        <v>14013176644</v>
      </c>
      <c r="B428" t="s">
        <v>1195</v>
      </c>
      <c r="C428" t="s">
        <v>1196</v>
      </c>
      <c r="D428" t="s">
        <v>33</v>
      </c>
      <c r="E428" t="s">
        <v>21</v>
      </c>
      <c r="F428" t="s">
        <v>1197</v>
      </c>
    </row>
    <row r="429" spans="1:6" x14ac:dyDescent="0.3">
      <c r="A429" t="str">
        <f>HYPERLINK("https://hsdes.intel.com/resource/14013176647","14013176647")</f>
        <v>14013176647</v>
      </c>
      <c r="B429" t="s">
        <v>1198</v>
      </c>
      <c r="C429" t="s">
        <v>1199</v>
      </c>
      <c r="D429" t="s">
        <v>33</v>
      </c>
      <c r="E429" t="s">
        <v>21</v>
      </c>
      <c r="F429" t="s">
        <v>1200</v>
      </c>
    </row>
    <row r="430" spans="1:6" x14ac:dyDescent="0.3">
      <c r="A430" t="str">
        <f>HYPERLINK("https://hsdes.intel.com/resource/14013176650","14013176650")</f>
        <v>14013176650</v>
      </c>
      <c r="B430" t="s">
        <v>1201</v>
      </c>
      <c r="C430" t="s">
        <v>1202</v>
      </c>
      <c r="D430" t="s">
        <v>33</v>
      </c>
      <c r="E430" t="s">
        <v>21</v>
      </c>
      <c r="F430" t="s">
        <v>1203</v>
      </c>
    </row>
    <row r="431" spans="1:6" x14ac:dyDescent="0.3">
      <c r="A431" t="str">
        <f>HYPERLINK("https://hsdes.intel.com/resource/14013176664","14013176664")</f>
        <v>14013176664</v>
      </c>
      <c r="B431" t="s">
        <v>1204</v>
      </c>
      <c r="C431" t="s">
        <v>1205</v>
      </c>
      <c r="D431" t="s">
        <v>33</v>
      </c>
      <c r="E431" t="s">
        <v>1206</v>
      </c>
      <c r="F431" t="s">
        <v>1207</v>
      </c>
    </row>
    <row r="432" spans="1:6" x14ac:dyDescent="0.3">
      <c r="A432" t="str">
        <f>HYPERLINK("https://hsdes.intel.com/resource/14013176673","14013176673")</f>
        <v>14013176673</v>
      </c>
      <c r="B432" t="s">
        <v>1208</v>
      </c>
      <c r="C432" t="s">
        <v>1209</v>
      </c>
      <c r="D432" t="s">
        <v>33</v>
      </c>
      <c r="E432" t="s">
        <v>1206</v>
      </c>
      <c r="F432" t="s">
        <v>1210</v>
      </c>
    </row>
    <row r="433" spans="1:6" x14ac:dyDescent="0.3">
      <c r="A433" t="str">
        <f>HYPERLINK("https://hsdes.intel.com/resource/14013176789","14013176789")</f>
        <v>14013176789</v>
      </c>
      <c r="B433" t="s">
        <v>1211</v>
      </c>
      <c r="C433" t="s">
        <v>1212</v>
      </c>
      <c r="D433" t="s">
        <v>20</v>
      </c>
      <c r="E433" t="s">
        <v>101</v>
      </c>
      <c r="F433" t="s">
        <v>1213</v>
      </c>
    </row>
    <row r="434" spans="1:6" x14ac:dyDescent="0.3">
      <c r="A434" t="str">
        <f>HYPERLINK("https://hsdes.intel.com/resource/14013176861","14013176861")</f>
        <v>14013176861</v>
      </c>
      <c r="B434" t="s">
        <v>1214</v>
      </c>
      <c r="C434" t="s">
        <v>1215</v>
      </c>
      <c r="D434" t="s">
        <v>20</v>
      </c>
      <c r="E434" t="s">
        <v>64</v>
      </c>
      <c r="F434" t="s">
        <v>442</v>
      </c>
    </row>
    <row r="435" spans="1:6" x14ac:dyDescent="0.3">
      <c r="A435" t="str">
        <f>HYPERLINK("https://hsdes.intel.com/resource/14013176928","14013176928")</f>
        <v>14013176928</v>
      </c>
      <c r="B435" t="s">
        <v>1216</v>
      </c>
      <c r="C435" t="s">
        <v>1217</v>
      </c>
      <c r="D435" t="s">
        <v>33</v>
      </c>
      <c r="E435" t="s">
        <v>21</v>
      </c>
      <c r="F435" t="s">
        <v>1218</v>
      </c>
    </row>
    <row r="436" spans="1:6" x14ac:dyDescent="0.3">
      <c r="A436" t="str">
        <f>HYPERLINK("https://hsdes.intel.com/resource/14013176948","14013176948")</f>
        <v>14013176948</v>
      </c>
      <c r="B436" t="s">
        <v>1219</v>
      </c>
      <c r="C436" t="s">
        <v>1220</v>
      </c>
      <c r="D436" t="s">
        <v>20</v>
      </c>
      <c r="E436" t="s">
        <v>64</v>
      </c>
      <c r="F436" t="s">
        <v>1221</v>
      </c>
    </row>
    <row r="437" spans="1:6" x14ac:dyDescent="0.3">
      <c r="A437" t="str">
        <f>HYPERLINK("https://hsdes.intel.com/resource/14013176953","14013176953")</f>
        <v>14013176953</v>
      </c>
      <c r="B437" t="s">
        <v>1222</v>
      </c>
      <c r="C437" t="s">
        <v>1223</v>
      </c>
      <c r="D437" t="s">
        <v>20</v>
      </c>
      <c r="E437" t="s">
        <v>64</v>
      </c>
      <c r="F437" t="s">
        <v>1224</v>
      </c>
    </row>
    <row r="438" spans="1:6" x14ac:dyDescent="0.3">
      <c r="A438" t="str">
        <f>HYPERLINK("https://hsdes.intel.com/resource/14013176958","14013176958")</f>
        <v>14013176958</v>
      </c>
      <c r="B438" t="s">
        <v>1225</v>
      </c>
      <c r="C438" t="s">
        <v>1226</v>
      </c>
      <c r="D438" t="s">
        <v>20</v>
      </c>
      <c r="E438" t="s">
        <v>1227</v>
      </c>
      <c r="F438" t="s">
        <v>1228</v>
      </c>
    </row>
    <row r="439" spans="1:6" x14ac:dyDescent="0.3">
      <c r="A439" t="str">
        <f>HYPERLINK("https://hsdes.intel.com/resource/14013176969","14013176969")</f>
        <v>14013176969</v>
      </c>
      <c r="B439" t="s">
        <v>1229</v>
      </c>
      <c r="C439" t="s">
        <v>1230</v>
      </c>
      <c r="D439" t="s">
        <v>20</v>
      </c>
      <c r="E439" t="s">
        <v>64</v>
      </c>
      <c r="F439" t="s">
        <v>1231</v>
      </c>
    </row>
    <row r="440" spans="1:6" x14ac:dyDescent="0.3">
      <c r="A440" t="str">
        <f>HYPERLINK("https://hsdes.intel.com/resource/14013176972","14013176972")</f>
        <v>14013176972</v>
      </c>
      <c r="B440" t="s">
        <v>1232</v>
      </c>
      <c r="C440" t="s">
        <v>1233</v>
      </c>
      <c r="D440" t="s">
        <v>20</v>
      </c>
      <c r="E440" t="s">
        <v>64</v>
      </c>
      <c r="F440" t="s">
        <v>1234</v>
      </c>
    </row>
    <row r="441" spans="1:6" x14ac:dyDescent="0.3">
      <c r="A441" t="str">
        <f>HYPERLINK("https://hsdes.intel.com/resource/14013177007","14013177007")</f>
        <v>14013177007</v>
      </c>
      <c r="B441" t="s">
        <v>1235</v>
      </c>
      <c r="C441" t="s">
        <v>1236</v>
      </c>
      <c r="D441" t="s">
        <v>11</v>
      </c>
      <c r="E441" t="s">
        <v>64</v>
      </c>
      <c r="F441" t="s">
        <v>1237</v>
      </c>
    </row>
    <row r="442" spans="1:6" x14ac:dyDescent="0.3">
      <c r="A442" t="str">
        <f>HYPERLINK("https://hsdes.intel.com/resource/14013177014","14013177014")</f>
        <v>14013177014</v>
      </c>
      <c r="B442" t="s">
        <v>1238</v>
      </c>
      <c r="C442" t="s">
        <v>1239</v>
      </c>
      <c r="D442" t="s">
        <v>11</v>
      </c>
      <c r="E442" t="s">
        <v>64</v>
      </c>
      <c r="F442" t="s">
        <v>1240</v>
      </c>
    </row>
    <row r="443" spans="1:6" x14ac:dyDescent="0.3">
      <c r="A443" t="str">
        <f>HYPERLINK("https://hsdes.intel.com/resource/14013177029","14013177029")</f>
        <v>14013177029</v>
      </c>
      <c r="B443" t="s">
        <v>1241</v>
      </c>
      <c r="C443" t="s">
        <v>1242</v>
      </c>
      <c r="D443" t="s">
        <v>798</v>
      </c>
      <c r="E443" t="s">
        <v>12</v>
      </c>
      <c r="F443" t="s">
        <v>1243</v>
      </c>
    </row>
    <row r="444" spans="1:6" x14ac:dyDescent="0.3">
      <c r="A444" t="str">
        <f>HYPERLINK("https://hsdes.intel.com/resource/14013177170","14013177170")</f>
        <v>14013177170</v>
      </c>
      <c r="B444" t="s">
        <v>1244</v>
      </c>
      <c r="C444" t="s">
        <v>1245</v>
      </c>
      <c r="D444" t="s">
        <v>20</v>
      </c>
      <c r="E444" t="s">
        <v>1020</v>
      </c>
      <c r="F444" t="s">
        <v>1246</v>
      </c>
    </row>
    <row r="445" spans="1:6" x14ac:dyDescent="0.3">
      <c r="A445" t="str">
        <f>HYPERLINK("https://hsdes.intel.com/resource/14013177249","14013177249")</f>
        <v>14013177249</v>
      </c>
      <c r="B445" t="s">
        <v>1247</v>
      </c>
      <c r="C445" t="s">
        <v>1248</v>
      </c>
      <c r="D445" t="s">
        <v>798</v>
      </c>
      <c r="E445" t="s">
        <v>1249</v>
      </c>
      <c r="F445" t="s">
        <v>1250</v>
      </c>
    </row>
    <row r="446" spans="1:6" x14ac:dyDescent="0.3">
      <c r="A446" t="str">
        <f>HYPERLINK("https://hsdes.intel.com/resource/14013177261","14013177261")</f>
        <v>14013177261</v>
      </c>
      <c r="B446" t="s">
        <v>1251</v>
      </c>
      <c r="C446" t="s">
        <v>1252</v>
      </c>
      <c r="D446" t="s">
        <v>20</v>
      </c>
      <c r="E446" t="s">
        <v>64</v>
      </c>
      <c r="F446" t="s">
        <v>1253</v>
      </c>
    </row>
    <row r="447" spans="1:6" x14ac:dyDescent="0.3">
      <c r="A447" t="str">
        <f>HYPERLINK("https://hsdes.intel.com/resource/14013177264","14013177264")</f>
        <v>14013177264</v>
      </c>
      <c r="B447" t="s">
        <v>1254</v>
      </c>
      <c r="C447" t="s">
        <v>1255</v>
      </c>
      <c r="D447" t="s">
        <v>20</v>
      </c>
      <c r="E447" t="s">
        <v>64</v>
      </c>
      <c r="F447" t="s">
        <v>1256</v>
      </c>
    </row>
    <row r="448" spans="1:6" x14ac:dyDescent="0.3">
      <c r="A448" t="str">
        <f>HYPERLINK("https://hsdes.intel.com/resource/14013177266","14013177266")</f>
        <v>14013177266</v>
      </c>
      <c r="B448" t="s">
        <v>1257</v>
      </c>
      <c r="C448" t="s">
        <v>1258</v>
      </c>
      <c r="D448" t="s">
        <v>20</v>
      </c>
      <c r="E448" t="s">
        <v>64</v>
      </c>
      <c r="F448" t="s">
        <v>1259</v>
      </c>
    </row>
    <row r="449" spans="1:6" x14ac:dyDescent="0.3">
      <c r="A449" t="str">
        <f>HYPERLINK("https://hsdes.intel.com/resource/14013177269","14013177269")</f>
        <v>14013177269</v>
      </c>
      <c r="B449" t="s">
        <v>1260</v>
      </c>
      <c r="C449" t="s">
        <v>1261</v>
      </c>
      <c r="D449" t="s">
        <v>20</v>
      </c>
      <c r="E449" t="s">
        <v>1262</v>
      </c>
      <c r="F449" t="s">
        <v>1263</v>
      </c>
    </row>
    <row r="450" spans="1:6" x14ac:dyDescent="0.3">
      <c r="A450" t="str">
        <f>HYPERLINK("https://hsdes.intel.com/resource/14013177299","14013177299")</f>
        <v>14013177299</v>
      </c>
      <c r="B450" t="s">
        <v>1264</v>
      </c>
      <c r="C450" t="s">
        <v>1265</v>
      </c>
      <c r="D450" t="s">
        <v>20</v>
      </c>
      <c r="E450" t="s">
        <v>101</v>
      </c>
      <c r="F450" t="s">
        <v>1266</v>
      </c>
    </row>
    <row r="451" spans="1:6" x14ac:dyDescent="0.3">
      <c r="A451" t="str">
        <f>HYPERLINK("https://hsdes.intel.com/resource/14013177396","14013177396")</f>
        <v>14013177396</v>
      </c>
      <c r="B451" t="s">
        <v>1267</v>
      </c>
      <c r="C451" t="s">
        <v>1268</v>
      </c>
      <c r="D451" t="s">
        <v>20</v>
      </c>
      <c r="E451" t="s">
        <v>101</v>
      </c>
      <c r="F451" t="s">
        <v>1269</v>
      </c>
    </row>
    <row r="452" spans="1:6" x14ac:dyDescent="0.3">
      <c r="A452" t="str">
        <f>HYPERLINK("https://hsdes.intel.com/resource/14013177439","14013177439")</f>
        <v>14013177439</v>
      </c>
      <c r="B452" t="s">
        <v>1270</v>
      </c>
      <c r="C452" t="s">
        <v>1271</v>
      </c>
      <c r="D452" t="s">
        <v>20</v>
      </c>
      <c r="E452" t="s">
        <v>101</v>
      </c>
      <c r="F452" t="s">
        <v>1234</v>
      </c>
    </row>
    <row r="453" spans="1:6" x14ac:dyDescent="0.3">
      <c r="A453" t="str">
        <f>HYPERLINK("https://hsdes.intel.com/resource/14013177652","14013177652")</f>
        <v>14013177652</v>
      </c>
      <c r="B453" t="s">
        <v>1272</v>
      </c>
      <c r="C453" t="s">
        <v>1273</v>
      </c>
      <c r="D453" t="s">
        <v>20</v>
      </c>
      <c r="E453" t="s">
        <v>64</v>
      </c>
      <c r="F453" t="s">
        <v>1274</v>
      </c>
    </row>
    <row r="454" spans="1:6" x14ac:dyDescent="0.3">
      <c r="A454" t="str">
        <f>HYPERLINK("https://hsdes.intel.com/resource/14013177676","14013177676")</f>
        <v>14013177676</v>
      </c>
      <c r="B454" t="s">
        <v>1275</v>
      </c>
      <c r="C454" t="s">
        <v>1276</v>
      </c>
      <c r="D454" t="s">
        <v>6</v>
      </c>
      <c r="E454" t="s">
        <v>1277</v>
      </c>
      <c r="F454" t="s">
        <v>1278</v>
      </c>
    </row>
    <row r="455" spans="1:6" x14ac:dyDescent="0.3">
      <c r="A455" t="str">
        <f>HYPERLINK("https://hsdes.intel.com/resource/14013177725","14013177725")</f>
        <v>14013177725</v>
      </c>
      <c r="B455" t="s">
        <v>1279</v>
      </c>
      <c r="C455" t="s">
        <v>1280</v>
      </c>
      <c r="D455" t="s">
        <v>11</v>
      </c>
      <c r="E455" t="s">
        <v>64</v>
      </c>
      <c r="F455" t="s">
        <v>1281</v>
      </c>
    </row>
    <row r="456" spans="1:6" x14ac:dyDescent="0.3">
      <c r="A456" t="str">
        <f>HYPERLINK("https://hsdes.intel.com/resource/14013177742","14013177742")</f>
        <v>14013177742</v>
      </c>
      <c r="B456" t="s">
        <v>1282</v>
      </c>
      <c r="C456" t="s">
        <v>1283</v>
      </c>
      <c r="D456" t="s">
        <v>798</v>
      </c>
      <c r="E456" t="s">
        <v>64</v>
      </c>
      <c r="F456" t="s">
        <v>1284</v>
      </c>
    </row>
    <row r="457" spans="1:6" x14ac:dyDescent="0.3">
      <c r="A457" t="str">
        <f>HYPERLINK("https://hsdes.intel.com/resource/14013177761","14013177761")</f>
        <v>14013177761</v>
      </c>
      <c r="B457" t="s">
        <v>1285</v>
      </c>
      <c r="C457" t="s">
        <v>1286</v>
      </c>
      <c r="D457" t="s">
        <v>20</v>
      </c>
      <c r="E457" t="s">
        <v>1287</v>
      </c>
      <c r="F457" t="s">
        <v>1288</v>
      </c>
    </row>
    <row r="458" spans="1:6" x14ac:dyDescent="0.3">
      <c r="A458" t="str">
        <f>HYPERLINK("https://hsdes.intel.com/resource/14013177883","14013177883")</f>
        <v>14013177883</v>
      </c>
      <c r="B458" t="s">
        <v>1289</v>
      </c>
      <c r="C458" t="s">
        <v>1290</v>
      </c>
      <c r="D458" t="s">
        <v>181</v>
      </c>
      <c r="E458" t="s">
        <v>64</v>
      </c>
      <c r="F458" t="s">
        <v>1291</v>
      </c>
    </row>
    <row r="459" spans="1:6" x14ac:dyDescent="0.3">
      <c r="A459" t="str">
        <f>HYPERLINK("https://hsdes.intel.com/resource/14013177886","14013177886")</f>
        <v>14013177886</v>
      </c>
      <c r="B459" t="s">
        <v>1292</v>
      </c>
      <c r="C459" t="s">
        <v>1293</v>
      </c>
      <c r="D459" t="s">
        <v>6</v>
      </c>
      <c r="E459" t="s">
        <v>64</v>
      </c>
      <c r="F459" t="s">
        <v>757</v>
      </c>
    </row>
    <row r="460" spans="1:6" x14ac:dyDescent="0.3">
      <c r="A460" t="str">
        <f>HYPERLINK("https://hsdes.intel.com/resource/14013177900","14013177900")</f>
        <v>14013177900</v>
      </c>
      <c r="B460" t="s">
        <v>1294</v>
      </c>
      <c r="C460" t="s">
        <v>1295</v>
      </c>
      <c r="D460" t="s">
        <v>20</v>
      </c>
      <c r="E460" t="s">
        <v>7</v>
      </c>
      <c r="F460" t="s">
        <v>1296</v>
      </c>
    </row>
    <row r="461" spans="1:6" x14ac:dyDescent="0.3">
      <c r="A461" t="str">
        <f>HYPERLINK("https://hsdes.intel.com/resource/14013177922","14013177922")</f>
        <v>14013177922</v>
      </c>
      <c r="B461" t="s">
        <v>1297</v>
      </c>
      <c r="C461" t="s">
        <v>1298</v>
      </c>
      <c r="D461" t="s">
        <v>6</v>
      </c>
      <c r="E461" t="s">
        <v>64</v>
      </c>
      <c r="F461" t="s">
        <v>165</v>
      </c>
    </row>
    <row r="462" spans="1:6" x14ac:dyDescent="0.3">
      <c r="A462" t="str">
        <f>HYPERLINK("https://hsdes.intel.com/resource/14013177930","14013177930")</f>
        <v>14013177930</v>
      </c>
      <c r="B462" t="s">
        <v>1299</v>
      </c>
      <c r="C462" t="s">
        <v>1300</v>
      </c>
      <c r="D462" t="s">
        <v>6</v>
      </c>
      <c r="E462" t="s">
        <v>64</v>
      </c>
      <c r="F462" t="s">
        <v>165</v>
      </c>
    </row>
    <row r="463" spans="1:6" x14ac:dyDescent="0.3">
      <c r="A463" t="str">
        <f>HYPERLINK("https://hsdes.intel.com/resource/14013177934","14013177934")</f>
        <v>14013177934</v>
      </c>
      <c r="B463" t="s">
        <v>1301</v>
      </c>
      <c r="C463" t="s">
        <v>1302</v>
      </c>
      <c r="D463" t="s">
        <v>6</v>
      </c>
      <c r="E463" t="s">
        <v>21</v>
      </c>
      <c r="F463" t="s">
        <v>1303</v>
      </c>
    </row>
    <row r="464" spans="1:6" x14ac:dyDescent="0.3">
      <c r="A464" t="str">
        <f>HYPERLINK("https://hsdes.intel.com/resource/14013177940","14013177940")</f>
        <v>14013177940</v>
      </c>
      <c r="B464" t="s">
        <v>1304</v>
      </c>
      <c r="C464" t="s">
        <v>1305</v>
      </c>
      <c r="D464" t="s">
        <v>6</v>
      </c>
      <c r="E464" t="s">
        <v>1049</v>
      </c>
      <c r="F464" t="s">
        <v>1306</v>
      </c>
    </row>
    <row r="465" spans="1:6" x14ac:dyDescent="0.3">
      <c r="A465" t="str">
        <f>HYPERLINK("https://hsdes.intel.com/resource/14013177947","14013177947")</f>
        <v>14013177947</v>
      </c>
      <c r="B465" t="s">
        <v>1307</v>
      </c>
      <c r="C465" t="s">
        <v>1308</v>
      </c>
      <c r="D465" t="s">
        <v>6</v>
      </c>
      <c r="E465" t="s">
        <v>12</v>
      </c>
      <c r="F465" t="s">
        <v>165</v>
      </c>
    </row>
    <row r="466" spans="1:6" x14ac:dyDescent="0.3">
      <c r="A466" t="str">
        <f>HYPERLINK("https://hsdes.intel.com/resource/14013177961","14013177961")</f>
        <v>14013177961</v>
      </c>
      <c r="B466" t="s">
        <v>1309</v>
      </c>
      <c r="C466" t="s">
        <v>1310</v>
      </c>
      <c r="D466" t="s">
        <v>6</v>
      </c>
      <c r="E466" t="s">
        <v>64</v>
      </c>
      <c r="F466" t="s">
        <v>165</v>
      </c>
    </row>
    <row r="467" spans="1:6" x14ac:dyDescent="0.3">
      <c r="A467" t="str">
        <f>HYPERLINK("https://hsdes.intel.com/resource/14013177989","14013177989")</f>
        <v>14013177989</v>
      </c>
      <c r="B467" t="s">
        <v>1311</v>
      </c>
      <c r="C467" t="s">
        <v>1312</v>
      </c>
      <c r="D467" t="s">
        <v>798</v>
      </c>
      <c r="E467" t="s">
        <v>211</v>
      </c>
      <c r="F467" t="s">
        <v>1313</v>
      </c>
    </row>
    <row r="468" spans="1:6" x14ac:dyDescent="0.3">
      <c r="A468" t="str">
        <f>HYPERLINK("https://hsdes.intel.com/resource/14013177993","14013177993")</f>
        <v>14013177993</v>
      </c>
      <c r="B468" t="s">
        <v>1314</v>
      </c>
      <c r="C468" t="s">
        <v>1315</v>
      </c>
      <c r="D468" t="s">
        <v>798</v>
      </c>
      <c r="E468" t="s">
        <v>1076</v>
      </c>
      <c r="F468" t="s">
        <v>1316</v>
      </c>
    </row>
    <row r="469" spans="1:6" x14ac:dyDescent="0.3">
      <c r="A469" t="str">
        <f>HYPERLINK("https://hsdes.intel.com/resource/14013178024","14013178024")</f>
        <v>14013178024</v>
      </c>
      <c r="B469" t="s">
        <v>1317</v>
      </c>
      <c r="C469" t="s">
        <v>1318</v>
      </c>
      <c r="D469" t="s">
        <v>798</v>
      </c>
      <c r="E469" t="s">
        <v>12</v>
      </c>
      <c r="F469" t="s">
        <v>1296</v>
      </c>
    </row>
    <row r="470" spans="1:6" x14ac:dyDescent="0.3">
      <c r="A470" t="str">
        <f>HYPERLINK("https://hsdes.intel.com/resource/14013178085","14013178085")</f>
        <v>14013178085</v>
      </c>
      <c r="B470" t="s">
        <v>1319</v>
      </c>
      <c r="C470" t="s">
        <v>1320</v>
      </c>
      <c r="D470" t="s">
        <v>798</v>
      </c>
      <c r="E470" t="s">
        <v>64</v>
      </c>
      <c r="F470" t="s">
        <v>1321</v>
      </c>
    </row>
    <row r="471" spans="1:6" x14ac:dyDescent="0.3">
      <c r="A471" t="str">
        <f>HYPERLINK("https://hsdes.intel.com/resource/14013178094","14013178094")</f>
        <v>14013178094</v>
      </c>
      <c r="B471" t="s">
        <v>1322</v>
      </c>
      <c r="C471" t="s">
        <v>1323</v>
      </c>
      <c r="D471" t="s">
        <v>798</v>
      </c>
      <c r="E471" t="s">
        <v>64</v>
      </c>
      <c r="F471" t="s">
        <v>1324</v>
      </c>
    </row>
    <row r="472" spans="1:6" x14ac:dyDescent="0.3">
      <c r="A472" t="str">
        <f>HYPERLINK("https://hsdes.intel.com/resource/14013178130","14013178130")</f>
        <v>14013178130</v>
      </c>
      <c r="B472" t="s">
        <v>1325</v>
      </c>
      <c r="C472" t="s">
        <v>1326</v>
      </c>
      <c r="D472" t="s">
        <v>20</v>
      </c>
      <c r="E472" t="s">
        <v>12</v>
      </c>
      <c r="F472" t="s">
        <v>94</v>
      </c>
    </row>
    <row r="473" spans="1:6" x14ac:dyDescent="0.3">
      <c r="A473" t="str">
        <f>HYPERLINK("https://hsdes.intel.com/resource/14013178176","14013178176")</f>
        <v>14013178176</v>
      </c>
      <c r="B473" t="s">
        <v>1327</v>
      </c>
      <c r="C473" t="s">
        <v>1328</v>
      </c>
      <c r="D473" t="s">
        <v>20</v>
      </c>
      <c r="E473" t="s">
        <v>201</v>
      </c>
      <c r="F473" t="s">
        <v>165</v>
      </c>
    </row>
    <row r="474" spans="1:6" x14ac:dyDescent="0.3">
      <c r="A474" t="str">
        <f>HYPERLINK("https://hsdes.intel.com/resource/14013178190","14013178190")</f>
        <v>14013178190</v>
      </c>
      <c r="B474" t="s">
        <v>1329</v>
      </c>
      <c r="C474" t="s">
        <v>1330</v>
      </c>
      <c r="D474" t="s">
        <v>6</v>
      </c>
      <c r="E474" t="s">
        <v>64</v>
      </c>
      <c r="F474" t="s">
        <v>1331</v>
      </c>
    </row>
    <row r="475" spans="1:6" x14ac:dyDescent="0.3">
      <c r="A475" t="str">
        <f>HYPERLINK("https://hsdes.intel.com/resource/14013178252","14013178252")</f>
        <v>14013178252</v>
      </c>
      <c r="B475" t="s">
        <v>1332</v>
      </c>
      <c r="C475" t="s">
        <v>1333</v>
      </c>
      <c r="D475" t="s">
        <v>798</v>
      </c>
      <c r="E475" t="s">
        <v>64</v>
      </c>
      <c r="F475" t="s">
        <v>1334</v>
      </c>
    </row>
    <row r="476" spans="1:6" x14ac:dyDescent="0.3">
      <c r="A476" t="str">
        <f>HYPERLINK("https://hsdes.intel.com/resource/14013178330","14013178330")</f>
        <v>14013178330</v>
      </c>
      <c r="B476" t="s">
        <v>1335</v>
      </c>
      <c r="C476" t="s">
        <v>1336</v>
      </c>
      <c r="D476" t="s">
        <v>20</v>
      </c>
      <c r="E476" t="s">
        <v>201</v>
      </c>
      <c r="F476" t="s">
        <v>165</v>
      </c>
    </row>
    <row r="477" spans="1:6" x14ac:dyDescent="0.3">
      <c r="A477" t="str">
        <f>HYPERLINK("https://hsdes.intel.com/resource/14013178413","14013178413")</f>
        <v>14013178413</v>
      </c>
      <c r="B477" t="s">
        <v>1337</v>
      </c>
      <c r="C477" t="s">
        <v>1338</v>
      </c>
      <c r="D477" t="s">
        <v>798</v>
      </c>
      <c r="E477" t="s">
        <v>21</v>
      </c>
      <c r="F477" t="s">
        <v>162</v>
      </c>
    </row>
    <row r="478" spans="1:6" x14ac:dyDescent="0.3">
      <c r="A478" t="str">
        <f>HYPERLINK("https://hsdes.intel.com/resource/14013178496","14013178496")</f>
        <v>14013178496</v>
      </c>
      <c r="B478" t="s">
        <v>1339</v>
      </c>
      <c r="C478" t="s">
        <v>1340</v>
      </c>
      <c r="D478" t="s">
        <v>798</v>
      </c>
      <c r="E478" t="s">
        <v>12</v>
      </c>
      <c r="F478" t="s">
        <v>607</v>
      </c>
    </row>
    <row r="479" spans="1:6" x14ac:dyDescent="0.3">
      <c r="A479" t="str">
        <f>HYPERLINK("https://hsdes.intel.com/resource/14013178509","14013178509")</f>
        <v>14013178509</v>
      </c>
      <c r="B479" t="s">
        <v>1341</v>
      </c>
      <c r="C479" t="s">
        <v>1342</v>
      </c>
      <c r="D479" t="s">
        <v>798</v>
      </c>
      <c r="E479" t="s">
        <v>12</v>
      </c>
      <c r="F479" t="s">
        <v>1343</v>
      </c>
    </row>
    <row r="480" spans="1:6" x14ac:dyDescent="0.3">
      <c r="A480" t="str">
        <f>HYPERLINK("https://hsdes.intel.com/resource/14013178927","14013178927")</f>
        <v>14013178927</v>
      </c>
      <c r="B480" t="s">
        <v>1344</v>
      </c>
      <c r="C480" t="s">
        <v>1345</v>
      </c>
      <c r="D480" t="s">
        <v>181</v>
      </c>
      <c r="E480" t="s">
        <v>64</v>
      </c>
      <c r="F480" t="s">
        <v>182</v>
      </c>
    </row>
    <row r="481" spans="1:6" x14ac:dyDescent="0.3">
      <c r="A481" t="str">
        <f>HYPERLINK("https://hsdes.intel.com/resource/14013178930","14013178930")</f>
        <v>14013178930</v>
      </c>
      <c r="B481" t="s">
        <v>1346</v>
      </c>
      <c r="C481" t="s">
        <v>1347</v>
      </c>
      <c r="D481" t="s">
        <v>6</v>
      </c>
      <c r="E481" t="s">
        <v>1049</v>
      </c>
      <c r="F481" t="s">
        <v>1348</v>
      </c>
    </row>
    <row r="482" spans="1:6" x14ac:dyDescent="0.3">
      <c r="A482" t="str">
        <f>HYPERLINK("https://hsdes.intel.com/resource/14013178947","14013178947")</f>
        <v>14013178947</v>
      </c>
      <c r="B482" t="s">
        <v>1349</v>
      </c>
      <c r="C482" t="s">
        <v>1350</v>
      </c>
      <c r="D482" t="s">
        <v>6</v>
      </c>
      <c r="E482" t="s">
        <v>64</v>
      </c>
      <c r="F482" t="s">
        <v>1351</v>
      </c>
    </row>
    <row r="483" spans="1:6" x14ac:dyDescent="0.3">
      <c r="A483" t="str">
        <f>HYPERLINK("https://hsdes.intel.com/resource/14013178956","14013178956")</f>
        <v>14013178956</v>
      </c>
      <c r="B483" t="s">
        <v>1352</v>
      </c>
      <c r="C483" t="s">
        <v>1353</v>
      </c>
      <c r="D483" t="s">
        <v>6</v>
      </c>
      <c r="E483" t="s">
        <v>64</v>
      </c>
      <c r="F483" t="s">
        <v>1296</v>
      </c>
    </row>
    <row r="484" spans="1:6" x14ac:dyDescent="0.3">
      <c r="A484" t="str">
        <f>HYPERLINK("https://hsdes.intel.com/resource/14013179021","14013179021")</f>
        <v>14013179021</v>
      </c>
      <c r="B484" t="s">
        <v>1354</v>
      </c>
      <c r="C484" t="s">
        <v>1355</v>
      </c>
      <c r="D484" t="s">
        <v>798</v>
      </c>
      <c r="E484" t="s">
        <v>12</v>
      </c>
      <c r="F484" t="s">
        <v>1296</v>
      </c>
    </row>
    <row r="485" spans="1:6" x14ac:dyDescent="0.3">
      <c r="A485" t="str">
        <f>HYPERLINK("https://hsdes.intel.com/resource/14013179059","14013179059")</f>
        <v>14013179059</v>
      </c>
      <c r="B485" t="s">
        <v>1356</v>
      </c>
      <c r="C485" t="s">
        <v>1357</v>
      </c>
      <c r="D485" t="s">
        <v>181</v>
      </c>
      <c r="E485" t="s">
        <v>211</v>
      </c>
      <c r="F485" t="s">
        <v>1358</v>
      </c>
    </row>
    <row r="486" spans="1:6" x14ac:dyDescent="0.3">
      <c r="A486" t="str">
        <f>HYPERLINK("https://hsdes.intel.com/resource/14013179074","14013179074")</f>
        <v>14013179074</v>
      </c>
      <c r="B486" t="s">
        <v>1359</v>
      </c>
      <c r="C486" t="s">
        <v>1360</v>
      </c>
      <c r="D486" t="s">
        <v>181</v>
      </c>
      <c r="E486" t="s">
        <v>211</v>
      </c>
      <c r="F486" t="s">
        <v>907</v>
      </c>
    </row>
    <row r="487" spans="1:6" x14ac:dyDescent="0.3">
      <c r="A487" t="str">
        <f>HYPERLINK("https://hsdes.intel.com/resource/14013179079","14013179079")</f>
        <v>14013179079</v>
      </c>
      <c r="B487" t="s">
        <v>1361</v>
      </c>
      <c r="C487" t="s">
        <v>1362</v>
      </c>
      <c r="D487" t="s">
        <v>181</v>
      </c>
      <c r="E487" t="s">
        <v>64</v>
      </c>
      <c r="F487" t="s">
        <v>1363</v>
      </c>
    </row>
    <row r="488" spans="1:6" x14ac:dyDescent="0.3">
      <c r="A488" t="str">
        <f>HYPERLINK("https://hsdes.intel.com/resource/14013179092","14013179092")</f>
        <v>14013179092</v>
      </c>
      <c r="B488" t="s">
        <v>1364</v>
      </c>
      <c r="C488" t="s">
        <v>1365</v>
      </c>
      <c r="D488" t="s">
        <v>181</v>
      </c>
      <c r="E488" t="s">
        <v>1076</v>
      </c>
      <c r="F488" t="s">
        <v>1366</v>
      </c>
    </row>
    <row r="489" spans="1:6" x14ac:dyDescent="0.3">
      <c r="A489" t="str">
        <f>HYPERLINK("https://hsdes.intel.com/resource/14013179098","14013179098")</f>
        <v>14013179098</v>
      </c>
      <c r="B489" t="s">
        <v>1367</v>
      </c>
      <c r="C489" t="s">
        <v>1368</v>
      </c>
      <c r="D489" t="s">
        <v>181</v>
      </c>
      <c r="E489" t="s">
        <v>64</v>
      </c>
      <c r="F489" t="s">
        <v>1369</v>
      </c>
    </row>
    <row r="490" spans="1:6" x14ac:dyDescent="0.3">
      <c r="A490" t="str">
        <f>HYPERLINK("https://hsdes.intel.com/resource/14013179108","14013179108")</f>
        <v>14013179108</v>
      </c>
      <c r="B490" t="s">
        <v>1370</v>
      </c>
      <c r="C490" t="s">
        <v>1371</v>
      </c>
      <c r="D490" t="s">
        <v>6</v>
      </c>
      <c r="E490" t="s">
        <v>21</v>
      </c>
      <c r="F490" t="s">
        <v>746</v>
      </c>
    </row>
    <row r="491" spans="1:6" x14ac:dyDescent="0.3">
      <c r="A491" t="str">
        <f>HYPERLINK("https://hsdes.intel.com/resource/14013179115","14013179115")</f>
        <v>14013179115</v>
      </c>
      <c r="B491" t="s">
        <v>1372</v>
      </c>
      <c r="C491" t="s">
        <v>1373</v>
      </c>
      <c r="D491" t="s">
        <v>181</v>
      </c>
      <c r="E491" t="s">
        <v>64</v>
      </c>
      <c r="F491" t="s">
        <v>1369</v>
      </c>
    </row>
    <row r="492" spans="1:6" x14ac:dyDescent="0.3">
      <c r="A492" t="str">
        <f>HYPERLINK("https://hsdes.intel.com/resource/14013179118","14013179118")</f>
        <v>14013179118</v>
      </c>
      <c r="B492" t="s">
        <v>1374</v>
      </c>
      <c r="C492" t="s">
        <v>1375</v>
      </c>
      <c r="D492" t="s">
        <v>181</v>
      </c>
      <c r="E492" t="s">
        <v>1076</v>
      </c>
      <c r="F492" t="s">
        <v>1358</v>
      </c>
    </row>
    <row r="493" spans="1:6" x14ac:dyDescent="0.3">
      <c r="A493" t="str">
        <f>HYPERLINK("https://hsdes.intel.com/resource/14013179142","14013179142")</f>
        <v>14013179142</v>
      </c>
      <c r="B493" t="s">
        <v>1376</v>
      </c>
      <c r="C493" t="s">
        <v>1377</v>
      </c>
      <c r="D493" t="s">
        <v>6</v>
      </c>
      <c r="E493" t="s">
        <v>1378</v>
      </c>
      <c r="F493" t="s">
        <v>1379</v>
      </c>
    </row>
    <row r="494" spans="1:6" x14ac:dyDescent="0.3">
      <c r="A494" t="str">
        <f>HYPERLINK("https://hsdes.intel.com/resource/14013179157","14013179157")</f>
        <v>14013179157</v>
      </c>
      <c r="B494" t="s">
        <v>1380</v>
      </c>
      <c r="C494" t="s">
        <v>1381</v>
      </c>
      <c r="D494" t="s">
        <v>6</v>
      </c>
      <c r="E494" t="s">
        <v>21</v>
      </c>
      <c r="F494" t="s">
        <v>746</v>
      </c>
    </row>
    <row r="495" spans="1:6" x14ac:dyDescent="0.3">
      <c r="A495" t="str">
        <f>HYPERLINK("https://hsdes.intel.com/resource/14013179162","14013179162")</f>
        <v>14013179162</v>
      </c>
      <c r="B495" t="s">
        <v>1382</v>
      </c>
      <c r="C495" t="s">
        <v>1383</v>
      </c>
      <c r="D495" t="s">
        <v>6</v>
      </c>
      <c r="E495" t="s">
        <v>64</v>
      </c>
      <c r="F495" t="s">
        <v>746</v>
      </c>
    </row>
    <row r="496" spans="1:6" x14ac:dyDescent="0.3">
      <c r="A496" t="str">
        <f>HYPERLINK("https://hsdes.intel.com/resource/14013179166","14013179166")</f>
        <v>14013179166</v>
      </c>
      <c r="B496" t="s">
        <v>1384</v>
      </c>
      <c r="C496" t="s">
        <v>1385</v>
      </c>
      <c r="D496" t="s">
        <v>6</v>
      </c>
      <c r="E496" t="s">
        <v>64</v>
      </c>
      <c r="F496" t="s">
        <v>1386</v>
      </c>
    </row>
    <row r="497" spans="1:6" x14ac:dyDescent="0.3">
      <c r="A497" t="str">
        <f>HYPERLINK("https://hsdes.intel.com/resource/14013179168","14013179168")</f>
        <v>14013179168</v>
      </c>
      <c r="B497" t="s">
        <v>1387</v>
      </c>
      <c r="C497" t="s">
        <v>1388</v>
      </c>
      <c r="D497" t="s">
        <v>6</v>
      </c>
      <c r="E497" t="s">
        <v>1378</v>
      </c>
      <c r="F497" t="s">
        <v>907</v>
      </c>
    </row>
    <row r="498" spans="1:6" x14ac:dyDescent="0.3">
      <c r="A498" t="str">
        <f>HYPERLINK("https://hsdes.intel.com/resource/14013179171","14013179171")</f>
        <v>14013179171</v>
      </c>
      <c r="B498" t="s">
        <v>1389</v>
      </c>
      <c r="C498" t="s">
        <v>1390</v>
      </c>
      <c r="D498" t="s">
        <v>33</v>
      </c>
      <c r="E498" t="s">
        <v>1391</v>
      </c>
      <c r="F498" t="s">
        <v>1392</v>
      </c>
    </row>
    <row r="499" spans="1:6" x14ac:dyDescent="0.3">
      <c r="A499" t="str">
        <f>HYPERLINK("https://hsdes.intel.com/resource/14013179174","14013179174")</f>
        <v>14013179174</v>
      </c>
      <c r="B499" t="s">
        <v>1393</v>
      </c>
      <c r="C499" t="s">
        <v>1394</v>
      </c>
      <c r="D499" t="s">
        <v>6</v>
      </c>
      <c r="E499" t="s">
        <v>1099</v>
      </c>
      <c r="F499" t="s">
        <v>907</v>
      </c>
    </row>
    <row r="500" spans="1:6" x14ac:dyDescent="0.3">
      <c r="A500" t="str">
        <f>HYPERLINK("https://hsdes.intel.com/resource/14013179183","14013179183")</f>
        <v>14013179183</v>
      </c>
      <c r="B500" t="s">
        <v>1395</v>
      </c>
      <c r="C500" t="s">
        <v>1396</v>
      </c>
      <c r="D500" t="s">
        <v>6</v>
      </c>
      <c r="E500" t="s">
        <v>1378</v>
      </c>
      <c r="F500" t="s">
        <v>907</v>
      </c>
    </row>
    <row r="501" spans="1:6" x14ac:dyDescent="0.3">
      <c r="A501" t="str">
        <f>HYPERLINK("https://hsdes.intel.com/resource/14013179255","14013179255")</f>
        <v>14013179255</v>
      </c>
      <c r="B501" t="s">
        <v>1397</v>
      </c>
      <c r="C501" t="s">
        <v>1398</v>
      </c>
      <c r="D501" t="s">
        <v>33</v>
      </c>
      <c r="E501" t="s">
        <v>21</v>
      </c>
      <c r="F501" t="s">
        <v>1399</v>
      </c>
    </row>
    <row r="502" spans="1:6" x14ac:dyDescent="0.3">
      <c r="A502" t="str">
        <f>HYPERLINK("https://hsdes.intel.com/resource/14013179274","14013179274")</f>
        <v>14013179274</v>
      </c>
      <c r="B502" t="s">
        <v>1400</v>
      </c>
      <c r="C502" t="s">
        <v>1401</v>
      </c>
      <c r="D502" t="s">
        <v>11</v>
      </c>
      <c r="E502" t="s">
        <v>50</v>
      </c>
      <c r="F502" t="s">
        <v>1402</v>
      </c>
    </row>
    <row r="503" spans="1:6" x14ac:dyDescent="0.3">
      <c r="A503" t="str">
        <f>HYPERLINK("https://hsdes.intel.com/resource/14013179310","14013179310")</f>
        <v>14013179310</v>
      </c>
      <c r="B503" t="s">
        <v>1403</v>
      </c>
      <c r="C503" t="s">
        <v>1404</v>
      </c>
      <c r="D503" t="s">
        <v>33</v>
      </c>
      <c r="E503" t="s">
        <v>129</v>
      </c>
      <c r="F503" t="s">
        <v>1405</v>
      </c>
    </row>
    <row r="504" spans="1:6" x14ac:dyDescent="0.3">
      <c r="A504" t="str">
        <f>HYPERLINK("https://hsdes.intel.com/resource/14013179315","14013179315")</f>
        <v>14013179315</v>
      </c>
      <c r="B504" t="s">
        <v>1406</v>
      </c>
      <c r="C504" t="s">
        <v>1407</v>
      </c>
      <c r="D504" t="s">
        <v>33</v>
      </c>
      <c r="E504" t="s">
        <v>21</v>
      </c>
      <c r="F504" t="s">
        <v>1408</v>
      </c>
    </row>
    <row r="505" spans="1:6" x14ac:dyDescent="0.3">
      <c r="A505" t="str">
        <f>HYPERLINK("https://hsdes.intel.com/resource/14013179329","14013179329")</f>
        <v>14013179329</v>
      </c>
      <c r="B505" t="s">
        <v>1409</v>
      </c>
      <c r="C505" t="s">
        <v>1410</v>
      </c>
      <c r="D505" t="s">
        <v>33</v>
      </c>
      <c r="E505" t="s">
        <v>304</v>
      </c>
      <c r="F505" t="s">
        <v>1411</v>
      </c>
    </row>
    <row r="506" spans="1:6" x14ac:dyDescent="0.3">
      <c r="A506" t="str">
        <f>HYPERLINK("https://hsdes.intel.com/resource/14013179332","14013179332")</f>
        <v>14013179332</v>
      </c>
      <c r="B506" t="s">
        <v>1412</v>
      </c>
      <c r="C506" t="s">
        <v>1413</v>
      </c>
      <c r="D506" t="s">
        <v>33</v>
      </c>
      <c r="E506" t="s">
        <v>304</v>
      </c>
      <c r="F506" t="s">
        <v>1414</v>
      </c>
    </row>
    <row r="507" spans="1:6" x14ac:dyDescent="0.3">
      <c r="A507" t="str">
        <f>HYPERLINK("https://hsdes.intel.com/resource/14013179379","14013179379")</f>
        <v>14013179379</v>
      </c>
      <c r="B507" t="s">
        <v>1415</v>
      </c>
      <c r="C507" t="s">
        <v>1416</v>
      </c>
      <c r="D507" t="s">
        <v>33</v>
      </c>
      <c r="E507" t="s">
        <v>21</v>
      </c>
      <c r="F507" t="s">
        <v>1417</v>
      </c>
    </row>
    <row r="508" spans="1:6" x14ac:dyDescent="0.3">
      <c r="A508" t="str">
        <f>HYPERLINK("https://hsdes.intel.com/resource/14013179437","14013179437")</f>
        <v>14013179437</v>
      </c>
      <c r="B508" t="s">
        <v>1418</v>
      </c>
      <c r="C508" t="s">
        <v>1419</v>
      </c>
      <c r="D508" t="s">
        <v>181</v>
      </c>
      <c r="E508" t="s">
        <v>64</v>
      </c>
      <c r="F508" t="s">
        <v>1420</v>
      </c>
    </row>
    <row r="509" spans="1:6" x14ac:dyDescent="0.3">
      <c r="A509" t="str">
        <f>HYPERLINK("https://hsdes.intel.com/resource/14013179473","14013179473")</f>
        <v>14013179473</v>
      </c>
      <c r="B509" t="s">
        <v>1421</v>
      </c>
      <c r="C509" t="s">
        <v>1422</v>
      </c>
      <c r="D509" t="s">
        <v>181</v>
      </c>
      <c r="E509" t="s">
        <v>64</v>
      </c>
      <c r="F509" t="s">
        <v>583</v>
      </c>
    </row>
    <row r="510" spans="1:6" x14ac:dyDescent="0.3">
      <c r="A510" t="str">
        <f>HYPERLINK("https://hsdes.intel.com/resource/14013179479","14013179479")</f>
        <v>14013179479</v>
      </c>
      <c r="B510" t="s">
        <v>1423</v>
      </c>
      <c r="C510" t="s">
        <v>1424</v>
      </c>
      <c r="D510" t="s">
        <v>181</v>
      </c>
      <c r="E510" t="s">
        <v>64</v>
      </c>
      <c r="F510" t="s">
        <v>364</v>
      </c>
    </row>
    <row r="511" spans="1:6" x14ac:dyDescent="0.3">
      <c r="A511" t="str">
        <f>HYPERLINK("https://hsdes.intel.com/resource/14013179523","14013179523")</f>
        <v>14013179523</v>
      </c>
      <c r="B511" t="s">
        <v>1425</v>
      </c>
      <c r="C511" t="s">
        <v>1426</v>
      </c>
      <c r="D511" t="s">
        <v>181</v>
      </c>
      <c r="E511" t="s">
        <v>64</v>
      </c>
      <c r="F511" t="s">
        <v>361</v>
      </c>
    </row>
    <row r="512" spans="1:6" x14ac:dyDescent="0.3">
      <c r="A512" t="str">
        <f>HYPERLINK("https://hsdes.intel.com/resource/14013179540","14013179540")</f>
        <v>14013179540</v>
      </c>
      <c r="B512" t="s">
        <v>1427</v>
      </c>
      <c r="C512" t="s">
        <v>1428</v>
      </c>
      <c r="D512" t="s">
        <v>181</v>
      </c>
      <c r="E512" t="s">
        <v>64</v>
      </c>
      <c r="F512" t="s">
        <v>361</v>
      </c>
    </row>
    <row r="513" spans="1:6" x14ac:dyDescent="0.3">
      <c r="A513" t="str">
        <f>HYPERLINK("https://hsdes.intel.com/resource/14013179556","14013179556")</f>
        <v>14013179556</v>
      </c>
      <c r="B513" t="s">
        <v>1429</v>
      </c>
      <c r="C513" t="s">
        <v>1430</v>
      </c>
      <c r="D513" t="s">
        <v>181</v>
      </c>
      <c r="E513" t="s">
        <v>64</v>
      </c>
      <c r="F513" t="s">
        <v>361</v>
      </c>
    </row>
    <row r="514" spans="1:6" x14ac:dyDescent="0.3">
      <c r="A514" t="str">
        <f>HYPERLINK("https://hsdes.intel.com/resource/14013179573","14013179573")</f>
        <v>14013179573</v>
      </c>
      <c r="B514" t="s">
        <v>1431</v>
      </c>
      <c r="C514" t="s">
        <v>1432</v>
      </c>
      <c r="D514" t="s">
        <v>181</v>
      </c>
      <c r="E514" t="s">
        <v>64</v>
      </c>
      <c r="F514" t="s">
        <v>361</v>
      </c>
    </row>
    <row r="515" spans="1:6" x14ac:dyDescent="0.3">
      <c r="A515" t="str">
        <f>HYPERLINK("https://hsdes.intel.com/resource/14013179683","14013179683")</f>
        <v>14013179683</v>
      </c>
      <c r="B515" t="s">
        <v>1433</v>
      </c>
      <c r="C515" t="s">
        <v>1434</v>
      </c>
      <c r="D515" t="s">
        <v>11</v>
      </c>
      <c r="E515" t="s">
        <v>57</v>
      </c>
      <c r="F515" t="s">
        <v>814</v>
      </c>
    </row>
    <row r="516" spans="1:6" x14ac:dyDescent="0.3">
      <c r="A516" t="str">
        <f>HYPERLINK("https://hsdes.intel.com/resource/14013179705","14013179705")</f>
        <v>14013179705</v>
      </c>
      <c r="B516" t="s">
        <v>1435</v>
      </c>
      <c r="C516" t="s">
        <v>1436</v>
      </c>
      <c r="D516" t="s">
        <v>20</v>
      </c>
      <c r="E516" t="s">
        <v>12</v>
      </c>
      <c r="F516" t="s">
        <v>1437</v>
      </c>
    </row>
    <row r="517" spans="1:6" x14ac:dyDescent="0.3">
      <c r="A517" t="str">
        <f>HYPERLINK("https://hsdes.intel.com/resource/14013180258","14013180258")</f>
        <v>14013180258</v>
      </c>
      <c r="B517" t="s">
        <v>1438</v>
      </c>
      <c r="C517" t="s">
        <v>1439</v>
      </c>
      <c r="D517" t="s">
        <v>25</v>
      </c>
      <c r="E517" t="s">
        <v>68</v>
      </c>
      <c r="F517" t="s">
        <v>1440</v>
      </c>
    </row>
    <row r="518" spans="1:6" x14ac:dyDescent="0.3">
      <c r="A518" t="str">
        <f>HYPERLINK("https://hsdes.intel.com/resource/14013180359","14013180359")</f>
        <v>14013180359</v>
      </c>
      <c r="B518" t="s">
        <v>1441</v>
      </c>
      <c r="C518" t="s">
        <v>1442</v>
      </c>
      <c r="D518" t="s">
        <v>25</v>
      </c>
      <c r="E518" t="s">
        <v>68</v>
      </c>
      <c r="F518" t="s">
        <v>1443</v>
      </c>
    </row>
    <row r="519" spans="1:6" x14ac:dyDescent="0.3">
      <c r="A519" t="str">
        <f>HYPERLINK("https://hsdes.intel.com/resource/14013180376","14013180376")</f>
        <v>14013180376</v>
      </c>
      <c r="B519" t="s">
        <v>1444</v>
      </c>
      <c r="C519" t="s">
        <v>1445</v>
      </c>
      <c r="D519" t="s">
        <v>25</v>
      </c>
      <c r="E519" t="s">
        <v>75</v>
      </c>
      <c r="F519" t="s">
        <v>1446</v>
      </c>
    </row>
    <row r="520" spans="1:6" x14ac:dyDescent="0.3">
      <c r="A520" t="str">
        <f>HYPERLINK("https://hsdes.intel.com/resource/14013180385","14013180385")</f>
        <v>14013180385</v>
      </c>
      <c r="B520" t="s">
        <v>1447</v>
      </c>
      <c r="C520" t="s">
        <v>1448</v>
      </c>
      <c r="D520" t="s">
        <v>25</v>
      </c>
      <c r="E520" t="s">
        <v>68</v>
      </c>
      <c r="F520" t="s">
        <v>1449</v>
      </c>
    </row>
    <row r="521" spans="1:6" x14ac:dyDescent="0.3">
      <c r="A521" t="str">
        <f>HYPERLINK("https://hsdes.intel.com/resource/14013180393","14013180393")</f>
        <v>14013180393</v>
      </c>
      <c r="B521" t="s">
        <v>1450</v>
      </c>
      <c r="C521" t="s">
        <v>1451</v>
      </c>
      <c r="D521" t="s">
        <v>25</v>
      </c>
      <c r="E521" t="s">
        <v>68</v>
      </c>
      <c r="F521" t="s">
        <v>1452</v>
      </c>
    </row>
    <row r="522" spans="1:6" x14ac:dyDescent="0.3">
      <c r="A522" t="str">
        <f>HYPERLINK("https://hsdes.intel.com/resource/14013180400","14013180400")</f>
        <v>14013180400</v>
      </c>
      <c r="B522" t="s">
        <v>1453</v>
      </c>
      <c r="C522" t="s">
        <v>1454</v>
      </c>
      <c r="D522" t="s">
        <v>25</v>
      </c>
      <c r="E522" t="s">
        <v>68</v>
      </c>
      <c r="F522" t="s">
        <v>1455</v>
      </c>
    </row>
    <row r="523" spans="1:6" x14ac:dyDescent="0.3">
      <c r="A523" t="str">
        <f>HYPERLINK("https://hsdes.intel.com/resource/14013180405","14013180405")</f>
        <v>14013180405</v>
      </c>
      <c r="B523" t="s">
        <v>1456</v>
      </c>
      <c r="C523" t="s">
        <v>1457</v>
      </c>
      <c r="D523" t="s">
        <v>25</v>
      </c>
      <c r="E523" t="s">
        <v>68</v>
      </c>
      <c r="F523" t="s">
        <v>1458</v>
      </c>
    </row>
    <row r="524" spans="1:6" x14ac:dyDescent="0.3">
      <c r="A524" t="str">
        <f>HYPERLINK("https://hsdes.intel.com/resource/14013180406","14013180406")</f>
        <v>14013180406</v>
      </c>
      <c r="B524" t="s">
        <v>1459</v>
      </c>
      <c r="C524" t="s">
        <v>1460</v>
      </c>
      <c r="D524" t="s">
        <v>25</v>
      </c>
      <c r="E524" t="s">
        <v>68</v>
      </c>
      <c r="F524" t="s">
        <v>1461</v>
      </c>
    </row>
    <row r="525" spans="1:6" x14ac:dyDescent="0.3">
      <c r="A525" t="str">
        <f>HYPERLINK("https://hsdes.intel.com/resource/14013180411","14013180411")</f>
        <v>14013180411</v>
      </c>
      <c r="B525" t="s">
        <v>1462</v>
      </c>
      <c r="C525" t="s">
        <v>1463</v>
      </c>
      <c r="D525" t="s">
        <v>25</v>
      </c>
      <c r="E525" t="s">
        <v>68</v>
      </c>
      <c r="F525" t="s">
        <v>1464</v>
      </c>
    </row>
    <row r="526" spans="1:6" x14ac:dyDescent="0.3">
      <c r="A526" t="str">
        <f>HYPERLINK("https://hsdes.intel.com/resource/14013180414","14013180414")</f>
        <v>14013180414</v>
      </c>
      <c r="B526" t="s">
        <v>1465</v>
      </c>
      <c r="C526" t="s">
        <v>1466</v>
      </c>
      <c r="D526" t="s">
        <v>25</v>
      </c>
      <c r="E526" t="s">
        <v>75</v>
      </c>
      <c r="F526" t="s">
        <v>1467</v>
      </c>
    </row>
    <row r="527" spans="1:6" x14ac:dyDescent="0.3">
      <c r="A527" t="str">
        <f>HYPERLINK("https://hsdes.intel.com/resource/14013180415","14013180415")</f>
        <v>14013180415</v>
      </c>
      <c r="B527" t="s">
        <v>1468</v>
      </c>
      <c r="C527" t="s">
        <v>1469</v>
      </c>
      <c r="D527" t="s">
        <v>25</v>
      </c>
      <c r="E527" t="s">
        <v>68</v>
      </c>
      <c r="F527" t="s">
        <v>1461</v>
      </c>
    </row>
    <row r="528" spans="1:6" x14ac:dyDescent="0.3">
      <c r="A528" t="str">
        <f>HYPERLINK("https://hsdes.intel.com/resource/14013180439","14013180439")</f>
        <v>14013180439</v>
      </c>
      <c r="B528" t="s">
        <v>1470</v>
      </c>
      <c r="C528" t="s">
        <v>1471</v>
      </c>
      <c r="D528" t="s">
        <v>25</v>
      </c>
      <c r="E528" t="s">
        <v>68</v>
      </c>
      <c r="F528" t="s">
        <v>1472</v>
      </c>
    </row>
    <row r="529" spans="1:6" x14ac:dyDescent="0.3">
      <c r="A529" t="str">
        <f>HYPERLINK("https://hsdes.intel.com/resource/14013180454","14013180454")</f>
        <v>14013180454</v>
      </c>
      <c r="B529" t="s">
        <v>1473</v>
      </c>
      <c r="C529" t="s">
        <v>1474</v>
      </c>
      <c r="D529" t="s">
        <v>25</v>
      </c>
      <c r="E529" t="s">
        <v>68</v>
      </c>
      <c r="F529" t="s">
        <v>1475</v>
      </c>
    </row>
    <row r="530" spans="1:6" x14ac:dyDescent="0.3">
      <c r="A530" t="str">
        <f>HYPERLINK("https://hsdes.intel.com/resource/14013180456","14013180456")</f>
        <v>14013180456</v>
      </c>
      <c r="B530" t="s">
        <v>1476</v>
      </c>
      <c r="C530" t="s">
        <v>1477</v>
      </c>
      <c r="D530" t="s">
        <v>25</v>
      </c>
      <c r="E530" t="s">
        <v>68</v>
      </c>
      <c r="F530" t="s">
        <v>1478</v>
      </c>
    </row>
    <row r="531" spans="1:6" x14ac:dyDescent="0.3">
      <c r="A531" t="str">
        <f>HYPERLINK("https://hsdes.intel.com/resource/14013180461","14013180461")</f>
        <v>14013180461</v>
      </c>
      <c r="B531" t="s">
        <v>1479</v>
      </c>
      <c r="C531" t="s">
        <v>1480</v>
      </c>
      <c r="D531" t="s">
        <v>25</v>
      </c>
      <c r="E531" t="s">
        <v>68</v>
      </c>
      <c r="F531" t="s">
        <v>1481</v>
      </c>
    </row>
    <row r="532" spans="1:6" x14ac:dyDescent="0.3">
      <c r="A532" t="str">
        <f>HYPERLINK("https://hsdes.intel.com/resource/14013180508","14013180508")</f>
        <v>14013180508</v>
      </c>
      <c r="B532" t="s">
        <v>1482</v>
      </c>
      <c r="C532" t="s">
        <v>1483</v>
      </c>
      <c r="D532" t="s">
        <v>100</v>
      </c>
      <c r="E532" t="s">
        <v>129</v>
      </c>
      <c r="F532" t="s">
        <v>1484</v>
      </c>
    </row>
    <row r="533" spans="1:6" x14ac:dyDescent="0.3">
      <c r="A533" t="str">
        <f>HYPERLINK("https://hsdes.intel.com/resource/14013180512","14013180512")</f>
        <v>14013180512</v>
      </c>
      <c r="B533" t="s">
        <v>1485</v>
      </c>
      <c r="C533" t="s">
        <v>1486</v>
      </c>
      <c r="D533" t="s">
        <v>25</v>
      </c>
      <c r="E533" t="s">
        <v>68</v>
      </c>
      <c r="F533" t="s">
        <v>1487</v>
      </c>
    </row>
    <row r="534" spans="1:6" x14ac:dyDescent="0.3">
      <c r="A534" t="str">
        <f>HYPERLINK("https://hsdes.intel.com/resource/14013180516","14013180516")</f>
        <v>14013180516</v>
      </c>
      <c r="B534" t="s">
        <v>1488</v>
      </c>
      <c r="C534" t="s">
        <v>1489</v>
      </c>
      <c r="D534" t="s">
        <v>100</v>
      </c>
      <c r="E534" t="s">
        <v>1049</v>
      </c>
      <c r="F534" t="s">
        <v>1490</v>
      </c>
    </row>
    <row r="535" spans="1:6" x14ac:dyDescent="0.3">
      <c r="A535" t="str">
        <f>HYPERLINK("https://hsdes.intel.com/resource/14013180525","14013180525")</f>
        <v>14013180525</v>
      </c>
      <c r="B535" t="s">
        <v>1491</v>
      </c>
      <c r="C535" t="s">
        <v>1492</v>
      </c>
      <c r="D535" t="s">
        <v>25</v>
      </c>
      <c r="E535" t="s">
        <v>68</v>
      </c>
      <c r="F535" t="s">
        <v>1493</v>
      </c>
    </row>
    <row r="536" spans="1:6" x14ac:dyDescent="0.3">
      <c r="A536" t="str">
        <f>HYPERLINK("https://hsdes.intel.com/resource/14013180592","14013180592")</f>
        <v>14013180592</v>
      </c>
      <c r="B536" t="s">
        <v>1494</v>
      </c>
      <c r="C536" t="s">
        <v>1495</v>
      </c>
      <c r="D536" t="s">
        <v>25</v>
      </c>
      <c r="E536" t="s">
        <v>68</v>
      </c>
      <c r="F536" t="s">
        <v>1452</v>
      </c>
    </row>
    <row r="537" spans="1:6" x14ac:dyDescent="0.3">
      <c r="A537" t="str">
        <f>HYPERLINK("https://hsdes.intel.com/resource/14013180599","14013180599")</f>
        <v>14013180599</v>
      </c>
      <c r="B537" t="s">
        <v>1496</v>
      </c>
      <c r="C537" t="s">
        <v>1497</v>
      </c>
      <c r="D537" t="s">
        <v>25</v>
      </c>
      <c r="E537" t="s">
        <v>68</v>
      </c>
      <c r="F537" t="s">
        <v>1498</v>
      </c>
    </row>
    <row r="538" spans="1:6" x14ac:dyDescent="0.3">
      <c r="A538" t="str">
        <f>HYPERLINK("https://hsdes.intel.com/resource/14013180605","14013180605")</f>
        <v>14013180605</v>
      </c>
      <c r="B538" t="s">
        <v>1499</v>
      </c>
      <c r="C538" t="s">
        <v>1500</v>
      </c>
      <c r="D538" t="s">
        <v>25</v>
      </c>
      <c r="E538" t="s">
        <v>68</v>
      </c>
      <c r="F538" t="s">
        <v>984</v>
      </c>
    </row>
    <row r="539" spans="1:6" x14ac:dyDescent="0.3">
      <c r="A539" t="str">
        <f>HYPERLINK("https://hsdes.intel.com/resource/14013182324","14013182324")</f>
        <v>14013182324</v>
      </c>
      <c r="B539" t="s">
        <v>1501</v>
      </c>
      <c r="C539" t="s">
        <v>1502</v>
      </c>
      <c r="D539" t="s">
        <v>11</v>
      </c>
      <c r="E539" t="s">
        <v>194</v>
      </c>
      <c r="F539" t="s">
        <v>1503</v>
      </c>
    </row>
    <row r="540" spans="1:6" x14ac:dyDescent="0.3">
      <c r="A540" t="str">
        <f>HYPERLINK("https://hsdes.intel.com/resource/14013182348","14013182348")</f>
        <v>14013182348</v>
      </c>
      <c r="B540" t="s">
        <v>1504</v>
      </c>
      <c r="C540" t="s">
        <v>1505</v>
      </c>
      <c r="D540" t="s">
        <v>11</v>
      </c>
      <c r="E540" t="s">
        <v>50</v>
      </c>
      <c r="F540" t="s">
        <v>1506</v>
      </c>
    </row>
    <row r="541" spans="1:6" x14ac:dyDescent="0.3">
      <c r="A541" t="str">
        <f>HYPERLINK("https://hsdes.intel.com/resource/14013182355","14013182355")</f>
        <v>14013182355</v>
      </c>
      <c r="B541" t="s">
        <v>1507</v>
      </c>
      <c r="C541" t="s">
        <v>1508</v>
      </c>
      <c r="D541" t="s">
        <v>11</v>
      </c>
      <c r="E541" t="s">
        <v>50</v>
      </c>
      <c r="F541" t="s">
        <v>1506</v>
      </c>
    </row>
    <row r="542" spans="1:6" x14ac:dyDescent="0.3">
      <c r="A542" t="str">
        <f>HYPERLINK("https://hsdes.intel.com/resource/14013182365","14013182365")</f>
        <v>14013182365</v>
      </c>
      <c r="B542" t="s">
        <v>1509</v>
      </c>
      <c r="C542" t="s">
        <v>1510</v>
      </c>
      <c r="D542" t="s">
        <v>33</v>
      </c>
      <c r="E542" t="s">
        <v>129</v>
      </c>
      <c r="F542" t="s">
        <v>1511</v>
      </c>
    </row>
    <row r="543" spans="1:6" x14ac:dyDescent="0.3">
      <c r="A543" t="str">
        <f>HYPERLINK("https://hsdes.intel.com/resource/14013182433","14013182433")</f>
        <v>14013182433</v>
      </c>
      <c r="B543" t="s">
        <v>1512</v>
      </c>
      <c r="C543" t="s">
        <v>1513</v>
      </c>
      <c r="D543" t="s">
        <v>11</v>
      </c>
      <c r="E543" t="s">
        <v>21</v>
      </c>
      <c r="F543" t="s">
        <v>1514</v>
      </c>
    </row>
    <row r="544" spans="1:6" x14ac:dyDescent="0.3">
      <c r="A544" t="str">
        <f>HYPERLINK("https://hsdes.intel.com/resource/14013182441","14013182441")</f>
        <v>14013182441</v>
      </c>
      <c r="B544" t="s">
        <v>1515</v>
      </c>
      <c r="C544" t="s">
        <v>1516</v>
      </c>
      <c r="D544" t="s">
        <v>11</v>
      </c>
      <c r="E544" t="s">
        <v>57</v>
      </c>
      <c r="F544" t="s">
        <v>1517</v>
      </c>
    </row>
    <row r="545" spans="1:6" x14ac:dyDescent="0.3">
      <c r="A545" t="str">
        <f>HYPERLINK("https://hsdes.intel.com/resource/14013182446","14013182446")</f>
        <v>14013182446</v>
      </c>
      <c r="B545" t="s">
        <v>1518</v>
      </c>
      <c r="C545" t="s">
        <v>1519</v>
      </c>
      <c r="D545" t="s">
        <v>20</v>
      </c>
      <c r="E545" t="s">
        <v>21</v>
      </c>
      <c r="F545" t="s">
        <v>1520</v>
      </c>
    </row>
    <row r="546" spans="1:6" x14ac:dyDescent="0.3">
      <c r="A546" t="str">
        <f>HYPERLINK("https://hsdes.intel.com/resource/14013182458","14013182458")</f>
        <v>14013182458</v>
      </c>
      <c r="B546" t="s">
        <v>1521</v>
      </c>
      <c r="C546" t="s">
        <v>1522</v>
      </c>
      <c r="D546" t="s">
        <v>11</v>
      </c>
      <c r="E546" t="s">
        <v>57</v>
      </c>
      <c r="F546" t="s">
        <v>814</v>
      </c>
    </row>
    <row r="547" spans="1:6" x14ac:dyDescent="0.3">
      <c r="A547" t="str">
        <f>HYPERLINK("https://hsdes.intel.com/resource/14013182487","14013182487")</f>
        <v>14013182487</v>
      </c>
      <c r="B547" t="s">
        <v>1523</v>
      </c>
      <c r="C547" t="s">
        <v>1524</v>
      </c>
      <c r="D547" t="s">
        <v>25</v>
      </c>
      <c r="E547" t="s">
        <v>75</v>
      </c>
      <c r="F547" t="s">
        <v>1525</v>
      </c>
    </row>
    <row r="548" spans="1:6" x14ac:dyDescent="0.3">
      <c r="A548" t="str">
        <f>HYPERLINK("https://hsdes.intel.com/resource/14013182624","14013182624")</f>
        <v>14013182624</v>
      </c>
      <c r="B548" t="s">
        <v>1526</v>
      </c>
      <c r="C548" t="s">
        <v>1527</v>
      </c>
      <c r="D548" t="s">
        <v>20</v>
      </c>
      <c r="E548" t="s">
        <v>241</v>
      </c>
      <c r="F548" t="s">
        <v>1528</v>
      </c>
    </row>
    <row r="549" spans="1:6" x14ac:dyDescent="0.3">
      <c r="A549" t="str">
        <f>HYPERLINK("https://hsdes.intel.com/resource/14013182900","14013182900")</f>
        <v>14013182900</v>
      </c>
      <c r="B549" t="s">
        <v>1529</v>
      </c>
      <c r="C549" t="s">
        <v>1530</v>
      </c>
      <c r="D549" t="s">
        <v>25</v>
      </c>
      <c r="E549" t="s">
        <v>26</v>
      </c>
      <c r="F549" t="s">
        <v>1531</v>
      </c>
    </row>
    <row r="550" spans="1:6" x14ac:dyDescent="0.3">
      <c r="A550" t="str">
        <f>HYPERLINK("https://hsdes.intel.com/resource/14013182910","14013182910")</f>
        <v>14013182910</v>
      </c>
      <c r="B550" t="s">
        <v>1532</v>
      </c>
      <c r="C550" t="s">
        <v>1533</v>
      </c>
      <c r="D550" t="s">
        <v>25</v>
      </c>
      <c r="E550" t="s">
        <v>64</v>
      </c>
      <c r="F550" t="s">
        <v>1534</v>
      </c>
    </row>
    <row r="551" spans="1:6" x14ac:dyDescent="0.3">
      <c r="A551" t="str">
        <f>HYPERLINK("https://hsdes.intel.com/resource/14013182921","14013182921")</f>
        <v>14013182921</v>
      </c>
      <c r="B551" t="s">
        <v>1535</v>
      </c>
      <c r="C551" t="s">
        <v>1536</v>
      </c>
      <c r="D551" t="s">
        <v>25</v>
      </c>
      <c r="E551" t="s">
        <v>503</v>
      </c>
      <c r="F551" t="s">
        <v>1537</v>
      </c>
    </row>
    <row r="552" spans="1:6" x14ac:dyDescent="0.3">
      <c r="A552" t="str">
        <f>HYPERLINK("https://hsdes.intel.com/resource/14013182957","14013182957")</f>
        <v>14013182957</v>
      </c>
      <c r="B552" t="s">
        <v>1538</v>
      </c>
      <c r="C552" t="s">
        <v>1539</v>
      </c>
      <c r="D552" t="s">
        <v>181</v>
      </c>
      <c r="E552" t="s">
        <v>64</v>
      </c>
      <c r="F552" t="s">
        <v>1540</v>
      </c>
    </row>
    <row r="553" spans="1:6" x14ac:dyDescent="0.3">
      <c r="A553" t="str">
        <f>HYPERLINK("https://hsdes.intel.com/resource/14013183314","14013183314")</f>
        <v>14013183314</v>
      </c>
      <c r="B553" t="s">
        <v>1541</v>
      </c>
      <c r="C553" t="s">
        <v>1542</v>
      </c>
      <c r="D553" t="s">
        <v>11</v>
      </c>
      <c r="E553" t="s">
        <v>21</v>
      </c>
      <c r="F553" t="s">
        <v>1543</v>
      </c>
    </row>
    <row r="554" spans="1:6" x14ac:dyDescent="0.3">
      <c r="A554" t="str">
        <f>HYPERLINK("https://hsdes.intel.com/resource/14013183384","14013183384")</f>
        <v>14013183384</v>
      </c>
      <c r="B554" t="s">
        <v>1544</v>
      </c>
      <c r="C554" t="s">
        <v>1545</v>
      </c>
      <c r="D554" t="s">
        <v>20</v>
      </c>
      <c r="E554" t="s">
        <v>12</v>
      </c>
      <c r="F554" t="s">
        <v>1546</v>
      </c>
    </row>
    <row r="555" spans="1:6" x14ac:dyDescent="0.3">
      <c r="A555" t="str">
        <f>HYPERLINK("https://hsdes.intel.com/resource/14013183399","14013183399")</f>
        <v>14013183399</v>
      </c>
      <c r="B555" t="s">
        <v>1547</v>
      </c>
      <c r="C555" t="s">
        <v>1548</v>
      </c>
      <c r="D555" t="s">
        <v>20</v>
      </c>
      <c r="E555" t="s">
        <v>266</v>
      </c>
      <c r="F555" t="s">
        <v>1549</v>
      </c>
    </row>
    <row r="556" spans="1:6" x14ac:dyDescent="0.3">
      <c r="A556" t="str">
        <f>HYPERLINK("https://hsdes.intel.com/resource/14013183691","14013183691")</f>
        <v>14013183691</v>
      </c>
      <c r="B556" t="s">
        <v>1550</v>
      </c>
      <c r="C556" t="s">
        <v>1551</v>
      </c>
      <c r="D556" t="s">
        <v>181</v>
      </c>
      <c r="E556" t="s">
        <v>64</v>
      </c>
      <c r="F556" t="s">
        <v>1552</v>
      </c>
    </row>
    <row r="557" spans="1:6" x14ac:dyDescent="0.3">
      <c r="A557" t="str">
        <f>HYPERLINK("https://hsdes.intel.com/resource/14013183707","14013183707")</f>
        <v>14013183707</v>
      </c>
      <c r="B557" t="s">
        <v>1553</v>
      </c>
      <c r="C557" t="s">
        <v>1554</v>
      </c>
      <c r="D557" t="s">
        <v>20</v>
      </c>
      <c r="E557" t="s">
        <v>12</v>
      </c>
      <c r="F557" t="s">
        <v>1555</v>
      </c>
    </row>
    <row r="558" spans="1:6" x14ac:dyDescent="0.3">
      <c r="A558" t="str">
        <f>HYPERLINK("https://hsdes.intel.com/resource/14013183750","14013183750")</f>
        <v>14013183750</v>
      </c>
      <c r="B558" t="s">
        <v>1556</v>
      </c>
      <c r="C558" t="s">
        <v>1557</v>
      </c>
      <c r="D558" t="s">
        <v>6</v>
      </c>
      <c r="E558" t="s">
        <v>64</v>
      </c>
      <c r="F558" t="s">
        <v>1558</v>
      </c>
    </row>
    <row r="559" spans="1:6" x14ac:dyDescent="0.3">
      <c r="A559" t="str">
        <f>HYPERLINK("https://hsdes.intel.com/resource/14013183837","14013183837")</f>
        <v>14013183837</v>
      </c>
      <c r="B559" t="s">
        <v>1559</v>
      </c>
      <c r="C559" t="s">
        <v>1560</v>
      </c>
      <c r="D559" t="s">
        <v>6</v>
      </c>
      <c r="E559" t="s">
        <v>1378</v>
      </c>
      <c r="F559" t="s">
        <v>1561</v>
      </c>
    </row>
    <row r="560" spans="1:6" x14ac:dyDescent="0.3">
      <c r="A560" t="str">
        <f>HYPERLINK("https://hsdes.intel.com/resource/14013184108","14013184108")</f>
        <v>14013184108</v>
      </c>
      <c r="B560" t="s">
        <v>1562</v>
      </c>
      <c r="C560" t="s">
        <v>1563</v>
      </c>
      <c r="D560" t="s">
        <v>11</v>
      </c>
      <c r="E560" t="s">
        <v>57</v>
      </c>
      <c r="F560" t="s">
        <v>814</v>
      </c>
    </row>
    <row r="561" spans="1:6" x14ac:dyDescent="0.3">
      <c r="A561" t="str">
        <f>HYPERLINK("https://hsdes.intel.com/resource/14013184164","14013184164")</f>
        <v>14013184164</v>
      </c>
      <c r="B561" t="s">
        <v>1564</v>
      </c>
      <c r="C561" t="s">
        <v>1565</v>
      </c>
      <c r="D561" t="s">
        <v>20</v>
      </c>
      <c r="E561" t="s">
        <v>43</v>
      </c>
      <c r="F561" t="s">
        <v>1566</v>
      </c>
    </row>
    <row r="562" spans="1:6" x14ac:dyDescent="0.3">
      <c r="A562" t="str">
        <f>HYPERLINK("https://hsdes.intel.com/resource/14013184170","14013184170")</f>
        <v>14013184170</v>
      </c>
      <c r="B562" t="s">
        <v>1567</v>
      </c>
      <c r="C562" t="s">
        <v>1568</v>
      </c>
      <c r="D562" t="s">
        <v>20</v>
      </c>
      <c r="E562" t="s">
        <v>266</v>
      </c>
      <c r="F562" t="s">
        <v>1569</v>
      </c>
    </row>
    <row r="563" spans="1:6" x14ac:dyDescent="0.3">
      <c r="A563" t="str">
        <f>HYPERLINK("https://hsdes.intel.com/resource/14013184271","14013184271")</f>
        <v>14013184271</v>
      </c>
      <c r="B563" t="s">
        <v>1570</v>
      </c>
      <c r="C563" t="s">
        <v>1571</v>
      </c>
      <c r="D563" t="s">
        <v>25</v>
      </c>
      <c r="E563" t="s">
        <v>101</v>
      </c>
      <c r="F563" t="s">
        <v>1572</v>
      </c>
    </row>
    <row r="564" spans="1:6" x14ac:dyDescent="0.3">
      <c r="A564" t="str">
        <f>HYPERLINK("https://hsdes.intel.com/resource/14013184326","14013184326")</f>
        <v>14013184326</v>
      </c>
      <c r="B564" t="s">
        <v>1573</v>
      </c>
      <c r="C564" t="s">
        <v>1574</v>
      </c>
      <c r="D564" t="s">
        <v>25</v>
      </c>
      <c r="E564" t="s">
        <v>64</v>
      </c>
      <c r="F564" t="s">
        <v>1575</v>
      </c>
    </row>
    <row r="565" spans="1:6" x14ac:dyDescent="0.3">
      <c r="A565" t="str">
        <f>HYPERLINK("https://hsdes.intel.com/resource/14013184329","14013184329")</f>
        <v>14013184329</v>
      </c>
      <c r="B565" t="s">
        <v>1576</v>
      </c>
      <c r="C565" t="s">
        <v>1577</v>
      </c>
      <c r="D565" t="s">
        <v>25</v>
      </c>
      <c r="E565" t="s">
        <v>64</v>
      </c>
      <c r="F565" t="s">
        <v>1578</v>
      </c>
    </row>
    <row r="566" spans="1:6" x14ac:dyDescent="0.3">
      <c r="A566" t="str">
        <f>HYPERLINK("https://hsdes.intel.com/resource/14013184407","14013184407")</f>
        <v>14013184407</v>
      </c>
      <c r="B566" t="s">
        <v>1579</v>
      </c>
      <c r="C566" t="s">
        <v>1580</v>
      </c>
      <c r="D566" t="s">
        <v>6</v>
      </c>
      <c r="E566" t="s">
        <v>1378</v>
      </c>
      <c r="F566" t="s">
        <v>1581</v>
      </c>
    </row>
    <row r="567" spans="1:6" x14ac:dyDescent="0.3">
      <c r="A567" t="str">
        <f>HYPERLINK("https://hsdes.intel.com/resource/14013184455","14013184455")</f>
        <v>14013184455</v>
      </c>
      <c r="B567" t="s">
        <v>1582</v>
      </c>
      <c r="C567" t="s">
        <v>1583</v>
      </c>
      <c r="D567" t="s">
        <v>6</v>
      </c>
      <c r="E567" t="s">
        <v>1141</v>
      </c>
      <c r="F567" t="s">
        <v>1584</v>
      </c>
    </row>
    <row r="568" spans="1:6" x14ac:dyDescent="0.3">
      <c r="A568" t="str">
        <f>HYPERLINK("https://hsdes.intel.com/resource/14013184473","14013184473")</f>
        <v>14013184473</v>
      </c>
      <c r="B568" t="s">
        <v>1585</v>
      </c>
      <c r="C568" t="s">
        <v>1586</v>
      </c>
      <c r="D568" t="s">
        <v>6</v>
      </c>
      <c r="E568" t="s">
        <v>1049</v>
      </c>
      <c r="F568" t="s">
        <v>1587</v>
      </c>
    </row>
    <row r="569" spans="1:6" x14ac:dyDescent="0.3">
      <c r="A569" t="str">
        <f>HYPERLINK("https://hsdes.intel.com/resource/14013184477","14013184477")</f>
        <v>14013184477</v>
      </c>
      <c r="B569" t="s">
        <v>1588</v>
      </c>
      <c r="C569" t="s">
        <v>1589</v>
      </c>
      <c r="D569" t="s">
        <v>11</v>
      </c>
      <c r="E569" t="s">
        <v>50</v>
      </c>
      <c r="F569" t="s">
        <v>191</v>
      </c>
    </row>
    <row r="570" spans="1:6" x14ac:dyDescent="0.3">
      <c r="A570" t="str">
        <f>HYPERLINK("https://hsdes.intel.com/resource/14013184512","14013184512")</f>
        <v>14013184512</v>
      </c>
      <c r="B570" t="s">
        <v>1590</v>
      </c>
      <c r="C570" t="s">
        <v>1591</v>
      </c>
      <c r="D570" t="s">
        <v>11</v>
      </c>
      <c r="E570" t="s">
        <v>50</v>
      </c>
      <c r="F570" t="s">
        <v>1592</v>
      </c>
    </row>
    <row r="571" spans="1:6" x14ac:dyDescent="0.3">
      <c r="A571" t="str">
        <f>HYPERLINK("https://hsdes.intel.com/resource/14013184540","14013184540")</f>
        <v>14013184540</v>
      </c>
      <c r="B571" t="s">
        <v>1593</v>
      </c>
      <c r="C571" t="s">
        <v>1594</v>
      </c>
      <c r="D571" t="s">
        <v>6</v>
      </c>
      <c r="E571" t="s">
        <v>1020</v>
      </c>
      <c r="F571" t="s">
        <v>1595</v>
      </c>
    </row>
    <row r="572" spans="1:6" x14ac:dyDescent="0.3">
      <c r="A572" t="str">
        <f>HYPERLINK("https://hsdes.intel.com/resource/14013184583","14013184583")</f>
        <v>14013184583</v>
      </c>
      <c r="B572" t="s">
        <v>1596</v>
      </c>
      <c r="C572" t="s">
        <v>1597</v>
      </c>
      <c r="D572" t="s">
        <v>25</v>
      </c>
      <c r="E572" t="s">
        <v>21</v>
      </c>
      <c r="F572" t="s">
        <v>1598</v>
      </c>
    </row>
    <row r="573" spans="1:6" x14ac:dyDescent="0.3">
      <c r="A573" t="str">
        <f>HYPERLINK("https://hsdes.intel.com/resource/14013184731","14013184731")</f>
        <v>14013184731</v>
      </c>
      <c r="B573" t="s">
        <v>1599</v>
      </c>
      <c r="C573" t="s">
        <v>1600</v>
      </c>
      <c r="D573" t="s">
        <v>25</v>
      </c>
      <c r="E573" t="s">
        <v>1601</v>
      </c>
      <c r="F573" t="s">
        <v>1602</v>
      </c>
    </row>
    <row r="574" spans="1:6" x14ac:dyDescent="0.3">
      <c r="A574" t="str">
        <f>HYPERLINK("https://hsdes.intel.com/resource/14013184742","14013184742")</f>
        <v>14013184742</v>
      </c>
      <c r="B574" t="s">
        <v>1603</v>
      </c>
      <c r="C574" t="s">
        <v>1604</v>
      </c>
      <c r="D574" t="s">
        <v>20</v>
      </c>
      <c r="E574" t="s">
        <v>12</v>
      </c>
      <c r="F574" t="s">
        <v>1605</v>
      </c>
    </row>
    <row r="575" spans="1:6" x14ac:dyDescent="0.3">
      <c r="A575" t="str">
        <f>HYPERLINK("https://hsdes.intel.com/resource/14013184823","14013184823")</f>
        <v>14013184823</v>
      </c>
      <c r="B575" t="s">
        <v>1606</v>
      </c>
      <c r="C575" t="s">
        <v>1607</v>
      </c>
      <c r="D575" t="s">
        <v>33</v>
      </c>
      <c r="E575" t="s">
        <v>129</v>
      </c>
      <c r="F575" t="s">
        <v>1608</v>
      </c>
    </row>
    <row r="576" spans="1:6" x14ac:dyDescent="0.3">
      <c r="A576" t="str">
        <f>HYPERLINK("https://hsdes.intel.com/resource/14013184835","14013184835")</f>
        <v>14013184835</v>
      </c>
      <c r="B576" t="s">
        <v>1609</v>
      </c>
      <c r="C576" t="s">
        <v>1610</v>
      </c>
      <c r="D576" t="s">
        <v>33</v>
      </c>
      <c r="E576" t="s">
        <v>1611</v>
      </c>
      <c r="F576" t="s">
        <v>1612</v>
      </c>
    </row>
    <row r="577" spans="1:6" x14ac:dyDescent="0.3">
      <c r="A577" t="str">
        <f>HYPERLINK("https://hsdes.intel.com/resource/14013184856","14013184856")</f>
        <v>14013184856</v>
      </c>
      <c r="B577" t="s">
        <v>1613</v>
      </c>
      <c r="C577" t="s">
        <v>1614</v>
      </c>
      <c r="D577" t="s">
        <v>6</v>
      </c>
      <c r="E577" t="s">
        <v>1378</v>
      </c>
      <c r="F577" t="s">
        <v>1615</v>
      </c>
    </row>
    <row r="578" spans="1:6" x14ac:dyDescent="0.3">
      <c r="A578" t="str">
        <f>HYPERLINK("https://hsdes.intel.com/resource/14013185011","14013185011")</f>
        <v>14013185011</v>
      </c>
      <c r="B578" t="s">
        <v>1616</v>
      </c>
      <c r="C578" t="s">
        <v>1617</v>
      </c>
      <c r="D578" t="s">
        <v>25</v>
      </c>
      <c r="E578" t="s">
        <v>503</v>
      </c>
      <c r="F578" t="s">
        <v>1618</v>
      </c>
    </row>
    <row r="579" spans="1:6" x14ac:dyDescent="0.3">
      <c r="A579" t="str">
        <f>HYPERLINK("https://hsdes.intel.com/resource/14013185086","14013185086")</f>
        <v>14013185086</v>
      </c>
      <c r="B579" t="s">
        <v>1619</v>
      </c>
      <c r="C579" t="s">
        <v>1620</v>
      </c>
      <c r="D579" t="s">
        <v>33</v>
      </c>
      <c r="E579" t="s">
        <v>21</v>
      </c>
      <c r="F579" t="s">
        <v>1621</v>
      </c>
    </row>
    <row r="580" spans="1:6" x14ac:dyDescent="0.3">
      <c r="A580" t="str">
        <f>HYPERLINK("https://hsdes.intel.com/resource/14013185119","14013185119")</f>
        <v>14013185119</v>
      </c>
      <c r="B580" t="s">
        <v>1622</v>
      </c>
      <c r="C580" t="s">
        <v>1623</v>
      </c>
      <c r="D580" t="s">
        <v>181</v>
      </c>
      <c r="E580" t="s">
        <v>64</v>
      </c>
      <c r="F580" t="s">
        <v>1624</v>
      </c>
    </row>
    <row r="581" spans="1:6" x14ac:dyDescent="0.3">
      <c r="A581" t="str">
        <f>HYPERLINK("https://hsdes.intel.com/resource/14013185185","14013185185")</f>
        <v>14013185185</v>
      </c>
      <c r="B581" t="s">
        <v>1625</v>
      </c>
      <c r="C581" t="s">
        <v>1626</v>
      </c>
      <c r="D581" t="s">
        <v>181</v>
      </c>
      <c r="E581" t="s">
        <v>64</v>
      </c>
      <c r="F581" t="s">
        <v>1627</v>
      </c>
    </row>
    <row r="582" spans="1:6" x14ac:dyDescent="0.3">
      <c r="A582" t="str">
        <f>HYPERLINK("https://hsdes.intel.com/resource/14013185201","14013185201")</f>
        <v>14013185201</v>
      </c>
      <c r="B582" t="s">
        <v>1628</v>
      </c>
      <c r="C582" t="s">
        <v>1629</v>
      </c>
      <c r="D582" t="s">
        <v>25</v>
      </c>
      <c r="E582" t="s">
        <v>503</v>
      </c>
      <c r="F582" t="s">
        <v>1630</v>
      </c>
    </row>
    <row r="583" spans="1:6" x14ac:dyDescent="0.3">
      <c r="A583" t="str">
        <f>HYPERLINK("https://hsdes.intel.com/resource/14013185206","14013185206")</f>
        <v>14013185206</v>
      </c>
      <c r="B583" t="s">
        <v>1631</v>
      </c>
      <c r="C583" t="s">
        <v>1632</v>
      </c>
      <c r="D583" t="s">
        <v>25</v>
      </c>
      <c r="E583" t="s">
        <v>503</v>
      </c>
      <c r="F583" t="s">
        <v>1633</v>
      </c>
    </row>
    <row r="584" spans="1:6" x14ac:dyDescent="0.3">
      <c r="A584" t="str">
        <f>HYPERLINK("https://hsdes.intel.com/resource/14013185230","14013185230")</f>
        <v>14013185230</v>
      </c>
      <c r="B584" t="s">
        <v>1634</v>
      </c>
      <c r="C584" t="s">
        <v>1635</v>
      </c>
      <c r="D584" t="s">
        <v>181</v>
      </c>
      <c r="E584" t="s">
        <v>1076</v>
      </c>
      <c r="F584" t="s">
        <v>1636</v>
      </c>
    </row>
    <row r="585" spans="1:6" x14ac:dyDescent="0.3">
      <c r="A585" t="str">
        <f>HYPERLINK("https://hsdes.intel.com/resource/14013185270","14013185270")</f>
        <v>14013185270</v>
      </c>
      <c r="B585" t="s">
        <v>1637</v>
      </c>
      <c r="C585" t="s">
        <v>1638</v>
      </c>
      <c r="D585" t="s">
        <v>11</v>
      </c>
      <c r="E585" t="s">
        <v>1639</v>
      </c>
      <c r="F585" t="s">
        <v>1640</v>
      </c>
    </row>
    <row r="586" spans="1:6" x14ac:dyDescent="0.3">
      <c r="A586" t="str">
        <f>HYPERLINK("https://hsdes.intel.com/resource/14013185276","14013185276")</f>
        <v>14013185276</v>
      </c>
      <c r="B586" t="s">
        <v>1641</v>
      </c>
      <c r="C586" t="s">
        <v>1642</v>
      </c>
      <c r="D586" t="s">
        <v>20</v>
      </c>
      <c r="E586" t="s">
        <v>241</v>
      </c>
      <c r="F586" t="s">
        <v>1643</v>
      </c>
    </row>
    <row r="587" spans="1:6" x14ac:dyDescent="0.3">
      <c r="A587" t="str">
        <f>HYPERLINK("https://hsdes.intel.com/resource/14013185341","14013185341")</f>
        <v>14013185341</v>
      </c>
      <c r="B587" t="s">
        <v>1644</v>
      </c>
      <c r="C587" t="s">
        <v>1645</v>
      </c>
      <c r="D587" t="s">
        <v>181</v>
      </c>
      <c r="E587" t="s">
        <v>1277</v>
      </c>
      <c r="F587" t="s">
        <v>1646</v>
      </c>
    </row>
    <row r="588" spans="1:6" x14ac:dyDescent="0.3">
      <c r="A588" t="str">
        <f>HYPERLINK("https://hsdes.intel.com/resource/14013185356","14013185356")</f>
        <v>14013185356</v>
      </c>
      <c r="B588" t="s">
        <v>1647</v>
      </c>
      <c r="C588" t="s">
        <v>1648</v>
      </c>
      <c r="D588" t="s">
        <v>6</v>
      </c>
      <c r="E588" t="s">
        <v>1378</v>
      </c>
      <c r="F588" t="s">
        <v>1649</v>
      </c>
    </row>
    <row r="589" spans="1:6" x14ac:dyDescent="0.3">
      <c r="A589" t="str">
        <f>HYPERLINK("https://hsdes.intel.com/resource/14013185372","14013185372")</f>
        <v>14013185372</v>
      </c>
      <c r="B589" t="s">
        <v>1650</v>
      </c>
      <c r="C589" t="s">
        <v>1651</v>
      </c>
      <c r="D589" t="s">
        <v>6</v>
      </c>
      <c r="E589" t="s">
        <v>1277</v>
      </c>
      <c r="F589" t="s">
        <v>1652</v>
      </c>
    </row>
    <row r="590" spans="1:6" x14ac:dyDescent="0.3">
      <c r="A590" t="str">
        <f>HYPERLINK("https://hsdes.intel.com/resource/14013185392","14013185392")</f>
        <v>14013185392</v>
      </c>
      <c r="B590" t="s">
        <v>1653</v>
      </c>
      <c r="C590" t="s">
        <v>1654</v>
      </c>
      <c r="D590" t="s">
        <v>11</v>
      </c>
      <c r="E590" t="s">
        <v>1655</v>
      </c>
      <c r="F590" t="s">
        <v>1656</v>
      </c>
    </row>
    <row r="591" spans="1:6" x14ac:dyDescent="0.3">
      <c r="A591" t="str">
        <f>HYPERLINK("https://hsdes.intel.com/resource/14013185407","14013185407")</f>
        <v>14013185407</v>
      </c>
      <c r="B591" t="s">
        <v>1657</v>
      </c>
      <c r="C591" t="s">
        <v>1658</v>
      </c>
      <c r="D591" t="s">
        <v>11</v>
      </c>
      <c r="E591" t="s">
        <v>57</v>
      </c>
      <c r="F591" t="s">
        <v>814</v>
      </c>
    </row>
    <row r="592" spans="1:6" x14ac:dyDescent="0.3">
      <c r="A592" t="str">
        <f>HYPERLINK("https://hsdes.intel.com/resource/14013185426","14013185426")</f>
        <v>14013185426</v>
      </c>
      <c r="B592" t="s">
        <v>1659</v>
      </c>
      <c r="C592" t="s">
        <v>1660</v>
      </c>
      <c r="D592" t="s">
        <v>11</v>
      </c>
      <c r="E592" t="s">
        <v>57</v>
      </c>
      <c r="F592" t="s">
        <v>861</v>
      </c>
    </row>
    <row r="593" spans="1:6" x14ac:dyDescent="0.3">
      <c r="A593" t="str">
        <f>HYPERLINK("https://hsdes.intel.com/resource/14013185452","14013185452")</f>
        <v>14013185452</v>
      </c>
      <c r="B593" t="s">
        <v>1661</v>
      </c>
      <c r="C593" t="s">
        <v>1662</v>
      </c>
      <c r="D593" t="s">
        <v>25</v>
      </c>
      <c r="E593" t="s">
        <v>64</v>
      </c>
      <c r="F593" t="s">
        <v>1663</v>
      </c>
    </row>
    <row r="594" spans="1:6" x14ac:dyDescent="0.3">
      <c r="A594" t="str">
        <f>HYPERLINK("https://hsdes.intel.com/resource/14013185476","14013185476")</f>
        <v>14013185476</v>
      </c>
      <c r="B594" t="s">
        <v>1664</v>
      </c>
      <c r="C594" t="s">
        <v>1665</v>
      </c>
      <c r="D594" t="s">
        <v>6</v>
      </c>
      <c r="E594" t="s">
        <v>1378</v>
      </c>
      <c r="F594" t="s">
        <v>257</v>
      </c>
    </row>
    <row r="595" spans="1:6" x14ac:dyDescent="0.3">
      <c r="A595" t="str">
        <f>HYPERLINK("https://hsdes.intel.com/resource/14013185479","14013185479")</f>
        <v>14013185479</v>
      </c>
      <c r="B595" t="s">
        <v>1666</v>
      </c>
      <c r="C595" t="s">
        <v>1667</v>
      </c>
      <c r="D595" t="s">
        <v>6</v>
      </c>
      <c r="E595" t="s">
        <v>1141</v>
      </c>
      <c r="F595" t="s">
        <v>1649</v>
      </c>
    </row>
    <row r="596" spans="1:6" x14ac:dyDescent="0.3">
      <c r="A596" t="str">
        <f>HYPERLINK("https://hsdes.intel.com/resource/14013185484","14013185484")</f>
        <v>14013185484</v>
      </c>
      <c r="B596" t="s">
        <v>1668</v>
      </c>
      <c r="C596" t="s">
        <v>1669</v>
      </c>
      <c r="D596" t="s">
        <v>6</v>
      </c>
      <c r="E596" t="s">
        <v>1141</v>
      </c>
      <c r="F596" t="s">
        <v>1670</v>
      </c>
    </row>
    <row r="597" spans="1:6" x14ac:dyDescent="0.3">
      <c r="A597" t="str">
        <f>HYPERLINK("https://hsdes.intel.com/resource/14013185500","14013185500")</f>
        <v>14013185500</v>
      </c>
      <c r="B597" t="s">
        <v>1671</v>
      </c>
      <c r="C597" t="s">
        <v>1672</v>
      </c>
      <c r="D597" t="s">
        <v>33</v>
      </c>
      <c r="E597" t="s">
        <v>266</v>
      </c>
      <c r="F597" t="s">
        <v>1673</v>
      </c>
    </row>
    <row r="598" spans="1:6" x14ac:dyDescent="0.3">
      <c r="A598" t="str">
        <f>HYPERLINK("https://hsdes.intel.com/resource/14013185503","14013185503")</f>
        <v>14013185503</v>
      </c>
      <c r="B598" t="s">
        <v>1674</v>
      </c>
      <c r="C598" t="s">
        <v>1675</v>
      </c>
      <c r="D598" t="s">
        <v>6</v>
      </c>
      <c r="E598" t="s">
        <v>1277</v>
      </c>
      <c r="F598" t="s">
        <v>1649</v>
      </c>
    </row>
    <row r="599" spans="1:6" x14ac:dyDescent="0.3">
      <c r="A599" t="str">
        <f>HYPERLINK("https://hsdes.intel.com/resource/14013185516","14013185516")</f>
        <v>14013185516</v>
      </c>
      <c r="B599" t="s">
        <v>1676</v>
      </c>
      <c r="C599" t="s">
        <v>1677</v>
      </c>
      <c r="D599" t="s">
        <v>25</v>
      </c>
      <c r="E599" t="s">
        <v>64</v>
      </c>
      <c r="F599" t="s">
        <v>1678</v>
      </c>
    </row>
    <row r="600" spans="1:6" x14ac:dyDescent="0.3">
      <c r="A600" t="str">
        <f>HYPERLINK("https://hsdes.intel.com/resource/14013185647","14013185647")</f>
        <v>14013185647</v>
      </c>
      <c r="B600" t="s">
        <v>1679</v>
      </c>
      <c r="C600" t="s">
        <v>1680</v>
      </c>
      <c r="D600" t="s">
        <v>33</v>
      </c>
      <c r="E600" t="s">
        <v>266</v>
      </c>
      <c r="F600" t="s">
        <v>1681</v>
      </c>
    </row>
    <row r="601" spans="1:6" x14ac:dyDescent="0.3">
      <c r="A601" t="str">
        <f>HYPERLINK("https://hsdes.intel.com/resource/14013185678","14013185678")</f>
        <v>14013185678</v>
      </c>
      <c r="B601" t="s">
        <v>1682</v>
      </c>
      <c r="C601" t="s">
        <v>1683</v>
      </c>
      <c r="D601" t="s">
        <v>181</v>
      </c>
      <c r="E601" t="s">
        <v>64</v>
      </c>
      <c r="F601" t="s">
        <v>1684</v>
      </c>
    </row>
    <row r="602" spans="1:6" x14ac:dyDescent="0.3">
      <c r="A602" t="str">
        <f>HYPERLINK("https://hsdes.intel.com/resource/14013185689","14013185689")</f>
        <v>14013185689</v>
      </c>
      <c r="B602" t="s">
        <v>1685</v>
      </c>
      <c r="C602" t="s">
        <v>1686</v>
      </c>
      <c r="D602" t="s">
        <v>181</v>
      </c>
      <c r="E602" t="s">
        <v>211</v>
      </c>
      <c r="F602" t="s">
        <v>260</v>
      </c>
    </row>
    <row r="603" spans="1:6" x14ac:dyDescent="0.3">
      <c r="A603" t="str">
        <f>HYPERLINK("https://hsdes.intel.com/resource/14013185694","14013185694")</f>
        <v>14013185694</v>
      </c>
      <c r="B603" t="s">
        <v>1687</v>
      </c>
      <c r="C603" t="s">
        <v>1688</v>
      </c>
      <c r="D603" t="s">
        <v>181</v>
      </c>
      <c r="E603" t="s">
        <v>64</v>
      </c>
      <c r="F603" t="s">
        <v>1689</v>
      </c>
    </row>
    <row r="604" spans="1:6" x14ac:dyDescent="0.3">
      <c r="A604" t="str">
        <f>HYPERLINK("https://hsdes.intel.com/resource/14013185710","14013185710")</f>
        <v>14013185710</v>
      </c>
      <c r="B604" t="s">
        <v>1690</v>
      </c>
      <c r="C604" t="s">
        <v>1691</v>
      </c>
      <c r="D604" t="s">
        <v>181</v>
      </c>
      <c r="E604" t="s">
        <v>64</v>
      </c>
      <c r="F604" t="s">
        <v>1692</v>
      </c>
    </row>
    <row r="605" spans="1:6" x14ac:dyDescent="0.3">
      <c r="A605" t="str">
        <f>HYPERLINK("https://hsdes.intel.com/resource/14013185758","14013185758")</f>
        <v>14013185758</v>
      </c>
      <c r="B605" t="s">
        <v>1693</v>
      </c>
      <c r="C605" t="s">
        <v>1694</v>
      </c>
      <c r="D605" t="s">
        <v>11</v>
      </c>
      <c r="E605" t="s">
        <v>50</v>
      </c>
      <c r="F605" t="s">
        <v>1695</v>
      </c>
    </row>
    <row r="606" spans="1:6" x14ac:dyDescent="0.3">
      <c r="A606" t="str">
        <f>HYPERLINK("https://hsdes.intel.com/resource/14013185807","14013185807")</f>
        <v>14013185807</v>
      </c>
      <c r="B606" t="s">
        <v>1696</v>
      </c>
      <c r="C606" t="s">
        <v>1697</v>
      </c>
      <c r="D606" t="s">
        <v>33</v>
      </c>
      <c r="E606" t="s">
        <v>21</v>
      </c>
      <c r="F606" t="s">
        <v>1698</v>
      </c>
    </row>
    <row r="607" spans="1:6" x14ac:dyDescent="0.3">
      <c r="A607" t="str">
        <f>HYPERLINK("https://hsdes.intel.com/resource/14013185811","14013185811")</f>
        <v>14013185811</v>
      </c>
      <c r="B607" t="s">
        <v>1699</v>
      </c>
      <c r="C607" t="s">
        <v>1700</v>
      </c>
      <c r="D607" t="s">
        <v>11</v>
      </c>
      <c r="E607" t="s">
        <v>1639</v>
      </c>
      <c r="F607" t="s">
        <v>1701</v>
      </c>
    </row>
    <row r="608" spans="1:6" x14ac:dyDescent="0.3">
      <c r="A608" t="str">
        <f>HYPERLINK("https://hsdes.intel.com/resource/14013185831","14013185831")</f>
        <v>14013185831</v>
      </c>
      <c r="B608" t="s">
        <v>1702</v>
      </c>
      <c r="C608" t="s">
        <v>1703</v>
      </c>
      <c r="D608" t="s">
        <v>798</v>
      </c>
      <c r="E608" t="s">
        <v>1076</v>
      </c>
      <c r="F608" t="s">
        <v>1704</v>
      </c>
    </row>
    <row r="609" spans="1:6" x14ac:dyDescent="0.3">
      <c r="A609" t="str">
        <f>HYPERLINK("https://hsdes.intel.com/resource/14013185837","14013185837")</f>
        <v>14013185837</v>
      </c>
      <c r="B609" t="s">
        <v>1705</v>
      </c>
      <c r="C609" t="s">
        <v>1706</v>
      </c>
      <c r="D609" t="s">
        <v>11</v>
      </c>
      <c r="E609" t="s">
        <v>57</v>
      </c>
      <c r="F609" t="s">
        <v>401</v>
      </c>
    </row>
    <row r="610" spans="1:6" x14ac:dyDescent="0.3">
      <c r="A610" t="str">
        <f>HYPERLINK("https://hsdes.intel.com/resource/14013185838","14013185838")</f>
        <v>14013185838</v>
      </c>
      <c r="B610" t="s">
        <v>1707</v>
      </c>
      <c r="C610" t="s">
        <v>1708</v>
      </c>
      <c r="D610" t="s">
        <v>25</v>
      </c>
      <c r="E610" t="s">
        <v>1709</v>
      </c>
      <c r="F610" t="s">
        <v>1710</v>
      </c>
    </row>
    <row r="611" spans="1:6" x14ac:dyDescent="0.3">
      <c r="A611" t="str">
        <f>HYPERLINK("https://hsdes.intel.com/resource/14013185842","14013185842")</f>
        <v>14013185842</v>
      </c>
      <c r="B611" t="s">
        <v>1711</v>
      </c>
      <c r="C611" t="s">
        <v>1712</v>
      </c>
      <c r="D611" t="s">
        <v>33</v>
      </c>
      <c r="E611" t="s">
        <v>266</v>
      </c>
      <c r="F611" t="s">
        <v>1713</v>
      </c>
    </row>
    <row r="612" spans="1:6" x14ac:dyDescent="0.3">
      <c r="A612" t="str">
        <f>HYPERLINK("https://hsdes.intel.com/resource/14013185843","14013185843")</f>
        <v>14013185843</v>
      </c>
      <c r="B612" t="s">
        <v>1714</v>
      </c>
      <c r="C612" t="s">
        <v>1715</v>
      </c>
      <c r="D612" t="s">
        <v>25</v>
      </c>
      <c r="E612" t="s">
        <v>64</v>
      </c>
      <c r="F612" t="s">
        <v>72</v>
      </c>
    </row>
    <row r="613" spans="1:6" x14ac:dyDescent="0.3">
      <c r="A613" t="str">
        <f>HYPERLINK("https://hsdes.intel.com/resource/14013185849","14013185849")</f>
        <v>14013185849</v>
      </c>
      <c r="B613" t="s">
        <v>1716</v>
      </c>
      <c r="C613" t="s">
        <v>1717</v>
      </c>
      <c r="D613" t="s">
        <v>25</v>
      </c>
      <c r="E613" t="s">
        <v>64</v>
      </c>
      <c r="F613" t="s">
        <v>1718</v>
      </c>
    </row>
    <row r="614" spans="1:6" x14ac:dyDescent="0.3">
      <c r="A614" t="str">
        <f>HYPERLINK("https://hsdes.intel.com/resource/14013185851","14013185851")</f>
        <v>14013185851</v>
      </c>
      <c r="B614" t="s">
        <v>1719</v>
      </c>
      <c r="C614" t="s">
        <v>1720</v>
      </c>
      <c r="D614" t="s">
        <v>25</v>
      </c>
      <c r="E614" t="s">
        <v>64</v>
      </c>
      <c r="F614" t="s">
        <v>1721</v>
      </c>
    </row>
    <row r="615" spans="1:6" x14ac:dyDescent="0.3">
      <c r="A615" t="str">
        <f>HYPERLINK("https://hsdes.intel.com/resource/14013185853","14013185853")</f>
        <v>14013185853</v>
      </c>
      <c r="B615" t="s">
        <v>1722</v>
      </c>
      <c r="C615" t="s">
        <v>1723</v>
      </c>
      <c r="D615" t="s">
        <v>25</v>
      </c>
      <c r="E615" t="s">
        <v>64</v>
      </c>
      <c r="F615" t="s">
        <v>1718</v>
      </c>
    </row>
    <row r="616" spans="1:6" x14ac:dyDescent="0.3">
      <c r="A616" t="str">
        <f>HYPERLINK("https://hsdes.intel.com/resource/14013185855","14013185855")</f>
        <v>14013185855</v>
      </c>
      <c r="B616" t="s">
        <v>1724</v>
      </c>
      <c r="C616" t="s">
        <v>1725</v>
      </c>
      <c r="D616" t="s">
        <v>25</v>
      </c>
      <c r="E616" t="s">
        <v>64</v>
      </c>
      <c r="F616" t="s">
        <v>1726</v>
      </c>
    </row>
    <row r="617" spans="1:6" x14ac:dyDescent="0.3">
      <c r="A617" t="str">
        <f>HYPERLINK("https://hsdes.intel.com/resource/14013185861","14013185861")</f>
        <v>14013185861</v>
      </c>
      <c r="B617" t="s">
        <v>1727</v>
      </c>
      <c r="C617" t="s">
        <v>1728</v>
      </c>
      <c r="D617" t="s">
        <v>25</v>
      </c>
      <c r="E617" t="s">
        <v>64</v>
      </c>
      <c r="F617" t="s">
        <v>1729</v>
      </c>
    </row>
    <row r="618" spans="1:6" x14ac:dyDescent="0.3">
      <c r="A618" t="str">
        <f>HYPERLINK("https://hsdes.intel.com/resource/14013185866","14013185866")</f>
        <v>14013185866</v>
      </c>
      <c r="B618" t="s">
        <v>1730</v>
      </c>
      <c r="C618" t="s">
        <v>1731</v>
      </c>
      <c r="D618" t="s">
        <v>25</v>
      </c>
      <c r="E618" t="s">
        <v>75</v>
      </c>
      <c r="F618" t="s">
        <v>1732</v>
      </c>
    </row>
    <row r="619" spans="1:6" x14ac:dyDescent="0.3">
      <c r="A619" t="str">
        <f>HYPERLINK("https://hsdes.intel.com/resource/14013186090","14013186090")</f>
        <v>14013186090</v>
      </c>
      <c r="B619" t="s">
        <v>1733</v>
      </c>
      <c r="C619" t="s">
        <v>1734</v>
      </c>
      <c r="D619" t="s">
        <v>25</v>
      </c>
      <c r="E619" t="s">
        <v>26</v>
      </c>
      <c r="F619" t="s">
        <v>1735</v>
      </c>
    </row>
    <row r="620" spans="1:6" x14ac:dyDescent="0.3">
      <c r="A620" t="str">
        <f>HYPERLINK("https://hsdes.intel.com/resource/14013186480","14013186480")</f>
        <v>14013186480</v>
      </c>
      <c r="B620" t="s">
        <v>1736</v>
      </c>
      <c r="C620" t="s">
        <v>1737</v>
      </c>
      <c r="D620" t="s">
        <v>25</v>
      </c>
      <c r="E620" t="s">
        <v>26</v>
      </c>
      <c r="F620" t="s">
        <v>1738</v>
      </c>
    </row>
    <row r="621" spans="1:6" x14ac:dyDescent="0.3">
      <c r="A621" t="str">
        <f>HYPERLINK("https://hsdes.intel.com/resource/14013186483","14013186483")</f>
        <v>14013186483</v>
      </c>
      <c r="B621" t="s">
        <v>371</v>
      </c>
      <c r="C621" t="s">
        <v>1739</v>
      </c>
      <c r="D621" t="s">
        <v>25</v>
      </c>
      <c r="E621" t="s">
        <v>64</v>
      </c>
      <c r="F621" t="s">
        <v>1740</v>
      </c>
    </row>
    <row r="622" spans="1:6" x14ac:dyDescent="0.3">
      <c r="A622" t="str">
        <f>HYPERLINK("https://hsdes.intel.com/resource/14013186517","14013186517")</f>
        <v>14013186517</v>
      </c>
      <c r="B622" t="s">
        <v>420</v>
      </c>
      <c r="C622" t="s">
        <v>1741</v>
      </c>
      <c r="D622" t="s">
        <v>25</v>
      </c>
      <c r="E622" t="s">
        <v>75</v>
      </c>
      <c r="F622" t="s">
        <v>1742</v>
      </c>
    </row>
    <row r="623" spans="1:6" x14ac:dyDescent="0.3">
      <c r="A623" t="str">
        <f>HYPERLINK("https://hsdes.intel.com/resource/14013186891","14013186891")</f>
        <v>14013186891</v>
      </c>
      <c r="B623" t="s">
        <v>1743</v>
      </c>
      <c r="C623" t="s">
        <v>1744</v>
      </c>
      <c r="D623" t="s">
        <v>25</v>
      </c>
      <c r="E623" t="s">
        <v>75</v>
      </c>
      <c r="F623" t="s">
        <v>1745</v>
      </c>
    </row>
    <row r="624" spans="1:6" x14ac:dyDescent="0.3">
      <c r="A624" t="str">
        <f>HYPERLINK("https://hsdes.intel.com/resource/14013186924","14013186924")</f>
        <v>14013186924</v>
      </c>
      <c r="B624" t="s">
        <v>1746</v>
      </c>
      <c r="C624" t="s">
        <v>1747</v>
      </c>
      <c r="D624" t="s">
        <v>25</v>
      </c>
      <c r="E624" t="s">
        <v>1748</v>
      </c>
      <c r="F624" t="s">
        <v>1749</v>
      </c>
    </row>
    <row r="625" spans="1:6" x14ac:dyDescent="0.3">
      <c r="A625" t="str">
        <f>HYPERLINK("https://hsdes.intel.com/resource/14013186942","14013186942")</f>
        <v>14013186942</v>
      </c>
      <c r="B625" t="s">
        <v>1441</v>
      </c>
      <c r="C625" t="s">
        <v>1750</v>
      </c>
      <c r="D625" t="s">
        <v>25</v>
      </c>
      <c r="E625" t="s">
        <v>75</v>
      </c>
      <c r="F625" t="s">
        <v>1751</v>
      </c>
    </row>
    <row r="626" spans="1:6" x14ac:dyDescent="0.3">
      <c r="A626" t="str">
        <f>HYPERLINK("https://hsdes.intel.com/resource/14013186943","14013186943")</f>
        <v>14013186943</v>
      </c>
      <c r="B626" t="s">
        <v>1752</v>
      </c>
      <c r="C626" t="s">
        <v>1753</v>
      </c>
      <c r="D626" t="s">
        <v>25</v>
      </c>
      <c r="E626" t="s">
        <v>75</v>
      </c>
      <c r="F626" t="s">
        <v>1754</v>
      </c>
    </row>
    <row r="627" spans="1:6" x14ac:dyDescent="0.3">
      <c r="A627" t="str">
        <f>HYPERLINK("https://hsdes.intel.com/resource/14013186947","14013186947")</f>
        <v>14013186947</v>
      </c>
      <c r="B627" t="s">
        <v>1755</v>
      </c>
      <c r="C627" t="s">
        <v>1756</v>
      </c>
      <c r="D627" t="s">
        <v>25</v>
      </c>
      <c r="E627" t="s">
        <v>75</v>
      </c>
      <c r="F627" t="s">
        <v>1757</v>
      </c>
    </row>
    <row r="628" spans="1:6" x14ac:dyDescent="0.3">
      <c r="A628" t="str">
        <f>HYPERLINK("https://hsdes.intel.com/resource/14013186950","14013186950")</f>
        <v>14013186950</v>
      </c>
      <c r="B628" t="s">
        <v>1758</v>
      </c>
      <c r="C628" t="s">
        <v>1759</v>
      </c>
      <c r="D628" t="s">
        <v>25</v>
      </c>
      <c r="E628" t="s">
        <v>75</v>
      </c>
      <c r="F628" t="s">
        <v>1760</v>
      </c>
    </row>
    <row r="629" spans="1:6" x14ac:dyDescent="0.3">
      <c r="A629" t="str">
        <f>HYPERLINK("https://hsdes.intel.com/resource/14013186951","14013186951")</f>
        <v>14013186951</v>
      </c>
      <c r="B629" t="s">
        <v>1761</v>
      </c>
      <c r="C629" t="s">
        <v>1762</v>
      </c>
      <c r="D629" t="s">
        <v>25</v>
      </c>
      <c r="E629" t="s">
        <v>75</v>
      </c>
      <c r="F629" t="s">
        <v>1745</v>
      </c>
    </row>
    <row r="630" spans="1:6" x14ac:dyDescent="0.3">
      <c r="A630" t="str">
        <f>HYPERLINK("https://hsdes.intel.com/resource/14013186953","14013186953")</f>
        <v>14013186953</v>
      </c>
      <c r="B630" t="s">
        <v>1763</v>
      </c>
      <c r="C630" t="s">
        <v>1764</v>
      </c>
      <c r="D630" t="s">
        <v>25</v>
      </c>
      <c r="E630" t="s">
        <v>75</v>
      </c>
      <c r="F630" t="s">
        <v>1765</v>
      </c>
    </row>
    <row r="631" spans="1:6" x14ac:dyDescent="0.3">
      <c r="A631" t="str">
        <f>HYPERLINK("https://hsdes.intel.com/resource/14013186960","14013186960")</f>
        <v>14013186960</v>
      </c>
      <c r="B631" t="s">
        <v>1456</v>
      </c>
      <c r="C631" t="s">
        <v>1766</v>
      </c>
      <c r="D631" t="s">
        <v>25</v>
      </c>
      <c r="E631" t="s">
        <v>75</v>
      </c>
      <c r="F631" t="s">
        <v>1767</v>
      </c>
    </row>
    <row r="632" spans="1:6" x14ac:dyDescent="0.3">
      <c r="A632" t="str">
        <f>HYPERLINK("https://hsdes.intel.com/resource/14013186962","14013186962")</f>
        <v>14013186962</v>
      </c>
      <c r="B632" t="s">
        <v>1768</v>
      </c>
      <c r="C632" t="s">
        <v>1769</v>
      </c>
      <c r="D632" t="s">
        <v>25</v>
      </c>
      <c r="E632" t="s">
        <v>75</v>
      </c>
      <c r="F632" t="s">
        <v>1770</v>
      </c>
    </row>
    <row r="633" spans="1:6" x14ac:dyDescent="0.3">
      <c r="A633" t="str">
        <f>HYPERLINK("https://hsdes.intel.com/resource/14013186967","14013186967")</f>
        <v>14013186967</v>
      </c>
      <c r="B633" t="s">
        <v>1468</v>
      </c>
      <c r="C633" t="s">
        <v>1771</v>
      </c>
      <c r="D633" t="s">
        <v>25</v>
      </c>
      <c r="E633" t="s">
        <v>75</v>
      </c>
      <c r="F633" t="s">
        <v>1745</v>
      </c>
    </row>
    <row r="634" spans="1:6" x14ac:dyDescent="0.3">
      <c r="A634" t="str">
        <f>HYPERLINK("https://hsdes.intel.com/resource/14013186971","14013186971")</f>
        <v>14013186971</v>
      </c>
      <c r="B634" t="s">
        <v>1772</v>
      </c>
      <c r="C634" t="s">
        <v>1773</v>
      </c>
      <c r="D634" t="s">
        <v>25</v>
      </c>
      <c r="E634" t="s">
        <v>75</v>
      </c>
      <c r="F634" t="s">
        <v>1774</v>
      </c>
    </row>
    <row r="635" spans="1:6" x14ac:dyDescent="0.3">
      <c r="A635" t="str">
        <f>HYPERLINK("https://hsdes.intel.com/resource/14013186980","14013186980")</f>
        <v>14013186980</v>
      </c>
      <c r="B635" t="s">
        <v>1775</v>
      </c>
      <c r="C635" t="s">
        <v>1776</v>
      </c>
      <c r="D635" t="s">
        <v>25</v>
      </c>
      <c r="E635" t="s">
        <v>75</v>
      </c>
      <c r="F635" t="s">
        <v>1777</v>
      </c>
    </row>
    <row r="636" spans="1:6" x14ac:dyDescent="0.3">
      <c r="A636" t="str">
        <f>HYPERLINK("https://hsdes.intel.com/resource/14013186993","14013186993")</f>
        <v>14013186993</v>
      </c>
      <c r="B636" t="s">
        <v>1778</v>
      </c>
      <c r="C636" t="s">
        <v>1779</v>
      </c>
      <c r="D636" t="s">
        <v>25</v>
      </c>
      <c r="E636" t="s">
        <v>75</v>
      </c>
      <c r="F636" t="s">
        <v>1765</v>
      </c>
    </row>
    <row r="637" spans="1:6" x14ac:dyDescent="0.3">
      <c r="A637" t="str">
        <f>HYPERLINK("https://hsdes.intel.com/resource/14013186997","14013186997")</f>
        <v>14013186997</v>
      </c>
      <c r="B637" t="s">
        <v>1780</v>
      </c>
      <c r="C637" t="s">
        <v>1781</v>
      </c>
      <c r="D637" t="s">
        <v>25</v>
      </c>
      <c r="E637" t="s">
        <v>75</v>
      </c>
      <c r="F637" t="s">
        <v>1745</v>
      </c>
    </row>
    <row r="638" spans="1:6" x14ac:dyDescent="0.3">
      <c r="A638" t="str">
        <f>HYPERLINK("https://hsdes.intel.com/resource/14013187018","14013187018")</f>
        <v>14013187018</v>
      </c>
      <c r="B638" t="s">
        <v>1782</v>
      </c>
      <c r="C638" t="s">
        <v>1783</v>
      </c>
      <c r="D638" t="s">
        <v>25</v>
      </c>
      <c r="E638" t="s">
        <v>75</v>
      </c>
      <c r="F638" t="s">
        <v>1784</v>
      </c>
    </row>
    <row r="639" spans="1:6" x14ac:dyDescent="0.3">
      <c r="A639" t="str">
        <f>HYPERLINK("https://hsdes.intel.com/resource/14013187020","14013187020")</f>
        <v>14013187020</v>
      </c>
      <c r="B639" t="s">
        <v>1785</v>
      </c>
      <c r="C639" t="s">
        <v>1786</v>
      </c>
      <c r="D639" t="s">
        <v>25</v>
      </c>
      <c r="E639" t="s">
        <v>75</v>
      </c>
      <c r="F639" t="s">
        <v>1749</v>
      </c>
    </row>
    <row r="640" spans="1:6" x14ac:dyDescent="0.3">
      <c r="A640" t="str">
        <f>HYPERLINK("https://hsdes.intel.com/resource/14013187021","14013187021")</f>
        <v>14013187021</v>
      </c>
      <c r="B640" t="s">
        <v>1787</v>
      </c>
      <c r="C640" t="s">
        <v>1788</v>
      </c>
      <c r="D640" t="s">
        <v>25</v>
      </c>
      <c r="E640" t="s">
        <v>75</v>
      </c>
      <c r="F640" t="s">
        <v>1784</v>
      </c>
    </row>
    <row r="641" spans="1:6" x14ac:dyDescent="0.3">
      <c r="A641" t="str">
        <f>HYPERLINK("https://hsdes.intel.com/resource/14013187024","14013187024")</f>
        <v>14013187024</v>
      </c>
      <c r="B641" t="s">
        <v>1789</v>
      </c>
      <c r="C641" t="s">
        <v>1790</v>
      </c>
      <c r="D641" t="s">
        <v>25</v>
      </c>
      <c r="E641" t="s">
        <v>75</v>
      </c>
      <c r="F641" t="s">
        <v>1749</v>
      </c>
    </row>
    <row r="642" spans="1:6" x14ac:dyDescent="0.3">
      <c r="A642" t="str">
        <f>HYPERLINK("https://hsdes.intel.com/resource/14013187026","14013187026")</f>
        <v>14013187026</v>
      </c>
      <c r="B642" t="s">
        <v>1791</v>
      </c>
      <c r="C642" t="s">
        <v>1792</v>
      </c>
      <c r="D642" t="s">
        <v>25</v>
      </c>
      <c r="E642" t="s">
        <v>75</v>
      </c>
      <c r="F642" t="s">
        <v>1793</v>
      </c>
    </row>
    <row r="643" spans="1:6" x14ac:dyDescent="0.3">
      <c r="A643" t="str">
        <f>HYPERLINK("https://hsdes.intel.com/resource/14013187276","14013187276")</f>
        <v>14013187276</v>
      </c>
      <c r="B643" t="s">
        <v>1794</v>
      </c>
      <c r="C643" t="s">
        <v>1795</v>
      </c>
      <c r="D643" t="s">
        <v>25</v>
      </c>
      <c r="E643" t="s">
        <v>26</v>
      </c>
      <c r="F643" t="s">
        <v>1796</v>
      </c>
    </row>
    <row r="644" spans="1:6" x14ac:dyDescent="0.3">
      <c r="A644" t="str">
        <f>HYPERLINK("https://hsdes.intel.com/resource/14013187357","14013187357")</f>
        <v>14013187357</v>
      </c>
      <c r="B644" t="s">
        <v>1797</v>
      </c>
      <c r="C644" t="s">
        <v>1798</v>
      </c>
      <c r="D644" t="s">
        <v>25</v>
      </c>
      <c r="E644" t="s">
        <v>26</v>
      </c>
      <c r="F644" t="s">
        <v>1799</v>
      </c>
    </row>
    <row r="645" spans="1:6" x14ac:dyDescent="0.3">
      <c r="A645" t="str">
        <f>HYPERLINK("https://hsdes.intel.com/resource/14013187485","14013187485")</f>
        <v>14013187485</v>
      </c>
      <c r="B645" t="s">
        <v>1800</v>
      </c>
      <c r="C645" t="s">
        <v>1801</v>
      </c>
      <c r="D645" t="s">
        <v>181</v>
      </c>
      <c r="E645" t="s">
        <v>64</v>
      </c>
      <c r="F645" t="s">
        <v>1802</v>
      </c>
    </row>
    <row r="646" spans="1:6" x14ac:dyDescent="0.3">
      <c r="A646" t="str">
        <f>HYPERLINK("https://hsdes.intel.com/resource/14013187722","14013187722")</f>
        <v>14013187722</v>
      </c>
      <c r="B646" t="s">
        <v>1803</v>
      </c>
      <c r="C646" t="s">
        <v>1804</v>
      </c>
      <c r="D646" t="s">
        <v>25</v>
      </c>
      <c r="E646" t="s">
        <v>75</v>
      </c>
      <c r="F646" t="s">
        <v>1805</v>
      </c>
    </row>
    <row r="647" spans="1:6" x14ac:dyDescent="0.3">
      <c r="A647" t="str">
        <f>HYPERLINK("https://hsdes.intel.com/resource/14013187738","14013187738")</f>
        <v>14013187738</v>
      </c>
      <c r="B647" t="s">
        <v>1806</v>
      </c>
      <c r="C647" t="s">
        <v>1807</v>
      </c>
      <c r="D647" t="s">
        <v>6</v>
      </c>
      <c r="E647" t="s">
        <v>1076</v>
      </c>
      <c r="F647" t="s">
        <v>1808</v>
      </c>
    </row>
    <row r="648" spans="1:6" x14ac:dyDescent="0.3">
      <c r="A648" t="str">
        <f>HYPERLINK("https://hsdes.intel.com/resource/14013187823","14013187823")</f>
        <v>14013187823</v>
      </c>
      <c r="B648" t="s">
        <v>1809</v>
      </c>
      <c r="C648" t="s">
        <v>1810</v>
      </c>
      <c r="D648" t="s">
        <v>25</v>
      </c>
      <c r="E648" t="s">
        <v>26</v>
      </c>
      <c r="F648" t="s">
        <v>1811</v>
      </c>
    </row>
    <row r="649" spans="1:6" x14ac:dyDescent="0.3">
      <c r="A649" t="str">
        <f>HYPERLINK("https://hsdes.intel.com/resource/15010014461","15010014461")</f>
        <v>15010014461</v>
      </c>
      <c r="B649" t="s">
        <v>1812</v>
      </c>
      <c r="D649" t="s">
        <v>798</v>
      </c>
      <c r="E649" t="s">
        <v>1813</v>
      </c>
      <c r="F649" t="s">
        <v>1814</v>
      </c>
    </row>
    <row r="650" spans="1:6" x14ac:dyDescent="0.3">
      <c r="A650" t="str">
        <f>HYPERLINK("https://hsdes.intel.com/resource/15010441516","15010441516")</f>
        <v>15010441516</v>
      </c>
      <c r="B650" t="s">
        <v>1815</v>
      </c>
      <c r="D650" t="s">
        <v>25</v>
      </c>
      <c r="E650" t="s">
        <v>68</v>
      </c>
      <c r="F650" t="s">
        <v>1816</v>
      </c>
    </row>
    <row r="651" spans="1:6" x14ac:dyDescent="0.3">
      <c r="A651" t="str">
        <f>HYPERLINK("https://hsdes.intel.com/resource/16012332169","16012332169")</f>
        <v>16012332169</v>
      </c>
      <c r="B651" t="s">
        <v>1817</v>
      </c>
      <c r="C651" t="s">
        <v>1818</v>
      </c>
      <c r="D651" t="s">
        <v>25</v>
      </c>
      <c r="E651" t="s">
        <v>68</v>
      </c>
      <c r="F651" t="s">
        <v>667</v>
      </c>
    </row>
    <row r="652" spans="1:6" x14ac:dyDescent="0.3">
      <c r="A652" t="str">
        <f>HYPERLINK("https://hsdes.intel.com/resource/16012555118","16012555118")</f>
        <v>16012555118</v>
      </c>
      <c r="B652" t="s">
        <v>1819</v>
      </c>
      <c r="C652" t="s">
        <v>1820</v>
      </c>
      <c r="D652" t="s">
        <v>25</v>
      </c>
      <c r="E652" t="s">
        <v>75</v>
      </c>
      <c r="F652" t="s">
        <v>779</v>
      </c>
    </row>
    <row r="653" spans="1:6" x14ac:dyDescent="0.3">
      <c r="A653" t="str">
        <f>HYPERLINK("https://hsdes.intel.com/resource/16012555742","16012555742")</f>
        <v>16012555742</v>
      </c>
      <c r="B653" t="s">
        <v>1821</v>
      </c>
      <c r="C653" t="s">
        <v>612</v>
      </c>
      <c r="D653" t="s">
        <v>11</v>
      </c>
      <c r="E653" t="s">
        <v>16</v>
      </c>
      <c r="F653" t="s">
        <v>1822</v>
      </c>
    </row>
    <row r="654" spans="1:6" x14ac:dyDescent="0.3">
      <c r="A654" t="str">
        <f>HYPERLINK("https://hsdes.intel.com/resource/16012641932","16012641932")</f>
        <v>16012641932</v>
      </c>
      <c r="B654" t="s">
        <v>1823</v>
      </c>
      <c r="C654" t="s">
        <v>1824</v>
      </c>
      <c r="D654" t="s">
        <v>181</v>
      </c>
      <c r="E654" t="s">
        <v>64</v>
      </c>
      <c r="F654" t="s">
        <v>1825</v>
      </c>
    </row>
    <row r="655" spans="1:6" x14ac:dyDescent="0.3">
      <c r="A655" t="str">
        <f>HYPERLINK("https://hsdes.intel.com/resource/16012719552","16012719552")</f>
        <v>16012719552</v>
      </c>
      <c r="B655" t="s">
        <v>1826</v>
      </c>
      <c r="D655" t="s">
        <v>33</v>
      </c>
      <c r="E655" t="s">
        <v>12</v>
      </c>
      <c r="F655" t="s">
        <v>165</v>
      </c>
    </row>
    <row r="656" spans="1:6" x14ac:dyDescent="0.3">
      <c r="A656" t="str">
        <f>HYPERLINK("https://hsdes.intel.com/resource/16012845721","16012845721")</f>
        <v>16012845721</v>
      </c>
      <c r="B656" t="s">
        <v>1827</v>
      </c>
      <c r="C656" t="s">
        <v>63</v>
      </c>
      <c r="D656" t="s">
        <v>25</v>
      </c>
      <c r="E656" t="s">
        <v>64</v>
      </c>
      <c r="F656" t="s">
        <v>65</v>
      </c>
    </row>
    <row r="657" spans="1:6" x14ac:dyDescent="0.3">
      <c r="A657" t="str">
        <f>HYPERLINK("https://hsdes.intel.com/resource/16012847899","16012847899")</f>
        <v>16012847899</v>
      </c>
      <c r="B657" t="s">
        <v>1828</v>
      </c>
      <c r="C657" t="s">
        <v>63</v>
      </c>
      <c r="D657" t="s">
        <v>25</v>
      </c>
      <c r="E657" t="s">
        <v>21</v>
      </c>
      <c r="F657" t="s">
        <v>1829</v>
      </c>
    </row>
    <row r="658" spans="1:6" x14ac:dyDescent="0.3">
      <c r="A658" t="str">
        <f>HYPERLINK("https://hsdes.intel.com/resource/16012847938","16012847938")</f>
        <v>16012847938</v>
      </c>
      <c r="B658" t="s">
        <v>1830</v>
      </c>
      <c r="C658" t="s">
        <v>63</v>
      </c>
      <c r="D658" t="s">
        <v>25</v>
      </c>
      <c r="E658" t="s">
        <v>64</v>
      </c>
      <c r="F658" t="s">
        <v>65</v>
      </c>
    </row>
    <row r="659" spans="1:6" x14ac:dyDescent="0.3">
      <c r="A659" t="str">
        <f>HYPERLINK("https://hsdes.intel.com/resource/16012847945","16012847945")</f>
        <v>16012847945</v>
      </c>
      <c r="B659" t="s">
        <v>1831</v>
      </c>
      <c r="C659" t="s">
        <v>63</v>
      </c>
      <c r="D659" t="s">
        <v>25</v>
      </c>
      <c r="E659" t="s">
        <v>21</v>
      </c>
      <c r="F659" t="s">
        <v>1832</v>
      </c>
    </row>
    <row r="660" spans="1:6" x14ac:dyDescent="0.3">
      <c r="A660" t="str">
        <f>HYPERLINK("https://hsdes.intel.com/resource/16012848216","16012848216")</f>
        <v>16012848216</v>
      </c>
      <c r="B660" t="s">
        <v>1833</v>
      </c>
      <c r="D660" t="s">
        <v>798</v>
      </c>
      <c r="E660" t="s">
        <v>64</v>
      </c>
      <c r="F660" t="s">
        <v>72</v>
      </c>
    </row>
    <row r="661" spans="1:6" x14ac:dyDescent="0.3">
      <c r="A661" t="str">
        <f>HYPERLINK("https://hsdes.intel.com/resource/16012909857","16012909857")</f>
        <v>16012909857</v>
      </c>
      <c r="B661" t="s">
        <v>1834</v>
      </c>
      <c r="C661" t="s">
        <v>63</v>
      </c>
      <c r="D661" t="s">
        <v>25</v>
      </c>
      <c r="E661" t="s">
        <v>21</v>
      </c>
      <c r="F661" t="s">
        <v>65</v>
      </c>
    </row>
    <row r="662" spans="1:6" x14ac:dyDescent="0.3">
      <c r="A662" t="str">
        <f>HYPERLINK("https://hsdes.intel.com/resource/16012910580","16012910580")</f>
        <v>16012910580</v>
      </c>
      <c r="B662" t="s">
        <v>1835</v>
      </c>
      <c r="C662" t="s">
        <v>1836</v>
      </c>
      <c r="D662" t="s">
        <v>25</v>
      </c>
      <c r="E662" t="s">
        <v>21</v>
      </c>
      <c r="F662" t="s">
        <v>1832</v>
      </c>
    </row>
    <row r="663" spans="1:6" x14ac:dyDescent="0.3">
      <c r="A663" t="str">
        <f>HYPERLINK("https://hsdes.intel.com/resource/16012963869","16012963869")</f>
        <v>16012963869</v>
      </c>
      <c r="B663" t="s">
        <v>1837</v>
      </c>
      <c r="C663" t="s">
        <v>1838</v>
      </c>
      <c r="D663" t="s">
        <v>6</v>
      </c>
      <c r="E663" t="s">
        <v>64</v>
      </c>
      <c r="F663" t="s">
        <v>1839</v>
      </c>
    </row>
    <row r="664" spans="1:6" x14ac:dyDescent="0.3">
      <c r="A664" t="str">
        <f>HYPERLINK("https://hsdes.intel.com/resource/16013020907","16013020907")</f>
        <v>16013020907</v>
      </c>
      <c r="B664" t="s">
        <v>1840</v>
      </c>
      <c r="C664" t="s">
        <v>1841</v>
      </c>
      <c r="D664" t="s">
        <v>25</v>
      </c>
      <c r="E664" t="s">
        <v>68</v>
      </c>
      <c r="F664" t="s">
        <v>69</v>
      </c>
    </row>
    <row r="665" spans="1:6" x14ac:dyDescent="0.3">
      <c r="A665" t="str">
        <f>HYPERLINK("https://hsdes.intel.com/resource/16013113497","16013113497")</f>
        <v>16013113497</v>
      </c>
      <c r="B665" t="s">
        <v>1842</v>
      </c>
      <c r="C665" t="s">
        <v>63</v>
      </c>
      <c r="D665" t="s">
        <v>25</v>
      </c>
      <c r="E665" t="s">
        <v>64</v>
      </c>
      <c r="F665" t="s">
        <v>1832</v>
      </c>
    </row>
    <row r="666" spans="1:6" x14ac:dyDescent="0.3">
      <c r="A666" t="str">
        <f>HYPERLINK("https://hsdes.intel.com/resource/16013113523","16013113523")</f>
        <v>16013113523</v>
      </c>
      <c r="B666" t="s">
        <v>1843</v>
      </c>
      <c r="C666" t="s">
        <v>63</v>
      </c>
      <c r="D666" t="s">
        <v>25</v>
      </c>
      <c r="E666" t="s">
        <v>21</v>
      </c>
      <c r="F666" t="s">
        <v>1832</v>
      </c>
    </row>
    <row r="667" spans="1:6" x14ac:dyDescent="0.3">
      <c r="A667" t="str">
        <f>HYPERLINK("https://hsdes.intel.com/resource/16013113542","16013113542")</f>
        <v>16013113542</v>
      </c>
      <c r="B667" t="s">
        <v>1844</v>
      </c>
      <c r="C667" t="s">
        <v>63</v>
      </c>
      <c r="D667" t="s">
        <v>25</v>
      </c>
      <c r="E667" t="s">
        <v>64</v>
      </c>
      <c r="F667" t="s">
        <v>1832</v>
      </c>
    </row>
    <row r="668" spans="1:6" x14ac:dyDescent="0.3">
      <c r="A668" t="str">
        <f>HYPERLINK("https://hsdes.intel.com/resource/16013114465","16013114465")</f>
        <v>16013114465</v>
      </c>
      <c r="B668" t="s">
        <v>1845</v>
      </c>
      <c r="C668" t="s">
        <v>63</v>
      </c>
      <c r="D668" t="s">
        <v>25</v>
      </c>
      <c r="E668" t="s">
        <v>21</v>
      </c>
      <c r="F668" t="s">
        <v>1846</v>
      </c>
    </row>
    <row r="669" spans="1:6" x14ac:dyDescent="0.3">
      <c r="A669" t="str">
        <f>HYPERLINK("https://hsdes.intel.com/resource/16013114500","16013114500")</f>
        <v>16013114500</v>
      </c>
      <c r="B669" t="s">
        <v>1847</v>
      </c>
      <c r="C669" t="s">
        <v>63</v>
      </c>
      <c r="D669" t="s">
        <v>25</v>
      </c>
      <c r="E669" t="s">
        <v>21</v>
      </c>
      <c r="F669" t="s">
        <v>1848</v>
      </c>
    </row>
    <row r="670" spans="1:6" x14ac:dyDescent="0.3">
      <c r="A670" t="str">
        <f>HYPERLINK("https://hsdes.intel.com/resource/16013162130","16013162130")</f>
        <v>16013162130</v>
      </c>
      <c r="B670" t="s">
        <v>1849</v>
      </c>
      <c r="D670" t="s">
        <v>11</v>
      </c>
      <c r="E670" t="s">
        <v>273</v>
      </c>
      <c r="F670" t="s">
        <v>1850</v>
      </c>
    </row>
    <row r="671" spans="1:6" x14ac:dyDescent="0.3">
      <c r="A671" t="str">
        <f>HYPERLINK("https://hsdes.intel.com/resource/16013162482","16013162482")</f>
        <v>16013162482</v>
      </c>
      <c r="B671" t="s">
        <v>1851</v>
      </c>
      <c r="D671" t="s">
        <v>11</v>
      </c>
      <c r="E671" t="s">
        <v>16</v>
      </c>
      <c r="F671" t="s">
        <v>1331</v>
      </c>
    </row>
    <row r="672" spans="1:6" x14ac:dyDescent="0.3">
      <c r="A672" t="str">
        <f>HYPERLINK("https://hsdes.intel.com/resource/16013214329","16013214329")</f>
        <v>16013214329</v>
      </c>
      <c r="B672" t="s">
        <v>1852</v>
      </c>
      <c r="C672" t="s">
        <v>1853</v>
      </c>
      <c r="D672" t="s">
        <v>25</v>
      </c>
      <c r="E672" t="s">
        <v>75</v>
      </c>
      <c r="F672" t="s">
        <v>1854</v>
      </c>
    </row>
    <row r="673" spans="1:6" x14ac:dyDescent="0.3">
      <c r="A673" t="str">
        <f>HYPERLINK("https://hsdes.intel.com/resource/16013279841","16013279841")</f>
        <v>16013279841</v>
      </c>
      <c r="B673" t="s">
        <v>1855</v>
      </c>
      <c r="D673" t="s">
        <v>100</v>
      </c>
      <c r="E673" t="s">
        <v>64</v>
      </c>
      <c r="F673" t="s">
        <v>1856</v>
      </c>
    </row>
    <row r="674" spans="1:6" x14ac:dyDescent="0.3">
      <c r="A674" t="str">
        <f>HYPERLINK("https://hsdes.intel.com/resource/16013297707","16013297707")</f>
        <v>16013297707</v>
      </c>
      <c r="B674" t="s">
        <v>1857</v>
      </c>
      <c r="D674" t="s">
        <v>798</v>
      </c>
      <c r="E674" t="s">
        <v>101</v>
      </c>
      <c r="F674" t="s">
        <v>1858</v>
      </c>
    </row>
    <row r="675" spans="1:6" x14ac:dyDescent="0.3">
      <c r="A675" t="str">
        <f>HYPERLINK("https://hsdes.intel.com/resource/16013297709","16013297709")</f>
        <v>16013297709</v>
      </c>
      <c r="B675" t="s">
        <v>1859</v>
      </c>
      <c r="D675" t="s">
        <v>798</v>
      </c>
      <c r="E675" t="s">
        <v>64</v>
      </c>
      <c r="F675" t="s">
        <v>162</v>
      </c>
    </row>
    <row r="676" spans="1:6" x14ac:dyDescent="0.3">
      <c r="A676" t="str">
        <f>HYPERLINK("https://hsdes.intel.com/resource/16013298746","16013298746")</f>
        <v>16013298746</v>
      </c>
      <c r="B676" t="s">
        <v>1860</v>
      </c>
      <c r="D676" t="s">
        <v>798</v>
      </c>
      <c r="E676" t="s">
        <v>799</v>
      </c>
      <c r="F676" t="s">
        <v>808</v>
      </c>
    </row>
    <row r="677" spans="1:6" x14ac:dyDescent="0.3">
      <c r="A677" t="str">
        <f>HYPERLINK("https://hsdes.intel.com/resource/16013298763","16013298763")</f>
        <v>16013298763</v>
      </c>
      <c r="B677" t="s">
        <v>1861</v>
      </c>
      <c r="D677" t="s">
        <v>798</v>
      </c>
      <c r="E677" t="s">
        <v>799</v>
      </c>
      <c r="F677" t="s">
        <v>808</v>
      </c>
    </row>
    <row r="678" spans="1:6" x14ac:dyDescent="0.3">
      <c r="A678" t="str">
        <f>HYPERLINK("https://hsdes.intel.com/resource/16013298799","16013298799")</f>
        <v>16013298799</v>
      </c>
      <c r="B678" t="s">
        <v>1862</v>
      </c>
      <c r="D678" t="s">
        <v>798</v>
      </c>
      <c r="E678" t="s">
        <v>799</v>
      </c>
      <c r="F678" t="s">
        <v>808</v>
      </c>
    </row>
    <row r="679" spans="1:6" x14ac:dyDescent="0.3">
      <c r="A679" t="str">
        <f>HYPERLINK("https://hsdes.intel.com/resource/16013298829","16013298829")</f>
        <v>16013298829</v>
      </c>
      <c r="B679" t="s">
        <v>1863</v>
      </c>
      <c r="D679" t="s">
        <v>798</v>
      </c>
      <c r="E679" t="s">
        <v>799</v>
      </c>
      <c r="F679" t="s">
        <v>808</v>
      </c>
    </row>
    <row r="680" spans="1:6" x14ac:dyDescent="0.3">
      <c r="A680" t="str">
        <f>HYPERLINK("https://hsdes.intel.com/resource/16013298901","16013298901")</f>
        <v>16013298901</v>
      </c>
      <c r="B680" t="s">
        <v>1864</v>
      </c>
      <c r="D680" t="s">
        <v>798</v>
      </c>
      <c r="E680" t="s">
        <v>799</v>
      </c>
      <c r="F680" t="s">
        <v>808</v>
      </c>
    </row>
    <row r="681" spans="1:6" x14ac:dyDescent="0.3">
      <c r="A681" t="str">
        <f>HYPERLINK("https://hsdes.intel.com/resource/16013298910","16013298910")</f>
        <v>16013298910</v>
      </c>
      <c r="B681" t="s">
        <v>1865</v>
      </c>
      <c r="D681" t="s">
        <v>798</v>
      </c>
      <c r="E681" t="s">
        <v>799</v>
      </c>
      <c r="F681" t="s">
        <v>808</v>
      </c>
    </row>
    <row r="682" spans="1:6" x14ac:dyDescent="0.3">
      <c r="A682" t="str">
        <f>HYPERLINK("https://hsdes.intel.com/resource/16013298916","16013298916")</f>
        <v>16013298916</v>
      </c>
      <c r="B682" t="s">
        <v>1866</v>
      </c>
      <c r="D682" t="s">
        <v>798</v>
      </c>
      <c r="E682" t="s">
        <v>799</v>
      </c>
      <c r="F682" t="s">
        <v>808</v>
      </c>
    </row>
    <row r="683" spans="1:6" x14ac:dyDescent="0.3">
      <c r="A683" t="str">
        <f>HYPERLINK("https://hsdes.intel.com/resource/16013298924","16013298924")</f>
        <v>16013298924</v>
      </c>
      <c r="B683" t="s">
        <v>1867</v>
      </c>
      <c r="D683" t="s">
        <v>798</v>
      </c>
      <c r="E683" t="s">
        <v>799</v>
      </c>
      <c r="F683" t="s">
        <v>808</v>
      </c>
    </row>
    <row r="684" spans="1:6" x14ac:dyDescent="0.3">
      <c r="A684" t="str">
        <f>HYPERLINK("https://hsdes.intel.com/resource/16013300928","16013300928")</f>
        <v>16013300928</v>
      </c>
      <c r="B684" t="s">
        <v>1868</v>
      </c>
      <c r="D684" t="s">
        <v>798</v>
      </c>
      <c r="E684" t="s">
        <v>799</v>
      </c>
      <c r="F684" t="s">
        <v>1869</v>
      </c>
    </row>
    <row r="685" spans="1:6" x14ac:dyDescent="0.3">
      <c r="A685" t="str">
        <f>HYPERLINK("https://hsdes.intel.com/resource/16013300936","16013300936")</f>
        <v>16013300936</v>
      </c>
      <c r="B685" t="s">
        <v>1870</v>
      </c>
      <c r="D685" t="s">
        <v>798</v>
      </c>
      <c r="E685" t="s">
        <v>799</v>
      </c>
      <c r="F685" t="s">
        <v>1869</v>
      </c>
    </row>
    <row r="686" spans="1:6" x14ac:dyDescent="0.3">
      <c r="A686" t="str">
        <f>HYPERLINK("https://hsdes.intel.com/resource/16013373086","16013373086")</f>
        <v>16013373086</v>
      </c>
      <c r="B686" t="s">
        <v>1871</v>
      </c>
      <c r="D686" t="s">
        <v>11</v>
      </c>
      <c r="E686" t="s">
        <v>21</v>
      </c>
      <c r="F686" t="s">
        <v>1872</v>
      </c>
    </row>
    <row r="687" spans="1:6" x14ac:dyDescent="0.3">
      <c r="A687" t="str">
        <f>HYPERLINK("https://hsdes.intel.com/resource/16013373198","16013373198")</f>
        <v>16013373198</v>
      </c>
      <c r="B687" t="s">
        <v>1873</v>
      </c>
      <c r="D687" t="s">
        <v>11</v>
      </c>
      <c r="E687" t="s">
        <v>21</v>
      </c>
      <c r="F687" t="s">
        <v>8</v>
      </c>
    </row>
    <row r="688" spans="1:6" x14ac:dyDescent="0.3">
      <c r="A688" t="str">
        <f>HYPERLINK("https://hsdes.intel.com/resource/16013373341","16013373341")</f>
        <v>16013373341</v>
      </c>
      <c r="B688" t="s">
        <v>1874</v>
      </c>
      <c r="D688" t="s">
        <v>11</v>
      </c>
      <c r="E688" t="s">
        <v>21</v>
      </c>
      <c r="F688" t="s">
        <v>8</v>
      </c>
    </row>
    <row r="689" spans="1:6" x14ac:dyDescent="0.3">
      <c r="A689" t="str">
        <f>HYPERLINK("https://hsdes.intel.com/resource/16013374789","16013374789")</f>
        <v>16013374789</v>
      </c>
      <c r="B689" t="s">
        <v>1875</v>
      </c>
      <c r="D689" t="s">
        <v>25</v>
      </c>
      <c r="E689" t="s">
        <v>16</v>
      </c>
      <c r="F689" t="s">
        <v>182</v>
      </c>
    </row>
    <row r="690" spans="1:6" x14ac:dyDescent="0.3">
      <c r="A690" t="str">
        <f>HYPERLINK("https://hsdes.intel.com/resource/16013374887","16013374887")</f>
        <v>16013374887</v>
      </c>
      <c r="B690" t="s">
        <v>1876</v>
      </c>
      <c r="D690" t="s">
        <v>11</v>
      </c>
      <c r="E690" t="s">
        <v>16</v>
      </c>
      <c r="F690" t="s">
        <v>182</v>
      </c>
    </row>
    <row r="691" spans="1:6" x14ac:dyDescent="0.3">
      <c r="A691" t="str">
        <f>HYPERLINK("https://hsdes.intel.com/resource/16013517997","16013517997")</f>
        <v>16013517997</v>
      </c>
      <c r="B691" t="s">
        <v>1877</v>
      </c>
      <c r="D691" t="s">
        <v>1878</v>
      </c>
      <c r="E691" t="s">
        <v>1879</v>
      </c>
      <c r="F691" t="s">
        <v>1880</v>
      </c>
    </row>
    <row r="692" spans="1:6" x14ac:dyDescent="0.3">
      <c r="A692" t="str">
        <f>HYPERLINK("https://hsdes.intel.com/resource/16013624962","16013624962")</f>
        <v>16013624962</v>
      </c>
      <c r="B692" t="s">
        <v>1881</v>
      </c>
      <c r="D692" t="s">
        <v>33</v>
      </c>
      <c r="E692" t="s">
        <v>12</v>
      </c>
      <c r="F692" t="s">
        <v>165</v>
      </c>
    </row>
    <row r="693" spans="1:6" x14ac:dyDescent="0.3">
      <c r="A693" t="str">
        <f>HYPERLINK("https://hsdes.intel.com/resource/16013625244","16013625244")</f>
        <v>16013625244</v>
      </c>
      <c r="B693" t="s">
        <v>1882</v>
      </c>
      <c r="D693" t="s">
        <v>33</v>
      </c>
      <c r="E693" t="s">
        <v>12</v>
      </c>
      <c r="F693" t="s">
        <v>165</v>
      </c>
    </row>
    <row r="694" spans="1:6" x14ac:dyDescent="0.3">
      <c r="A694" t="str">
        <f>HYPERLINK("https://hsdes.intel.com/resource/16013625700","16013625700")</f>
        <v>16013625700</v>
      </c>
      <c r="B694" t="s">
        <v>1883</v>
      </c>
      <c r="D694" t="s">
        <v>33</v>
      </c>
      <c r="E694" t="s">
        <v>12</v>
      </c>
      <c r="F694" t="s">
        <v>165</v>
      </c>
    </row>
    <row r="695" spans="1:6" x14ac:dyDescent="0.3">
      <c r="A695" t="str">
        <f>HYPERLINK("https://hsdes.intel.com/resource/16013625720","16013625720")</f>
        <v>16013625720</v>
      </c>
      <c r="B695" t="s">
        <v>1884</v>
      </c>
      <c r="D695" t="s">
        <v>33</v>
      </c>
      <c r="E695" t="s">
        <v>12</v>
      </c>
      <c r="F695" t="s">
        <v>165</v>
      </c>
    </row>
    <row r="696" spans="1:6" x14ac:dyDescent="0.3">
      <c r="A696" t="str">
        <f>HYPERLINK("https://hsdes.intel.com/resource/16013625823","16013625823")</f>
        <v>16013625823</v>
      </c>
      <c r="B696" t="s">
        <v>1885</v>
      </c>
      <c r="D696" t="s">
        <v>33</v>
      </c>
      <c r="E696" t="s">
        <v>12</v>
      </c>
      <c r="F696" t="s">
        <v>165</v>
      </c>
    </row>
    <row r="697" spans="1:6" x14ac:dyDescent="0.3">
      <c r="A697" t="str">
        <f>HYPERLINK("https://hsdes.intel.com/resource/16013625853","16013625853")</f>
        <v>16013625853</v>
      </c>
      <c r="B697" t="s">
        <v>1886</v>
      </c>
      <c r="D697" t="s">
        <v>33</v>
      </c>
      <c r="E697" t="s">
        <v>12</v>
      </c>
      <c r="F697" t="s">
        <v>165</v>
      </c>
    </row>
    <row r="698" spans="1:6" x14ac:dyDescent="0.3">
      <c r="A698" t="str">
        <f>HYPERLINK("https://hsdes.intel.com/resource/16013625877","16013625877")</f>
        <v>16013625877</v>
      </c>
      <c r="B698" t="s">
        <v>1887</v>
      </c>
      <c r="D698" t="s">
        <v>33</v>
      </c>
      <c r="E698" t="s">
        <v>12</v>
      </c>
      <c r="F698" t="s">
        <v>165</v>
      </c>
    </row>
    <row r="699" spans="1:6" x14ac:dyDescent="0.3">
      <c r="A699" t="str">
        <f>HYPERLINK("https://hsdes.intel.com/resource/16013635190","16013635190")</f>
        <v>16013635190</v>
      </c>
      <c r="B699" t="s">
        <v>1888</v>
      </c>
      <c r="D699" t="s">
        <v>33</v>
      </c>
      <c r="E699" t="s">
        <v>12</v>
      </c>
      <c r="F699" t="s">
        <v>165</v>
      </c>
    </row>
    <row r="700" spans="1:6" x14ac:dyDescent="0.3">
      <c r="A700" t="str">
        <f>HYPERLINK("https://hsdes.intel.com/resource/16013636200","16013636200")</f>
        <v>16013636200</v>
      </c>
      <c r="B700" t="s">
        <v>1889</v>
      </c>
      <c r="D700" t="s">
        <v>33</v>
      </c>
      <c r="E700" t="s">
        <v>12</v>
      </c>
      <c r="F700" t="s">
        <v>165</v>
      </c>
    </row>
    <row r="701" spans="1:6" x14ac:dyDescent="0.3">
      <c r="A701" t="str">
        <f>HYPERLINK("https://hsdes.intel.com/resource/16013636340","16013636340")</f>
        <v>16013636340</v>
      </c>
      <c r="B701" t="s">
        <v>1890</v>
      </c>
      <c r="D701" t="s">
        <v>33</v>
      </c>
      <c r="E701" t="s">
        <v>12</v>
      </c>
      <c r="F701" t="s">
        <v>165</v>
      </c>
    </row>
    <row r="702" spans="1:6" x14ac:dyDescent="0.3">
      <c r="A702" t="str">
        <f>HYPERLINK("https://hsdes.intel.com/resource/16013636702","16013636702")</f>
        <v>16013636702</v>
      </c>
      <c r="B702" t="s">
        <v>1891</v>
      </c>
      <c r="D702" t="s">
        <v>33</v>
      </c>
      <c r="E702" t="s">
        <v>12</v>
      </c>
      <c r="F702" t="s">
        <v>165</v>
      </c>
    </row>
    <row r="703" spans="1:6" x14ac:dyDescent="0.3">
      <c r="A703" t="str">
        <f>HYPERLINK("https://hsdes.intel.com/resource/16013636795","16013636795")</f>
        <v>16013636795</v>
      </c>
      <c r="B703" t="s">
        <v>1892</v>
      </c>
      <c r="D703" t="s">
        <v>33</v>
      </c>
      <c r="E703" t="s">
        <v>12</v>
      </c>
      <c r="F703" t="s">
        <v>165</v>
      </c>
    </row>
    <row r="704" spans="1:6" x14ac:dyDescent="0.3">
      <c r="A704" t="str">
        <f>HYPERLINK("https://hsdes.intel.com/resource/16013636831","16013636831")</f>
        <v>16013636831</v>
      </c>
      <c r="B704" t="s">
        <v>1893</v>
      </c>
      <c r="D704" t="s">
        <v>33</v>
      </c>
      <c r="E704" t="s">
        <v>12</v>
      </c>
      <c r="F704" t="s">
        <v>165</v>
      </c>
    </row>
    <row r="705" spans="1:6" x14ac:dyDescent="0.3">
      <c r="A705" t="str">
        <f>HYPERLINK("https://hsdes.intel.com/resource/16013637145","16013637145")</f>
        <v>16013637145</v>
      </c>
      <c r="B705" t="s">
        <v>1894</v>
      </c>
      <c r="D705" t="s">
        <v>33</v>
      </c>
      <c r="E705" t="s">
        <v>12</v>
      </c>
      <c r="F705" t="s">
        <v>165</v>
      </c>
    </row>
    <row r="706" spans="1:6" x14ac:dyDescent="0.3">
      <c r="A706" t="str">
        <f>HYPERLINK("https://hsdes.intel.com/resource/16013676825","16013676825")</f>
        <v>16013676825</v>
      </c>
      <c r="B706" t="s">
        <v>1895</v>
      </c>
      <c r="C706" t="s">
        <v>641</v>
      </c>
      <c r="D706" t="s">
        <v>11</v>
      </c>
      <c r="E706" t="s">
        <v>573</v>
      </c>
      <c r="F706" t="s">
        <v>1896</v>
      </c>
    </row>
    <row r="707" spans="1:6" x14ac:dyDescent="0.3">
      <c r="A707" t="str">
        <f>HYPERLINK("https://hsdes.intel.com/resource/16013676942","16013676942")</f>
        <v>16013676942</v>
      </c>
      <c r="B707" t="s">
        <v>1897</v>
      </c>
      <c r="C707" t="s">
        <v>635</v>
      </c>
      <c r="D707" t="s">
        <v>11</v>
      </c>
      <c r="E707" t="s">
        <v>573</v>
      </c>
      <c r="F707" t="s">
        <v>574</v>
      </c>
    </row>
    <row r="708" spans="1:6" x14ac:dyDescent="0.3">
      <c r="A708" t="str">
        <f>HYPERLINK("https://hsdes.intel.com/resource/16013677281","16013677281")</f>
        <v>16013677281</v>
      </c>
      <c r="B708" t="s">
        <v>1898</v>
      </c>
      <c r="C708" t="s">
        <v>1899</v>
      </c>
      <c r="D708" t="s">
        <v>6</v>
      </c>
      <c r="E708" t="s">
        <v>21</v>
      </c>
      <c r="F708" t="s">
        <v>757</v>
      </c>
    </row>
    <row r="709" spans="1:6" x14ac:dyDescent="0.3">
      <c r="A709" t="str">
        <f>HYPERLINK("https://hsdes.intel.com/resource/16013677643","16013677643")</f>
        <v>16013677643</v>
      </c>
      <c r="B709" t="s">
        <v>1900</v>
      </c>
      <c r="C709" t="s">
        <v>633</v>
      </c>
      <c r="D709" t="s">
        <v>11</v>
      </c>
      <c r="E709" t="s">
        <v>573</v>
      </c>
      <c r="F709" t="s">
        <v>1901</v>
      </c>
    </row>
    <row r="710" spans="1:6" x14ac:dyDescent="0.3">
      <c r="A710" t="str">
        <f>HYPERLINK("https://hsdes.intel.com/resource/16013681042","16013681042")</f>
        <v>16013681042</v>
      </c>
      <c r="B710" t="s">
        <v>1902</v>
      </c>
      <c r="C710" t="s">
        <v>627</v>
      </c>
      <c r="D710" t="s">
        <v>11</v>
      </c>
      <c r="E710" t="s">
        <v>573</v>
      </c>
      <c r="F710" t="s">
        <v>574</v>
      </c>
    </row>
    <row r="711" spans="1:6" x14ac:dyDescent="0.3">
      <c r="A711" t="str">
        <f>HYPERLINK("https://hsdes.intel.com/resource/16013686490","16013686490")</f>
        <v>16013686490</v>
      </c>
      <c r="B711" t="s">
        <v>1903</v>
      </c>
      <c r="C711" t="s">
        <v>624</v>
      </c>
      <c r="D711" t="s">
        <v>11</v>
      </c>
      <c r="E711" t="s">
        <v>573</v>
      </c>
      <c r="F711" t="s">
        <v>1901</v>
      </c>
    </row>
    <row r="712" spans="1:6" x14ac:dyDescent="0.3">
      <c r="A712" t="str">
        <f>HYPERLINK("https://hsdes.intel.com/resource/16013697548","16013697548")</f>
        <v>16013697548</v>
      </c>
      <c r="B712" t="s">
        <v>1904</v>
      </c>
      <c r="C712" t="s">
        <v>572</v>
      </c>
      <c r="D712" t="s">
        <v>11</v>
      </c>
      <c r="E712" t="s">
        <v>573</v>
      </c>
      <c r="F712" t="s">
        <v>1905</v>
      </c>
    </row>
    <row r="713" spans="1:6" x14ac:dyDescent="0.3">
      <c r="A713" t="str">
        <f>HYPERLINK("https://hsdes.intel.com/resource/16013713658","16013713658")</f>
        <v>16013713658</v>
      </c>
      <c r="B713" t="s">
        <v>1906</v>
      </c>
      <c r="D713" t="s">
        <v>33</v>
      </c>
      <c r="E713" t="s">
        <v>12</v>
      </c>
      <c r="F713" t="s">
        <v>165</v>
      </c>
    </row>
    <row r="714" spans="1:6" x14ac:dyDescent="0.3">
      <c r="A714" t="str">
        <f>HYPERLINK("https://hsdes.intel.com/resource/16013715183","16013715183")</f>
        <v>16013715183</v>
      </c>
      <c r="B714" t="s">
        <v>1907</v>
      </c>
      <c r="D714" t="s">
        <v>33</v>
      </c>
      <c r="E714" t="s">
        <v>12</v>
      </c>
      <c r="F714" t="s">
        <v>165</v>
      </c>
    </row>
    <row r="715" spans="1:6" x14ac:dyDescent="0.3">
      <c r="A715" t="str">
        <f>HYPERLINK("https://hsdes.intel.com/resource/16013715407","16013715407")</f>
        <v>16013715407</v>
      </c>
      <c r="B715" t="s">
        <v>1908</v>
      </c>
      <c r="D715" t="s">
        <v>33</v>
      </c>
      <c r="E715" t="s">
        <v>12</v>
      </c>
      <c r="F715" t="s">
        <v>165</v>
      </c>
    </row>
    <row r="716" spans="1:6" x14ac:dyDescent="0.3">
      <c r="A716" t="str">
        <f>HYPERLINK("https://hsdes.intel.com/resource/16013815316","16013815316")</f>
        <v>16013815316</v>
      </c>
      <c r="B716" t="s">
        <v>1909</v>
      </c>
      <c r="D716" t="s">
        <v>798</v>
      </c>
      <c r="E716" t="s">
        <v>799</v>
      </c>
      <c r="F716" t="s">
        <v>1910</v>
      </c>
    </row>
    <row r="717" spans="1:6" x14ac:dyDescent="0.3">
      <c r="A717" t="str">
        <f>HYPERLINK("https://hsdes.intel.com/resource/16013832714","16013832714")</f>
        <v>16013832714</v>
      </c>
      <c r="B717" t="s">
        <v>1911</v>
      </c>
      <c r="C717" t="s">
        <v>1912</v>
      </c>
      <c r="D717" t="s">
        <v>11</v>
      </c>
      <c r="E717" t="s">
        <v>16</v>
      </c>
      <c r="F717" t="s">
        <v>182</v>
      </c>
    </row>
    <row r="718" spans="1:6" x14ac:dyDescent="0.3">
      <c r="A718" t="str">
        <f>HYPERLINK("https://hsdes.intel.com/resource/16013871156","16013871156")</f>
        <v>16013871156</v>
      </c>
      <c r="B718" t="s">
        <v>1913</v>
      </c>
      <c r="D718" t="s">
        <v>798</v>
      </c>
      <c r="E718" t="s">
        <v>799</v>
      </c>
      <c r="F718" t="s">
        <v>1914</v>
      </c>
    </row>
    <row r="719" spans="1:6" x14ac:dyDescent="0.3">
      <c r="A719" t="str">
        <f>HYPERLINK("https://hsdes.intel.com/resource/16013894474","16013894474")</f>
        <v>16013894474</v>
      </c>
      <c r="B719" t="s">
        <v>1915</v>
      </c>
      <c r="C719" t="s">
        <v>272</v>
      </c>
      <c r="D719" t="s">
        <v>11</v>
      </c>
      <c r="E719" t="s">
        <v>273</v>
      </c>
      <c r="F719" t="s">
        <v>1916</v>
      </c>
    </row>
    <row r="720" spans="1:6" x14ac:dyDescent="0.3">
      <c r="A720" t="str">
        <f>HYPERLINK("https://hsdes.intel.com/resource/16013896948","16013896948")</f>
        <v>16013896948</v>
      </c>
      <c r="B720" t="s">
        <v>1917</v>
      </c>
      <c r="D720" t="s">
        <v>25</v>
      </c>
      <c r="E720" t="s">
        <v>64</v>
      </c>
      <c r="F720" t="s">
        <v>8</v>
      </c>
    </row>
    <row r="721" spans="1:6" x14ac:dyDescent="0.3">
      <c r="A721" t="str">
        <f>HYPERLINK("https://hsdes.intel.com/resource/16013897116","16013897116")</f>
        <v>16013897116</v>
      </c>
      <c r="B721" t="s">
        <v>1918</v>
      </c>
      <c r="C721" t="s">
        <v>272</v>
      </c>
      <c r="D721" t="s">
        <v>11</v>
      </c>
      <c r="E721" t="s">
        <v>273</v>
      </c>
      <c r="F721" t="s">
        <v>1916</v>
      </c>
    </row>
    <row r="722" spans="1:6" x14ac:dyDescent="0.3">
      <c r="A722" t="str">
        <f>HYPERLINK("https://hsdes.intel.com/resource/16013998932","16013998932")</f>
        <v>16013998932</v>
      </c>
      <c r="B722" t="s">
        <v>1919</v>
      </c>
      <c r="C722" t="s">
        <v>653</v>
      </c>
      <c r="D722" t="s">
        <v>11</v>
      </c>
      <c r="E722" t="s">
        <v>16</v>
      </c>
      <c r="F722" t="s">
        <v>1920</v>
      </c>
    </row>
    <row r="723" spans="1:6" x14ac:dyDescent="0.3">
      <c r="A723" t="str">
        <f>HYPERLINK("https://hsdes.intel.com/resource/16014251359","16014251359")</f>
        <v>16014251359</v>
      </c>
      <c r="B723" t="s">
        <v>1921</v>
      </c>
      <c r="D723" t="s">
        <v>33</v>
      </c>
      <c r="E723" t="s">
        <v>12</v>
      </c>
      <c r="F723" t="s">
        <v>165</v>
      </c>
    </row>
    <row r="724" spans="1:6" x14ac:dyDescent="0.3">
      <c r="A724" t="str">
        <f>HYPERLINK("https://hsdes.intel.com/resource/16014251361","16014251361")</f>
        <v>16014251361</v>
      </c>
      <c r="B724" t="s">
        <v>1922</v>
      </c>
      <c r="D724" t="s">
        <v>33</v>
      </c>
      <c r="E724" t="s">
        <v>12</v>
      </c>
      <c r="F724" t="s">
        <v>165</v>
      </c>
    </row>
    <row r="725" spans="1:6" x14ac:dyDescent="0.3">
      <c r="A725" t="str">
        <f>HYPERLINK("https://hsdes.intel.com/resource/16014251368","16014251368")</f>
        <v>16014251368</v>
      </c>
      <c r="B725" t="s">
        <v>1923</v>
      </c>
      <c r="D725" t="s">
        <v>33</v>
      </c>
      <c r="E725" t="s">
        <v>12</v>
      </c>
      <c r="F725" t="s">
        <v>165</v>
      </c>
    </row>
    <row r="726" spans="1:6" x14ac:dyDescent="0.3">
      <c r="A726" t="str">
        <f>HYPERLINK("https://hsdes.intel.com/resource/16014266497","16014266497")</f>
        <v>16014266497</v>
      </c>
      <c r="B726" t="s">
        <v>1924</v>
      </c>
      <c r="C726" t="s">
        <v>1925</v>
      </c>
      <c r="D726" t="s">
        <v>6</v>
      </c>
      <c r="E726" t="s">
        <v>7</v>
      </c>
      <c r="F726" t="s">
        <v>1926</v>
      </c>
    </row>
    <row r="727" spans="1:6" x14ac:dyDescent="0.3">
      <c r="A727" t="str">
        <f>HYPERLINK("https://hsdes.intel.com/resource/16014267287","16014267287")</f>
        <v>16014267287</v>
      </c>
      <c r="B727" t="s">
        <v>1927</v>
      </c>
      <c r="C727" t="s">
        <v>1925</v>
      </c>
      <c r="D727" t="s">
        <v>6</v>
      </c>
      <c r="E727" t="s">
        <v>7</v>
      </c>
      <c r="F727" t="s">
        <v>1928</v>
      </c>
    </row>
    <row r="728" spans="1:6" x14ac:dyDescent="0.3">
      <c r="A728" t="str">
        <f>HYPERLINK("https://hsdes.intel.com/resource/16014360983","16014360983")</f>
        <v>16014360983</v>
      </c>
      <c r="B728" t="s">
        <v>1929</v>
      </c>
      <c r="D728" t="s">
        <v>25</v>
      </c>
      <c r="E728" t="s">
        <v>68</v>
      </c>
      <c r="F728" t="s">
        <v>1930</v>
      </c>
    </row>
    <row r="729" spans="1:6" x14ac:dyDescent="0.3">
      <c r="A729" t="str">
        <f>HYPERLINK("https://hsdes.intel.com/resource/16014422452","16014422452")</f>
        <v>16014422452</v>
      </c>
      <c r="B729" t="s">
        <v>1931</v>
      </c>
      <c r="C729" t="s">
        <v>272</v>
      </c>
      <c r="D729" t="s">
        <v>11</v>
      </c>
      <c r="E729" t="s">
        <v>273</v>
      </c>
      <c r="F729" t="s">
        <v>1916</v>
      </c>
    </row>
    <row r="730" spans="1:6" x14ac:dyDescent="0.3">
      <c r="A730" t="str">
        <f>HYPERLINK("https://hsdes.intel.com/resource/16014559659","16014559659")</f>
        <v>16014559659</v>
      </c>
      <c r="B730" t="s">
        <v>1932</v>
      </c>
      <c r="C730" t="s">
        <v>1013</v>
      </c>
      <c r="D730" t="s">
        <v>6</v>
      </c>
      <c r="E730" t="s">
        <v>7</v>
      </c>
      <c r="F730" t="s">
        <v>1104</v>
      </c>
    </row>
    <row r="731" spans="1:6" x14ac:dyDescent="0.3">
      <c r="A731" t="str">
        <f>HYPERLINK("https://hsdes.intel.com/resource/16014566248","16014566248")</f>
        <v>16014566248</v>
      </c>
      <c r="B731" t="s">
        <v>1933</v>
      </c>
      <c r="C731" t="s">
        <v>1934</v>
      </c>
      <c r="D731" t="s">
        <v>33</v>
      </c>
      <c r="E731" t="s">
        <v>21</v>
      </c>
      <c r="F731" t="s">
        <v>8</v>
      </c>
    </row>
    <row r="732" spans="1:6" x14ac:dyDescent="0.3">
      <c r="A732" t="str">
        <f>HYPERLINK("https://hsdes.intel.com/resource/16014868604","16014868604")</f>
        <v>16014868604</v>
      </c>
      <c r="B732" t="s">
        <v>1935</v>
      </c>
      <c r="C732" t="s">
        <v>1936</v>
      </c>
      <c r="D732" t="s">
        <v>33</v>
      </c>
      <c r="E732" t="s">
        <v>21</v>
      </c>
      <c r="F732" t="s">
        <v>1104</v>
      </c>
    </row>
    <row r="733" spans="1:6" x14ac:dyDescent="0.3">
      <c r="A733" t="str">
        <f>HYPERLINK("https://hsdes.intel.com/resource/16014890786","16014890786")</f>
        <v>16014890786</v>
      </c>
      <c r="B733" t="s">
        <v>1937</v>
      </c>
      <c r="C733" t="s">
        <v>332</v>
      </c>
      <c r="D733" t="s">
        <v>33</v>
      </c>
      <c r="E733" t="s">
        <v>21</v>
      </c>
      <c r="F733" t="s">
        <v>1938</v>
      </c>
    </row>
    <row r="734" spans="1:6" x14ac:dyDescent="0.3">
      <c r="A734" t="str">
        <f>HYPERLINK("https://hsdes.intel.com/resource/16014896549","16014896549")</f>
        <v>16014896549</v>
      </c>
      <c r="B734" t="s">
        <v>1939</v>
      </c>
      <c r="C734" t="s">
        <v>32</v>
      </c>
      <c r="D734" t="s">
        <v>33</v>
      </c>
      <c r="E734" t="s">
        <v>21</v>
      </c>
      <c r="F734" t="s">
        <v>1938</v>
      </c>
    </row>
    <row r="735" spans="1:6" x14ac:dyDescent="0.3">
      <c r="A735" t="str">
        <f>HYPERLINK("https://hsdes.intel.com/resource/16014898568","16014898568")</f>
        <v>16014898568</v>
      </c>
      <c r="B735" t="s">
        <v>1940</v>
      </c>
      <c r="D735" t="s">
        <v>798</v>
      </c>
      <c r="E735" t="s">
        <v>21</v>
      </c>
      <c r="F735" t="s">
        <v>1941</v>
      </c>
    </row>
    <row r="736" spans="1:6" x14ac:dyDescent="0.3">
      <c r="A736" t="str">
        <f>HYPERLINK("https://hsdes.intel.com/resource/16014898588","16014898588")</f>
        <v>16014898588</v>
      </c>
      <c r="B736" t="s">
        <v>1942</v>
      </c>
      <c r="D736" t="s">
        <v>798</v>
      </c>
      <c r="E736" t="s">
        <v>21</v>
      </c>
      <c r="F736" t="s">
        <v>1814</v>
      </c>
    </row>
    <row r="737" spans="1:6" x14ac:dyDescent="0.3">
      <c r="A737" t="str">
        <f>HYPERLINK("https://hsdes.intel.com/resource/16014912837","16014912837")</f>
        <v>16014912837</v>
      </c>
      <c r="B737" t="s">
        <v>1943</v>
      </c>
      <c r="C737" t="s">
        <v>1944</v>
      </c>
      <c r="D737" t="s">
        <v>33</v>
      </c>
      <c r="E737" t="s">
        <v>21</v>
      </c>
      <c r="F737" t="s">
        <v>1945</v>
      </c>
    </row>
    <row r="738" spans="1:6" x14ac:dyDescent="0.3">
      <c r="A738" t="str">
        <f>HYPERLINK("https://hsdes.intel.com/resource/16014917868","16014917868")</f>
        <v>16014917868</v>
      </c>
      <c r="B738" t="s">
        <v>1946</v>
      </c>
      <c r="D738" t="s">
        <v>798</v>
      </c>
      <c r="E738" t="s">
        <v>21</v>
      </c>
      <c r="F738" t="s">
        <v>1941</v>
      </c>
    </row>
    <row r="739" spans="1:6" x14ac:dyDescent="0.3">
      <c r="A739" t="str">
        <f>HYPERLINK("https://hsdes.intel.com/resource/16014917890","16014917890")</f>
        <v>16014917890</v>
      </c>
      <c r="B739" t="s">
        <v>1947</v>
      </c>
      <c r="D739" t="s">
        <v>798</v>
      </c>
      <c r="E739" t="s">
        <v>21</v>
      </c>
      <c r="F739" t="s">
        <v>1948</v>
      </c>
    </row>
    <row r="740" spans="1:6" x14ac:dyDescent="0.3">
      <c r="A740" t="str">
        <f>HYPERLINK("https://hsdes.intel.com/resource/16014934572","16014934572")</f>
        <v>16014934572</v>
      </c>
      <c r="B740" t="s">
        <v>1949</v>
      </c>
      <c r="C740" t="s">
        <v>1179</v>
      </c>
      <c r="D740" t="s">
        <v>33</v>
      </c>
      <c r="E740" t="s">
        <v>21</v>
      </c>
      <c r="F740" t="s">
        <v>1945</v>
      </c>
    </row>
    <row r="741" spans="1:6" x14ac:dyDescent="0.3">
      <c r="A741" t="str">
        <f>HYPERLINK("https://hsdes.intel.com/resource/16014964084","16014964084")</f>
        <v>16014964084</v>
      </c>
      <c r="B741" t="s">
        <v>1950</v>
      </c>
      <c r="D741" t="s">
        <v>798</v>
      </c>
      <c r="E741" t="s">
        <v>101</v>
      </c>
      <c r="F741" t="s">
        <v>1941</v>
      </c>
    </row>
    <row r="742" spans="1:6" x14ac:dyDescent="0.3">
      <c r="A742" t="str">
        <f>HYPERLINK("https://hsdes.intel.com/resource/16014964493","16014964493")</f>
        <v>16014964493</v>
      </c>
      <c r="B742" t="s">
        <v>1951</v>
      </c>
      <c r="D742" t="s">
        <v>798</v>
      </c>
      <c r="E742" t="s">
        <v>21</v>
      </c>
      <c r="F742" t="s">
        <v>1814</v>
      </c>
    </row>
    <row r="743" spans="1:6" x14ac:dyDescent="0.3">
      <c r="A743" t="str">
        <f>HYPERLINK("https://hsdes.intel.com/resource/16014964683","16014964683")</f>
        <v>16014964683</v>
      </c>
      <c r="B743" t="s">
        <v>1952</v>
      </c>
      <c r="D743" t="s">
        <v>798</v>
      </c>
      <c r="E743" t="s">
        <v>21</v>
      </c>
      <c r="F743" t="s">
        <v>1953</v>
      </c>
    </row>
    <row r="744" spans="1:6" x14ac:dyDescent="0.3">
      <c r="A744" t="str">
        <f>HYPERLINK("https://hsdes.intel.com/resource/16014988262","16014988262")</f>
        <v>16014988262</v>
      </c>
      <c r="B744" t="s">
        <v>1954</v>
      </c>
      <c r="C744" t="s">
        <v>1217</v>
      </c>
      <c r="D744" t="s">
        <v>33</v>
      </c>
      <c r="E744" t="s">
        <v>21</v>
      </c>
      <c r="F744" t="s">
        <v>1953</v>
      </c>
    </row>
    <row r="745" spans="1:6" x14ac:dyDescent="0.3">
      <c r="A745" t="str">
        <f>HYPERLINK("https://hsdes.intel.com/resource/16014988649","16014988649")</f>
        <v>16014988649</v>
      </c>
      <c r="B745" t="s">
        <v>1955</v>
      </c>
      <c r="C745" t="s">
        <v>447</v>
      </c>
      <c r="D745" t="s">
        <v>33</v>
      </c>
      <c r="E745" t="s">
        <v>12</v>
      </c>
      <c r="F745" t="s">
        <v>1956</v>
      </c>
    </row>
    <row r="746" spans="1:6" x14ac:dyDescent="0.3">
      <c r="A746" t="str">
        <f>HYPERLINK("https://hsdes.intel.com/resource/16015007753","16015007753")</f>
        <v>16015007753</v>
      </c>
      <c r="B746" t="s">
        <v>1957</v>
      </c>
      <c r="C746" t="s">
        <v>1841</v>
      </c>
      <c r="D746" t="s">
        <v>25</v>
      </c>
      <c r="E746" t="s">
        <v>68</v>
      </c>
      <c r="F746" t="s">
        <v>69</v>
      </c>
    </row>
    <row r="747" spans="1:6" x14ac:dyDescent="0.3">
      <c r="A747" t="str">
        <f>HYPERLINK("https://hsdes.intel.com/resource/16015009086","16015009086")</f>
        <v>16015009086</v>
      </c>
      <c r="B747" t="s">
        <v>1958</v>
      </c>
      <c r="D747" t="s">
        <v>25</v>
      </c>
      <c r="E747" t="s">
        <v>68</v>
      </c>
      <c r="F747" t="s">
        <v>1959</v>
      </c>
    </row>
    <row r="748" spans="1:6" x14ac:dyDescent="0.3">
      <c r="A748" t="str">
        <f>HYPERLINK("https://hsdes.intel.com/resource/16015025624","16015025624")</f>
        <v>16015025624</v>
      </c>
      <c r="B748" t="s">
        <v>1960</v>
      </c>
      <c r="D748" t="s">
        <v>25</v>
      </c>
      <c r="E748" t="s">
        <v>68</v>
      </c>
      <c r="F748" t="s">
        <v>1959</v>
      </c>
    </row>
    <row r="749" spans="1:6" x14ac:dyDescent="0.3">
      <c r="A749" t="str">
        <f>HYPERLINK("https://hsdes.intel.com/resource/16015035984","16015035984")</f>
        <v>16015035984</v>
      </c>
      <c r="B749" t="s">
        <v>1961</v>
      </c>
      <c r="D749" t="s">
        <v>798</v>
      </c>
      <c r="E749" t="s">
        <v>21</v>
      </c>
      <c r="F749" t="s">
        <v>1814</v>
      </c>
    </row>
    <row r="750" spans="1:6" x14ac:dyDescent="0.3">
      <c r="A750" t="str">
        <f>HYPERLINK("https://hsdes.intel.com/resource/16015036242","16015036242")</f>
        <v>16015036242</v>
      </c>
      <c r="B750" t="s">
        <v>1962</v>
      </c>
      <c r="D750" t="s">
        <v>25</v>
      </c>
      <c r="E750" t="s">
        <v>68</v>
      </c>
      <c r="F750" t="s">
        <v>1963</v>
      </c>
    </row>
    <row r="751" spans="1:6" x14ac:dyDescent="0.3">
      <c r="A751" t="str">
        <f>HYPERLINK("https://hsdes.intel.com/resource/16015045436","16015045436")</f>
        <v>16015045436</v>
      </c>
      <c r="B751" t="s">
        <v>1964</v>
      </c>
      <c r="D751" t="s">
        <v>25</v>
      </c>
      <c r="E751" t="s">
        <v>68</v>
      </c>
      <c r="F751" t="s">
        <v>1965</v>
      </c>
    </row>
    <row r="752" spans="1:6" x14ac:dyDescent="0.3">
      <c r="A752" t="str">
        <f>HYPERLINK("https://hsdes.intel.com/resource/16015052880","16015052880")</f>
        <v>16015052880</v>
      </c>
      <c r="B752" t="s">
        <v>1966</v>
      </c>
      <c r="D752" t="s">
        <v>25</v>
      </c>
      <c r="E752" t="s">
        <v>68</v>
      </c>
      <c r="F752" t="s">
        <v>1959</v>
      </c>
    </row>
    <row r="753" spans="1:6" x14ac:dyDescent="0.3">
      <c r="A753" t="str">
        <f>HYPERLINK("https://hsdes.intel.com/resource/16015062903","16015062903")</f>
        <v>16015062903</v>
      </c>
      <c r="B753" t="s">
        <v>1967</v>
      </c>
      <c r="D753" t="s">
        <v>25</v>
      </c>
      <c r="E753" t="s">
        <v>68</v>
      </c>
      <c r="F753" t="s">
        <v>1968</v>
      </c>
    </row>
    <row r="754" spans="1:6" x14ac:dyDescent="0.3">
      <c r="A754" t="str">
        <f>HYPERLINK("https://hsdes.intel.com/resource/16015063258","16015063258")</f>
        <v>16015063258</v>
      </c>
      <c r="B754" t="s">
        <v>1969</v>
      </c>
      <c r="D754" t="s">
        <v>25</v>
      </c>
      <c r="E754" t="s">
        <v>68</v>
      </c>
      <c r="F754" t="s">
        <v>1963</v>
      </c>
    </row>
    <row r="755" spans="1:6" x14ac:dyDescent="0.3">
      <c r="A755" t="str">
        <f>HYPERLINK("https://hsdes.intel.com/resource/16015167637","16015167637")</f>
        <v>16015167637</v>
      </c>
      <c r="B755" t="s">
        <v>1970</v>
      </c>
      <c r="D755" t="s">
        <v>798</v>
      </c>
      <c r="E755" t="s">
        <v>21</v>
      </c>
      <c r="F755" t="s">
        <v>1971</v>
      </c>
    </row>
    <row r="756" spans="1:6" x14ac:dyDescent="0.3">
      <c r="A756" t="str">
        <f>HYPERLINK("https://hsdes.intel.com/resource/16015410287","16015410287")</f>
        <v>16015410287</v>
      </c>
      <c r="B756" t="s">
        <v>1972</v>
      </c>
      <c r="D756" t="s">
        <v>25</v>
      </c>
      <c r="E756" t="s">
        <v>68</v>
      </c>
      <c r="F756" t="s">
        <v>1959</v>
      </c>
    </row>
    <row r="757" spans="1:6" x14ac:dyDescent="0.3">
      <c r="A757" t="str">
        <f>HYPERLINK("https://hsdes.intel.com/resource/16015413196","16015413196")</f>
        <v>16015413196</v>
      </c>
      <c r="B757" t="s">
        <v>1973</v>
      </c>
      <c r="D757" t="s">
        <v>25</v>
      </c>
      <c r="E757" t="s">
        <v>21</v>
      </c>
      <c r="F757" t="s">
        <v>1974</v>
      </c>
    </row>
    <row r="758" spans="1:6" x14ac:dyDescent="0.3">
      <c r="A758" t="str">
        <f>HYPERLINK("https://hsdes.intel.com/resource/16015419990","16015419990")</f>
        <v>16015419990</v>
      </c>
      <c r="B758" t="s">
        <v>1975</v>
      </c>
      <c r="D758" t="s">
        <v>25</v>
      </c>
      <c r="E758" t="s">
        <v>68</v>
      </c>
      <c r="F758" t="s">
        <v>1959</v>
      </c>
    </row>
    <row r="759" spans="1:6" x14ac:dyDescent="0.3">
      <c r="A759" t="str">
        <f>HYPERLINK("https://hsdes.intel.com/resource/16015424733","16015424733")</f>
        <v>16015424733</v>
      </c>
      <c r="B759" t="s">
        <v>1976</v>
      </c>
      <c r="D759" t="s">
        <v>25</v>
      </c>
      <c r="E759" t="s">
        <v>68</v>
      </c>
      <c r="F759" t="s">
        <v>1959</v>
      </c>
    </row>
    <row r="760" spans="1:6" x14ac:dyDescent="0.3">
      <c r="A760" t="str">
        <f>HYPERLINK("https://hsdes.intel.com/resource/16015735136","16015735136")</f>
        <v>16015735136</v>
      </c>
      <c r="B760" t="s">
        <v>1977</v>
      </c>
      <c r="D760" t="s">
        <v>25</v>
      </c>
      <c r="E760" t="s">
        <v>64</v>
      </c>
      <c r="F760" t="s">
        <v>1959</v>
      </c>
    </row>
    <row r="761" spans="1:6" x14ac:dyDescent="0.3">
      <c r="A761" t="str">
        <f>HYPERLINK("https://hsdes.intel.com/resource/16015997461","16015997461")</f>
        <v>16015997461</v>
      </c>
      <c r="B761" t="s">
        <v>1978</v>
      </c>
      <c r="D761" t="s">
        <v>798</v>
      </c>
      <c r="E761" t="s">
        <v>799</v>
      </c>
      <c r="F761" t="s">
        <v>1979</v>
      </c>
    </row>
    <row r="762" spans="1:6" x14ac:dyDescent="0.3">
      <c r="A762" t="str">
        <f>HYPERLINK("https://hsdes.intel.com/resource/16016018054","16016018054")</f>
        <v>16016018054</v>
      </c>
      <c r="B762" t="s">
        <v>1980</v>
      </c>
      <c r="D762" t="s">
        <v>798</v>
      </c>
      <c r="E762" t="s">
        <v>799</v>
      </c>
      <c r="F762" t="s">
        <v>1979</v>
      </c>
    </row>
    <row r="763" spans="1:6" x14ac:dyDescent="0.3">
      <c r="A763" t="str">
        <f>HYPERLINK("https://hsdes.intel.com/resource/16016684286","16016684286")</f>
        <v>16016684286</v>
      </c>
      <c r="B763" t="s">
        <v>1981</v>
      </c>
      <c r="D763" t="s">
        <v>181</v>
      </c>
      <c r="E763" t="s">
        <v>101</v>
      </c>
      <c r="F763" t="s">
        <v>165</v>
      </c>
    </row>
    <row r="764" spans="1:6" x14ac:dyDescent="0.3">
      <c r="A764" t="str">
        <f>HYPERLINK("https://hsdes.intel.com/resource/16016686403","16016686403")</f>
        <v>16016686403</v>
      </c>
      <c r="B764" t="s">
        <v>1982</v>
      </c>
      <c r="D764" t="s">
        <v>798</v>
      </c>
      <c r="E764" t="s">
        <v>799</v>
      </c>
      <c r="F764" t="s">
        <v>1968</v>
      </c>
    </row>
    <row r="765" spans="1:6" x14ac:dyDescent="0.3">
      <c r="A765" t="str">
        <f>HYPERLINK("https://hsdes.intel.com/resource/16016690584","16016690584")</f>
        <v>16016690584</v>
      </c>
      <c r="B765" t="s">
        <v>1983</v>
      </c>
      <c r="D765" t="s">
        <v>20</v>
      </c>
      <c r="E765" t="s">
        <v>12</v>
      </c>
      <c r="F765" t="s">
        <v>1814</v>
      </c>
    </row>
    <row r="766" spans="1:6" x14ac:dyDescent="0.3">
      <c r="A766" t="str">
        <f>HYPERLINK("https://hsdes.intel.com/resource/16016779042","16016779042")</f>
        <v>16016779042</v>
      </c>
      <c r="B766" t="s">
        <v>1984</v>
      </c>
      <c r="D766" t="s">
        <v>181</v>
      </c>
      <c r="E766" t="s">
        <v>101</v>
      </c>
      <c r="F766" t="s">
        <v>1814</v>
      </c>
    </row>
    <row r="767" spans="1:6" x14ac:dyDescent="0.3">
      <c r="A767" t="str">
        <f>HYPERLINK("https://hsdes.intel.com/resource/16017697851","16017697851")</f>
        <v>16017697851</v>
      </c>
      <c r="B767" t="s">
        <v>1985</v>
      </c>
      <c r="D767" t="s">
        <v>1986</v>
      </c>
      <c r="E767" t="s">
        <v>1987</v>
      </c>
      <c r="F767" t="s">
        <v>1959</v>
      </c>
    </row>
    <row r="768" spans="1:6" x14ac:dyDescent="0.3">
      <c r="A768" t="str">
        <f>HYPERLINK("https://hsdes.intel.com/resource/16018011314","16018011314")</f>
        <v>16018011314</v>
      </c>
      <c r="B768" t="s">
        <v>1988</v>
      </c>
      <c r="D768" t="s">
        <v>181</v>
      </c>
      <c r="E768" t="s">
        <v>101</v>
      </c>
      <c r="F768" t="s">
        <v>1989</v>
      </c>
    </row>
    <row r="769" spans="1:6" x14ac:dyDescent="0.3">
      <c r="A769" t="str">
        <f>HYPERLINK("https://hsdes.intel.com/resource/22011834274","22011834274")</f>
        <v>22011834274</v>
      </c>
      <c r="B769" t="s">
        <v>1990</v>
      </c>
      <c r="C769" t="s">
        <v>1991</v>
      </c>
      <c r="D769" t="s">
        <v>11</v>
      </c>
      <c r="E769" t="s">
        <v>16</v>
      </c>
      <c r="F769" t="s">
        <v>1992</v>
      </c>
    </row>
    <row r="770" spans="1:6" x14ac:dyDescent="0.3">
      <c r="A770" t="str">
        <f>HYPERLINK("https://hsdes.intel.com/resource/22011834282","22011834282")</f>
        <v>22011834282</v>
      </c>
      <c r="B770" t="s">
        <v>1993</v>
      </c>
      <c r="C770" t="s">
        <v>1994</v>
      </c>
      <c r="D770" t="s">
        <v>25</v>
      </c>
      <c r="E770" t="s">
        <v>68</v>
      </c>
      <c r="F770" t="s">
        <v>1995</v>
      </c>
    </row>
    <row r="771" spans="1:6" x14ac:dyDescent="0.3">
      <c r="A771" t="str">
        <f>HYPERLINK("https://hsdes.intel.com/resource/22011834336","22011834336")</f>
        <v>22011834336</v>
      </c>
      <c r="B771" t="s">
        <v>1996</v>
      </c>
      <c r="C771" t="s">
        <v>1997</v>
      </c>
      <c r="D771" t="s">
        <v>33</v>
      </c>
      <c r="E771" t="s">
        <v>1998</v>
      </c>
      <c r="F771" t="s">
        <v>1999</v>
      </c>
    </row>
    <row r="772" spans="1:6" x14ac:dyDescent="0.3">
      <c r="A772" t="str">
        <f>HYPERLINK("https://hsdes.intel.com/resource/22011834375","22011834375")</f>
        <v>22011834375</v>
      </c>
      <c r="B772" t="s">
        <v>2000</v>
      </c>
      <c r="C772" t="s">
        <v>2001</v>
      </c>
      <c r="D772" t="s">
        <v>11</v>
      </c>
      <c r="E772" t="s">
        <v>16</v>
      </c>
      <c r="F772" t="s">
        <v>2002</v>
      </c>
    </row>
    <row r="773" spans="1:6" x14ac:dyDescent="0.3">
      <c r="A773" t="str">
        <f>HYPERLINK("https://hsdes.intel.com/resource/22011834416","22011834416")</f>
        <v>22011834416</v>
      </c>
      <c r="B773" t="s">
        <v>2003</v>
      </c>
      <c r="C773" t="s">
        <v>2004</v>
      </c>
      <c r="D773" t="s">
        <v>11</v>
      </c>
      <c r="E773" t="s">
        <v>16</v>
      </c>
      <c r="F773" t="s">
        <v>2005</v>
      </c>
    </row>
    <row r="774" spans="1:6" x14ac:dyDescent="0.3">
      <c r="A774" t="str">
        <f>HYPERLINK("https://hsdes.intel.com/resource/22011834534","22011834534")</f>
        <v>22011834534</v>
      </c>
      <c r="B774" t="s">
        <v>2006</v>
      </c>
      <c r="C774" t="s">
        <v>2007</v>
      </c>
      <c r="D774" t="s">
        <v>25</v>
      </c>
      <c r="E774" t="s">
        <v>68</v>
      </c>
      <c r="F774" t="s">
        <v>2008</v>
      </c>
    </row>
    <row r="775" spans="1:6" x14ac:dyDescent="0.3">
      <c r="A775" t="str">
        <f>HYPERLINK("https://hsdes.intel.com/resource/22011834567","22011834567")</f>
        <v>22011834567</v>
      </c>
      <c r="B775" t="s">
        <v>2009</v>
      </c>
      <c r="C775" t="s">
        <v>2010</v>
      </c>
      <c r="D775" t="s">
        <v>11</v>
      </c>
      <c r="E775" t="s">
        <v>16</v>
      </c>
      <c r="F775" t="s">
        <v>2011</v>
      </c>
    </row>
    <row r="776" spans="1:6" x14ac:dyDescent="0.3">
      <c r="A776" t="str">
        <f>HYPERLINK("https://hsdes.intel.com/resource/22011834621","22011834621")</f>
        <v>22011834621</v>
      </c>
      <c r="B776" t="s">
        <v>2012</v>
      </c>
      <c r="C776" t="s">
        <v>2013</v>
      </c>
      <c r="D776" t="s">
        <v>20</v>
      </c>
      <c r="E776" t="s">
        <v>21</v>
      </c>
      <c r="F776" t="s">
        <v>2014</v>
      </c>
    </row>
    <row r="777" spans="1:6" x14ac:dyDescent="0.3">
      <c r="A777" t="str">
        <f>HYPERLINK("https://hsdes.intel.com/resource/22011834676","22011834676")</f>
        <v>22011834676</v>
      </c>
      <c r="B777" t="s">
        <v>2015</v>
      </c>
      <c r="C777" t="s">
        <v>2016</v>
      </c>
      <c r="D777" t="s">
        <v>20</v>
      </c>
      <c r="E777" t="s">
        <v>21</v>
      </c>
      <c r="F777" t="s">
        <v>2017</v>
      </c>
    </row>
    <row r="778" spans="1:6" x14ac:dyDescent="0.3">
      <c r="A778" t="str">
        <f>HYPERLINK("https://hsdes.intel.com/resource/22013170891","22013170891")</f>
        <v>22013170891</v>
      </c>
      <c r="B778" t="s">
        <v>2018</v>
      </c>
      <c r="D778" t="s">
        <v>2019</v>
      </c>
      <c r="E778" t="s">
        <v>1987</v>
      </c>
      <c r="F778" t="s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FIVC_BIOS_RPL-Hx update + RPL-H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2023-04-11T17:38:43Z</dcterms:created>
  <dcterms:modified xsi:type="dcterms:W3CDTF">2023-04-11T17:38:43Z</dcterms:modified>
</cp:coreProperties>
</file>